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2.xml" ContentType="application/vnd.openxmlformats-officedocument.spreadsheetml.tab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omments5.xml" ContentType="application/vnd.openxmlformats-officedocument.spreadsheetml.comments+xml"/>
  <Override PartName="/xl/drawings/drawing39.xml" ContentType="application/vnd.openxmlformats-officedocument.drawing+xml"/>
  <Override PartName="/xl/comments6.xml" ContentType="application/vnd.openxmlformats-officedocument.spreadsheetml.comments+xml"/>
  <Override PartName="/xl/drawings/drawing40.xml" ContentType="application/vnd.openxmlformats-officedocument.drawing+xml"/>
  <Override PartName="/xl/drawings/drawing41.xml" ContentType="application/vnd.openxmlformats-officedocument.drawing+xml"/>
  <Override PartName="/xl/comments7.xml" ContentType="application/vnd.openxmlformats-officedocument.spreadsheetml.comments+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hidePivotFieldList="1"/>
  <mc:AlternateContent xmlns:mc="http://schemas.openxmlformats.org/markup-compatibility/2006">
    <mc:Choice Requires="x15">
      <x15ac:absPath xmlns:x15ac="http://schemas.microsoft.com/office/spreadsheetml/2010/11/ac" url="Z:\2024\PROYECTO DE REACTIVACIÓN\"/>
    </mc:Choice>
  </mc:AlternateContent>
  <xr:revisionPtr revIDLastSave="0" documentId="13_ncr:1_{3C199597-EA9F-43E5-B7B4-73CD27FA93EF}" xr6:coauthVersionLast="47" xr6:coauthVersionMax="47" xr10:uidLastSave="{00000000-0000-0000-0000-000000000000}"/>
  <bookViews>
    <workbookView xWindow="-24120" yWindow="-120" windowWidth="24240" windowHeight="13140" tabRatio="913" firstSheet="1" activeTab="1" xr2:uid="{00000000-000D-0000-FFFF-FFFF00000000}"/>
  </bookViews>
  <sheets>
    <sheet name="Balance Proyec Quinta Clase" sheetId="27" r:id="rId1"/>
    <sheet name="Flujo de caja detallado" sheetId="46" r:id="rId2"/>
    <sheet name="Propuesta de pago" sheetId="15" r:id="rId3"/>
    <sheet name="Estudio de mercado Café" sheetId="73" r:id="rId4"/>
    <sheet name="IPC - CAFÉ" sheetId="14" r:id="rId5"/>
    <sheet name="I-C Café" sheetId="54" r:id="rId6"/>
    <sheet name="I-C Almacenes" sheetId="55" r:id="rId7"/>
    <sheet name="I-C Café Futuros" sheetId="71" r:id="rId8"/>
    <sheet name="I. Activos" sheetId="29" r:id="rId9"/>
    <sheet name="I. Arrendamientos" sheetId="31" r:id="rId10"/>
    <sheet name="I. Rend fros" sheetId="32" r:id="rId11"/>
    <sheet name="I. Mcia consig." sheetId="33" r:id="rId12"/>
    <sheet name="I. Solidaridad" sheetId="70" r:id="rId13"/>
    <sheet name="R Cartera almacenes" sheetId="67" r:id="rId14"/>
    <sheet name="R. Cartera ordinaria" sheetId="66" r:id="rId15"/>
    <sheet name="G. Nómina" sheetId="25" r:id="rId16"/>
    <sheet name="G. Arrume y empacada" sheetId="58" r:id="rId17"/>
    <sheet name="G. Coteo" sheetId="57" r:id="rId18"/>
    <sheet name="G. Fletes" sheetId="59" r:id="rId19"/>
    <sheet name="G. Empaques" sheetId="60" r:id="rId20"/>
    <sheet name="G Hon Interv - rev fisc" sheetId="56" r:id="rId21"/>
    <sheet name="G. Alivios financieros" sheetId="34" r:id="rId22"/>
    <sheet name="G. Honorarios Juridicos" sheetId="35" r:id="rId23"/>
    <sheet name="G. Otros honorarios" sheetId="36" r:id="rId24"/>
    <sheet name="G. Seguros" sheetId="37" r:id="rId25"/>
    <sheet name="G.Arrendamiento" sheetId="38" r:id="rId26"/>
    <sheet name="G. Aseo y cafetería" sheetId="39" r:id="rId27"/>
    <sheet name="G. Combustible" sheetId="40" r:id="rId28"/>
    <sheet name="G.Gasto de viaje" sheetId="41" r:id="rId29"/>
    <sheet name="G. Mantenimiento" sheetId="42" r:id="rId30"/>
    <sheet name="G.Publicidad" sheetId="43" r:id="rId31"/>
    <sheet name="S. Acueducto" sheetId="44" r:id="rId32"/>
    <sheet name="G.Energia" sheetId="45" r:id="rId33"/>
    <sheet name="G.Internet" sheetId="47" r:id="rId34"/>
    <sheet name="G.teléfono" sheetId="48" r:id="rId35"/>
    <sheet name="G. Sistematización" sheetId="62" r:id="rId36"/>
    <sheet name="G. Vigilancia" sheetId="61" r:id="rId37"/>
    <sheet name="G. Papelería" sheetId="49" r:id="rId38"/>
    <sheet name="G. Industria y comercio" sheetId="65" r:id="rId39"/>
    <sheet name="G. Impuesto Predial" sheetId="50" r:id="rId40"/>
    <sheet name="G. Legales" sheetId="51" r:id="rId41"/>
    <sheet name="G. Sostenim veh." sheetId="53" r:id="rId42"/>
    <sheet name="G. Contribuciones y afiliacione" sheetId="68" r:id="rId43"/>
    <sheet name="G. Solidaridad" sheetId="63" r:id="rId44"/>
    <sheet name="G. Mesada Pensional" sheetId="72" r:id="rId45"/>
    <sheet name="G. Bonos pensionales" sheetId="69" r:id="rId46"/>
  </sheets>
  <externalReferences>
    <externalReference r:id="rId47"/>
    <externalReference r:id="rId48"/>
    <externalReference r:id="rId49"/>
    <externalReference r:id="rId50"/>
    <externalReference r:id="rId51"/>
  </externalReferences>
  <definedNames>
    <definedName name="_xlnm._FilterDatabase" localSheetId="21" hidden="1">'G. Alivios financieros'!$A$5:$AY$444</definedName>
    <definedName name="_xlnm._FilterDatabase" localSheetId="26" hidden="1">'G. Aseo y cafetería'!$A$7:$M$7</definedName>
    <definedName name="_xlnm._FilterDatabase" localSheetId="45" hidden="1">'G. Bonos pensionales'!$A$2:$M$189</definedName>
    <definedName name="_xlnm._FilterDatabase" localSheetId="27" hidden="1">'G. Combustible'!$A$7:$G$9</definedName>
    <definedName name="_xlnm._FilterDatabase" localSheetId="22" hidden="1">'G. Honorarios Juridicos'!$B$6:$L$14</definedName>
    <definedName name="_xlnm._FilterDatabase" localSheetId="39" hidden="1">'G. Impuesto Predial'!$A$7:$L$42</definedName>
    <definedName name="_xlnm._FilterDatabase" localSheetId="29" hidden="1">'G. Mantenimiento'!$A$6:$G$106</definedName>
    <definedName name="_xlnm._FilterDatabase" localSheetId="44" hidden="1">'G. Mesada Pensional'!$A$7:$C$19</definedName>
    <definedName name="_xlnm._FilterDatabase" localSheetId="23" hidden="1">'G. Otros honorarios'!$B$6:$L$10</definedName>
    <definedName name="_xlnm._FilterDatabase" localSheetId="37" hidden="1">'G. Papelería'!$7:$110</definedName>
    <definedName name="_xlnm._FilterDatabase" localSheetId="35" hidden="1">'G. Sistematización'!$A$6:$G$75</definedName>
    <definedName name="_xlnm._FilterDatabase" localSheetId="41" hidden="1">'G. Sostenim veh.'!$A$5:$G$17</definedName>
    <definedName name="_xlnm._FilterDatabase" localSheetId="36" hidden="1">'G. Vigilancia'!$A$3:$L$54</definedName>
    <definedName name="_xlnm._FilterDatabase" localSheetId="32" hidden="1">G.Energia!$A$6:$G$323</definedName>
    <definedName name="_xlnm._FilterDatabase" localSheetId="28" hidden="1">'G.Gasto de viaje'!$A$9:$N$9</definedName>
    <definedName name="_xlnm._FilterDatabase" localSheetId="33" hidden="1">G.Internet!$A$6:$G$187</definedName>
    <definedName name="_xlnm._FilterDatabase" localSheetId="30" hidden="1">G.Publicidad!$A$6:$L$77</definedName>
    <definedName name="_xlnm._FilterDatabase" localSheetId="34" hidden="1">G.teléfono!$A$7:$G$518</definedName>
    <definedName name="_xlnm._FilterDatabase" localSheetId="8" hidden="1">'I. Activos'!$B$4:$R$63</definedName>
    <definedName name="_xlnm._FilterDatabase" localSheetId="9" hidden="1">'I. Arrendamientos'!$A$6:$N$6</definedName>
    <definedName name="_xlnm._FilterDatabase" localSheetId="10" hidden="1">'I. Rend fros'!$A$3:$AA$32</definedName>
    <definedName name="_xlnm._FilterDatabase" localSheetId="13" hidden="1">'R Cartera almacenes'!$A$1:$F$2437</definedName>
    <definedName name="_xlnm._FilterDatabase" localSheetId="14" hidden="1">'R. Cartera ordinaria'!$A$5:$AY$444</definedName>
    <definedName name="Año">[1]Parametros!$C$9</definedName>
    <definedName name="Cia">[1]Parametros!$C$5</definedName>
    <definedName name="INV" localSheetId="20">'[2]BALANCE OCT'!#REF!</definedName>
    <definedName name="INV" localSheetId="16">'[2]BALANCE OCT'!#REF!</definedName>
    <definedName name="INV" localSheetId="17">'[2]BALANCE OCT'!#REF!</definedName>
    <definedName name="INV" localSheetId="38">'[2]BALANCE OCT'!#REF!</definedName>
    <definedName name="INV" localSheetId="40">'[2]BALANCE OCT'!#REF!</definedName>
    <definedName name="INV" localSheetId="23">'[2]BALANCE OCT'!#REF!</definedName>
    <definedName name="INV" localSheetId="6">'[2]BALANCE OCT'!#REF!</definedName>
    <definedName name="INV" localSheetId="5">'[2]BALANCE OCT'!#REF!</definedName>
    <definedName name="INV" localSheetId="7">'[2]BALANCE OCT'!#REF!</definedName>
    <definedName name="INV">'[2]BALANCE OCT'!#REF!</definedName>
    <definedName name="Mes">[1]Parametros!$C$11</definedName>
    <definedName name="Mon">[1]Parametros!$C$13</definedName>
    <definedName name="Nom">[1]Parametros!$E$5</definedName>
    <definedName name="Per">[1]Parametros!$E$9</definedName>
    <definedName name="PERIODO">'[2]BALANCE OCT'!$B$2</definedName>
    <definedName name="Sucursal">[1]Parametros!$C$7</definedName>
    <definedName name="UB">'[3]P&amp;G'!$F$17</definedName>
    <definedName name="UN">'[3]P&amp;G'!$F$52</definedName>
    <definedName name="UO">'[3]P&amp;G'!$F$39</definedName>
    <definedName name="Util">'[1]Est. Result.'!$G$78</definedName>
    <definedName name="VN">'[3]P&amp;G'!$F$11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37" i="46" l="1"/>
  <c r="D37" i="46"/>
  <c r="E37" i="46"/>
  <c r="F37" i="46"/>
  <c r="G37" i="46"/>
  <c r="H37" i="46"/>
  <c r="I37" i="46"/>
  <c r="J37" i="46"/>
  <c r="K37" i="46"/>
  <c r="C37" i="46"/>
  <c r="N7" i="37"/>
  <c r="O7" i="37"/>
  <c r="P7" i="37"/>
  <c r="Q7" i="37"/>
  <c r="R7" i="37"/>
  <c r="S7" i="37"/>
  <c r="T7" i="37"/>
  <c r="U7" i="37"/>
  <c r="V7" i="37"/>
  <c r="R63" i="37"/>
  <c r="S63" i="37"/>
  <c r="S66" i="37" s="1"/>
  <c r="T63" i="37"/>
  <c r="T66" i="37" s="1"/>
  <c r="U63" i="37"/>
  <c r="V63" i="37" s="1"/>
  <c r="V66" i="37" s="1"/>
  <c r="R64" i="37"/>
  <c r="S64" i="37"/>
  <c r="T64" i="37"/>
  <c r="U64" i="37" s="1"/>
  <c r="V64" i="37" s="1"/>
  <c r="R65" i="37"/>
  <c r="S65" i="37"/>
  <c r="T65" i="37" s="1"/>
  <c r="U65" i="37" s="1"/>
  <c r="V65" i="37" s="1"/>
  <c r="R66" i="37"/>
  <c r="R56" i="37"/>
  <c r="S56" i="37" s="1"/>
  <c r="T56" i="37" s="1"/>
  <c r="U56" i="37" s="1"/>
  <c r="V56" i="37" s="1"/>
  <c r="R49" i="37"/>
  <c r="S49" i="37" s="1"/>
  <c r="T49" i="37" s="1"/>
  <c r="U49" i="37" s="1"/>
  <c r="V49" i="37" s="1"/>
  <c r="R38" i="37"/>
  <c r="S38" i="37"/>
  <c r="T38" i="37" s="1"/>
  <c r="R39" i="37"/>
  <c r="S39" i="37"/>
  <c r="T39" i="37" s="1"/>
  <c r="U39" i="37" s="1"/>
  <c r="V39" i="37" s="1"/>
  <c r="R40" i="37"/>
  <c r="S40" i="37" s="1"/>
  <c r="R41" i="37"/>
  <c r="M34" i="37"/>
  <c r="S34" i="37"/>
  <c r="T34" i="37"/>
  <c r="U34" i="37"/>
  <c r="V34" i="37"/>
  <c r="K16" i="53"/>
  <c r="K12" i="53"/>
  <c r="L8" i="53"/>
  <c r="I6" i="53"/>
  <c r="J6" i="53"/>
  <c r="I7" i="53"/>
  <c r="J7" i="53"/>
  <c r="K7" i="53"/>
  <c r="L7" i="53"/>
  <c r="I10" i="53"/>
  <c r="J10" i="53"/>
  <c r="K10" i="53"/>
  <c r="L10" i="53"/>
  <c r="I11" i="53"/>
  <c r="J11" i="53"/>
  <c r="K11" i="53"/>
  <c r="L11" i="53"/>
  <c r="I14" i="53"/>
  <c r="J14" i="53"/>
  <c r="K14" i="53"/>
  <c r="L14" i="53"/>
  <c r="I15" i="53"/>
  <c r="J15" i="53"/>
  <c r="K15" i="53"/>
  <c r="L15" i="53"/>
  <c r="H15" i="53"/>
  <c r="H14" i="53"/>
  <c r="H11" i="53"/>
  <c r="H10" i="53"/>
  <c r="H7" i="53"/>
  <c r="H6" i="53"/>
  <c r="C17" i="53"/>
  <c r="U66" i="37" l="1"/>
  <c r="T40" i="37"/>
  <c r="U40" i="37" s="1"/>
  <c r="V40" i="37" s="1"/>
  <c r="S41" i="37"/>
  <c r="U38" i="37"/>
  <c r="I9" i="53"/>
  <c r="J13" i="53"/>
  <c r="I13" i="53"/>
  <c r="K6" i="53"/>
  <c r="V38" i="37" l="1"/>
  <c r="V41" i="37" s="1"/>
  <c r="U41" i="37"/>
  <c r="T41" i="37"/>
  <c r="J9" i="53"/>
  <c r="K13" i="53"/>
  <c r="L13" i="53"/>
  <c r="K9" i="53"/>
  <c r="L6" i="53"/>
  <c r="L9" i="53" s="1"/>
  <c r="O75" i="14" l="1"/>
  <c r="O76" i="14" s="1"/>
  <c r="P76" i="14" s="1"/>
  <c r="P77" i="14" s="1"/>
  <c r="AA13" i="73"/>
  <c r="M13" i="73"/>
  <c r="AE12" i="73"/>
  <c r="AE14" i="73" s="1"/>
  <c r="AD12" i="73"/>
  <c r="Y12" i="73"/>
  <c r="Y14" i="73" s="1"/>
  <c r="X12" i="73"/>
  <c r="W12" i="73"/>
  <c r="W14" i="73" s="1"/>
  <c r="V12" i="73"/>
  <c r="U12" i="73"/>
  <c r="U14" i="73" s="1"/>
  <c r="T12" i="73"/>
  <c r="S12" i="73"/>
  <c r="S14" i="73" s="1"/>
  <c r="R12" i="73"/>
  <c r="Q12" i="73"/>
  <c r="Q14" i="73" s="1"/>
  <c r="P12" i="73"/>
  <c r="K12" i="73"/>
  <c r="K14" i="73" s="1"/>
  <c r="J12" i="73"/>
  <c r="I12" i="73"/>
  <c r="I14" i="73" s="1"/>
  <c r="H12" i="73"/>
  <c r="G12" i="73"/>
  <c r="G14" i="73" s="1"/>
  <c r="F12" i="73"/>
  <c r="E12" i="73"/>
  <c r="E14" i="73" s="1"/>
  <c r="D12" i="73"/>
  <c r="C12" i="73"/>
  <c r="C14" i="73" s="1"/>
  <c r="M14" i="73" s="1"/>
  <c r="B12" i="73"/>
  <c r="AG11" i="73"/>
  <c r="AF11" i="73"/>
  <c r="AA11" i="73"/>
  <c r="Z11" i="73"/>
  <c r="M11" i="73"/>
  <c r="AI11" i="73" s="1"/>
  <c r="L11" i="73"/>
  <c r="AG10" i="73"/>
  <c r="AF10" i="73"/>
  <c r="AA10" i="73"/>
  <c r="Z10" i="73"/>
  <c r="M10" i="73"/>
  <c r="AM10" i="73" s="1"/>
  <c r="L10" i="73"/>
  <c r="AL10" i="73" s="1"/>
  <c r="AG9" i="73"/>
  <c r="AF9" i="73"/>
  <c r="AA9" i="73"/>
  <c r="Z9" i="73"/>
  <c r="M9" i="73"/>
  <c r="AM9" i="73" s="1"/>
  <c r="L9" i="73"/>
  <c r="AL9" i="73" s="1"/>
  <c r="AG8" i="73"/>
  <c r="AF8" i="73"/>
  <c r="AA8" i="73"/>
  <c r="Z8" i="73"/>
  <c r="M8" i="73"/>
  <c r="AM8" i="73" s="1"/>
  <c r="L8" i="73"/>
  <c r="AL8" i="73" s="1"/>
  <c r="AG7" i="73"/>
  <c r="AF7" i="73"/>
  <c r="AA7" i="73"/>
  <c r="Z7" i="73"/>
  <c r="M7" i="73"/>
  <c r="AM7" i="73" s="1"/>
  <c r="L7" i="73"/>
  <c r="AL7" i="73" s="1"/>
  <c r="AH6" i="73"/>
  <c r="AG6" i="73"/>
  <c r="AF6" i="73"/>
  <c r="AA6" i="73"/>
  <c r="Z6" i="73"/>
  <c r="M6" i="73"/>
  <c r="AM6" i="73" s="1"/>
  <c r="L6" i="73"/>
  <c r="AL6" i="73" s="1"/>
  <c r="AI5" i="73"/>
  <c r="AG5" i="73"/>
  <c r="AF5" i="73"/>
  <c r="AA5" i="73"/>
  <c r="Z5" i="73"/>
  <c r="M5" i="73"/>
  <c r="AM5" i="73" s="1"/>
  <c r="L5" i="73"/>
  <c r="AL5" i="73" s="1"/>
  <c r="AH4" i="73"/>
  <c r="AG4" i="73"/>
  <c r="AF4" i="73"/>
  <c r="AA4" i="73"/>
  <c r="AC4" i="73" s="1"/>
  <c r="Z4" i="73"/>
  <c r="M4" i="73"/>
  <c r="AM4" i="73" s="1"/>
  <c r="L4" i="73"/>
  <c r="AL4" i="73" s="1"/>
  <c r="AI3" i="73"/>
  <c r="AG3" i="73"/>
  <c r="AF3" i="73"/>
  <c r="AA3" i="73"/>
  <c r="AA12" i="73" s="1"/>
  <c r="Z3" i="73"/>
  <c r="Z12" i="73" s="1"/>
  <c r="M3" i="73"/>
  <c r="M12" i="73" s="1"/>
  <c r="L3" i="73"/>
  <c r="L12" i="73" s="1"/>
  <c r="AB10" i="73" l="1"/>
  <c r="AB8" i="73"/>
  <c r="AB6" i="73"/>
  <c r="AB4" i="73"/>
  <c r="AB7" i="73"/>
  <c r="AB9" i="73"/>
  <c r="AB11" i="73"/>
  <c r="AC3" i="73"/>
  <c r="AC11" i="73"/>
  <c r="AC9" i="73"/>
  <c r="AC7" i="73"/>
  <c r="AC5" i="73"/>
  <c r="N10" i="73"/>
  <c r="N8" i="73"/>
  <c r="N6" i="73"/>
  <c r="N4" i="73"/>
  <c r="AB5" i="73"/>
  <c r="AC6" i="73"/>
  <c r="N11" i="73"/>
  <c r="O3" i="73"/>
  <c r="O9" i="73"/>
  <c r="O7" i="73"/>
  <c r="O5" i="73"/>
  <c r="AC8" i="73"/>
  <c r="AC10" i="73"/>
  <c r="AA14" i="73"/>
  <c r="AM3" i="73"/>
  <c r="AI7" i="73"/>
  <c r="AI9" i="73"/>
  <c r="O11" i="73"/>
  <c r="AH8" i="73"/>
  <c r="AH10" i="73"/>
  <c r="O4" i="73"/>
  <c r="AI4" i="73"/>
  <c r="O6" i="73"/>
  <c r="AI6" i="73"/>
  <c r="O8" i="73"/>
  <c r="AI8" i="73"/>
  <c r="O10" i="73"/>
  <c r="AI10" i="73"/>
  <c r="AM11" i="73"/>
  <c r="N3" i="73"/>
  <c r="AB3" i="73"/>
  <c r="AH3" i="73"/>
  <c r="AL3" i="73"/>
  <c r="N5" i="73"/>
  <c r="AH5" i="73"/>
  <c r="N7" i="73"/>
  <c r="AH7" i="73"/>
  <c r="N9" i="73"/>
  <c r="AH9" i="73"/>
  <c r="AO3" i="73" l="1"/>
  <c r="AM12" i="73"/>
  <c r="AH12" i="73"/>
  <c r="AJ10" i="73" s="1"/>
  <c r="AJ3" i="73"/>
  <c r="AJ9" i="73"/>
  <c r="AJ8" i="73"/>
  <c r="AI12" i="73"/>
  <c r="AJ7" i="73"/>
  <c r="AL12" i="73"/>
  <c r="AO11" i="73"/>
  <c r="AK9" i="73"/>
  <c r="AN11" i="73" l="1"/>
  <c r="AN8" i="73"/>
  <c r="AN5" i="73"/>
  <c r="AN4" i="73"/>
  <c r="AN7" i="73"/>
  <c r="AN9" i="73"/>
  <c r="AN10" i="73"/>
  <c r="AN6" i="73"/>
  <c r="AJ5" i="73"/>
  <c r="AI13" i="73"/>
  <c r="AK3" i="73"/>
  <c r="AK5" i="73"/>
  <c r="AK11" i="73"/>
  <c r="AK7" i="73"/>
  <c r="AK8" i="73"/>
  <c r="AJ11" i="73"/>
  <c r="AJ4" i="73"/>
  <c r="AJ6" i="73"/>
  <c r="AN3" i="73"/>
  <c r="AK4" i="73"/>
  <c r="AK6" i="73"/>
  <c r="AM13" i="73"/>
  <c r="AO8" i="73"/>
  <c r="AO10" i="73"/>
  <c r="AO6" i="73"/>
  <c r="AO7" i="73"/>
  <c r="AO9" i="73"/>
  <c r="AO5" i="73"/>
  <c r="AO4" i="73"/>
  <c r="AK10" i="73"/>
  <c r="L59" i="46" l="1"/>
  <c r="F11" i="51" l="1"/>
  <c r="F10" i="51"/>
  <c r="F12" i="51"/>
  <c r="F13" i="51"/>
  <c r="D59" i="46"/>
  <c r="E59" i="46"/>
  <c r="F59" i="46"/>
  <c r="G59" i="46"/>
  <c r="H59" i="46"/>
  <c r="I59" i="46"/>
  <c r="J59" i="46"/>
  <c r="K59" i="46"/>
  <c r="C59" i="46"/>
  <c r="Q4" i="72"/>
  <c r="I4" i="72"/>
  <c r="J4" i="72"/>
  <c r="K4" i="72"/>
  <c r="L4" i="72"/>
  <c r="M4" i="72"/>
  <c r="N4" i="72"/>
  <c r="O4" i="72"/>
  <c r="P4" i="72"/>
  <c r="H4" i="72"/>
  <c r="G8" i="72"/>
  <c r="C68" i="46"/>
  <c r="D68" i="46"/>
  <c r="E68" i="46"/>
  <c r="C49" i="54"/>
  <c r="D54" i="54"/>
  <c r="K190" i="69"/>
  <c r="H8" i="72" l="1"/>
  <c r="I8" i="72" s="1"/>
  <c r="J8" i="72" s="1"/>
  <c r="K8" i="72" s="1"/>
  <c r="L8" i="72" s="1"/>
  <c r="M8" i="72" s="1"/>
  <c r="N8" i="72" s="1"/>
  <c r="O8" i="72" s="1"/>
  <c r="P8" i="72" s="1"/>
  <c r="I75" i="46"/>
  <c r="J75" i="46"/>
  <c r="K75" i="46"/>
  <c r="L75" i="46"/>
  <c r="J76" i="46"/>
  <c r="K76" i="46"/>
  <c r="L76" i="46"/>
  <c r="H67" i="46"/>
  <c r="I67" i="46"/>
  <c r="J67" i="46"/>
  <c r="K67" i="46"/>
  <c r="L67" i="46"/>
  <c r="H69" i="46"/>
  <c r="I69" i="46"/>
  <c r="J69" i="46"/>
  <c r="K69" i="46"/>
  <c r="L69" i="46"/>
  <c r="I8" i="68"/>
  <c r="P2" i="68" s="1"/>
  <c r="H58" i="46" s="1"/>
  <c r="J8" i="68"/>
  <c r="K8" i="68"/>
  <c r="L8" i="68"/>
  <c r="M8" i="68"/>
  <c r="H3" i="53"/>
  <c r="I3" i="53"/>
  <c r="J3" i="53"/>
  <c r="K3" i="53"/>
  <c r="L3" i="53"/>
  <c r="H13" i="53"/>
  <c r="H17" i="53"/>
  <c r="I17" i="53"/>
  <c r="J17" i="53"/>
  <c r="K17" i="53"/>
  <c r="L17" i="53"/>
  <c r="T3" i="51"/>
  <c r="U3" i="51"/>
  <c r="V3" i="51"/>
  <c r="W3" i="51"/>
  <c r="X3" i="51"/>
  <c r="S3" i="50"/>
  <c r="T3" i="50"/>
  <c r="U3" i="50"/>
  <c r="V3" i="50"/>
  <c r="W3" i="50"/>
  <c r="J3" i="65"/>
  <c r="K3" i="65"/>
  <c r="L3" i="65"/>
  <c r="M3" i="65"/>
  <c r="N3" i="65"/>
  <c r="M3" i="49"/>
  <c r="N3" i="49"/>
  <c r="O3" i="49"/>
  <c r="P3" i="49"/>
  <c r="Q3" i="49"/>
  <c r="H9" i="61"/>
  <c r="I9" i="61"/>
  <c r="J9" i="61"/>
  <c r="K9" i="61"/>
  <c r="L9" i="61"/>
  <c r="H12" i="61"/>
  <c r="I12" i="61"/>
  <c r="J12" i="61"/>
  <c r="K12" i="61"/>
  <c r="L12" i="61"/>
  <c r="H51" i="61"/>
  <c r="I51" i="61"/>
  <c r="J51" i="61"/>
  <c r="K51" i="61"/>
  <c r="L51" i="61"/>
  <c r="H54" i="61"/>
  <c r="I54" i="61"/>
  <c r="J54" i="61"/>
  <c r="K54" i="61"/>
  <c r="L54" i="61"/>
  <c r="H1" i="61"/>
  <c r="I1" i="61"/>
  <c r="J1" i="61"/>
  <c r="K1" i="61"/>
  <c r="L1" i="61"/>
  <c r="Q2" i="68" l="1"/>
  <c r="R2" i="68" l="1"/>
  <c r="I58" i="46"/>
  <c r="S2" i="68" l="1"/>
  <c r="J58" i="46"/>
  <c r="H10" i="62"/>
  <c r="I10" i="62"/>
  <c r="J10" i="62"/>
  <c r="K10" i="62"/>
  <c r="L10" i="62"/>
  <c r="H14" i="62"/>
  <c r="I14" i="62"/>
  <c r="J14" i="62"/>
  <c r="K14" i="62"/>
  <c r="L14" i="62"/>
  <c r="H18" i="62"/>
  <c r="I18" i="62"/>
  <c r="J18" i="62"/>
  <c r="K18" i="62"/>
  <c r="L18" i="62"/>
  <c r="H4" i="62"/>
  <c r="I4" i="62"/>
  <c r="J4" i="62"/>
  <c r="K4" i="62"/>
  <c r="L4" i="62"/>
  <c r="S4" i="48"/>
  <c r="O4" i="48"/>
  <c r="P4" i="48"/>
  <c r="Q4" i="48"/>
  <c r="R4" i="48"/>
  <c r="N3" i="47"/>
  <c r="O3" i="47"/>
  <c r="P3" i="47"/>
  <c r="Q3" i="47"/>
  <c r="R3" i="47"/>
  <c r="N3" i="45"/>
  <c r="O3" i="45"/>
  <c r="P3" i="45"/>
  <c r="Q3" i="45"/>
  <c r="R3" i="45"/>
  <c r="R4" i="44"/>
  <c r="N4" i="44"/>
  <c r="O4" i="44"/>
  <c r="P4" i="44"/>
  <c r="Q4" i="44"/>
  <c r="O3" i="43"/>
  <c r="P3" i="43"/>
  <c r="Q3" i="43"/>
  <c r="R3" i="43"/>
  <c r="S3" i="43"/>
  <c r="H15" i="42"/>
  <c r="I15" i="42"/>
  <c r="J15" i="42"/>
  <c r="K15" i="42"/>
  <c r="L15" i="42"/>
  <c r="H106" i="42"/>
  <c r="I106" i="42"/>
  <c r="J106" i="42"/>
  <c r="K106" i="42"/>
  <c r="L106" i="42"/>
  <c r="L3" i="42"/>
  <c r="H3" i="42"/>
  <c r="I3" i="42"/>
  <c r="J3" i="42"/>
  <c r="K3" i="42"/>
  <c r="T6" i="41"/>
  <c r="U6" i="41"/>
  <c r="V6" i="41"/>
  <c r="W6" i="41"/>
  <c r="X6" i="41"/>
  <c r="H3" i="40"/>
  <c r="I3" i="40"/>
  <c r="J3" i="40"/>
  <c r="K3" i="40"/>
  <c r="L3" i="40"/>
  <c r="N3" i="39"/>
  <c r="O3" i="39"/>
  <c r="P3" i="39"/>
  <c r="Q3" i="39"/>
  <c r="R3" i="39"/>
  <c r="J4" i="38"/>
  <c r="K4" i="38"/>
  <c r="L4" i="38"/>
  <c r="M4" i="38"/>
  <c r="N4" i="38"/>
  <c r="N4" i="37"/>
  <c r="O4" i="37"/>
  <c r="P4" i="37"/>
  <c r="Q4" i="37"/>
  <c r="R4" i="37"/>
  <c r="S4" i="37"/>
  <c r="T4" i="37"/>
  <c r="U4" i="37"/>
  <c r="V4" i="37"/>
  <c r="M4" i="37"/>
  <c r="T2" i="68" l="1"/>
  <c r="L58" i="46" s="1"/>
  <c r="K58" i="46"/>
  <c r="L3" i="36"/>
  <c r="M3" i="36"/>
  <c r="N3" i="36"/>
  <c r="O3" i="36"/>
  <c r="P3" i="36"/>
  <c r="Q3" i="35"/>
  <c r="L3" i="35"/>
  <c r="M3" i="35"/>
  <c r="N3" i="35"/>
  <c r="O3" i="35"/>
  <c r="P3" i="35"/>
  <c r="M2" i="56"/>
  <c r="I2" i="56"/>
  <c r="J2" i="56"/>
  <c r="K2" i="56"/>
  <c r="L2" i="56"/>
  <c r="J3" i="60"/>
  <c r="K3" i="60"/>
  <c r="L3" i="60"/>
  <c r="M3" i="60"/>
  <c r="N3" i="60"/>
  <c r="J3" i="59"/>
  <c r="K3" i="59"/>
  <c r="L3" i="59"/>
  <c r="M3" i="59"/>
  <c r="N3" i="59"/>
  <c r="K3" i="57"/>
  <c r="L3" i="57"/>
  <c r="M3" i="57"/>
  <c r="N3" i="57"/>
  <c r="J3" i="58"/>
  <c r="K3" i="58"/>
  <c r="L3" i="58"/>
  <c r="M3" i="58"/>
  <c r="N3" i="58"/>
  <c r="V4" i="25"/>
  <c r="W4" i="25"/>
  <c r="X4" i="25"/>
  <c r="Y4" i="25"/>
  <c r="Z4" i="25"/>
  <c r="X3" i="31"/>
  <c r="Y3" i="31"/>
  <c r="T3" i="31"/>
  <c r="U3" i="31"/>
  <c r="V3" i="31"/>
  <c r="W3" i="31"/>
  <c r="L7" i="54"/>
  <c r="M7" i="54"/>
  <c r="I7" i="54"/>
  <c r="J7" i="54"/>
  <c r="K7" i="54"/>
  <c r="F8" i="68"/>
  <c r="G8" i="68"/>
  <c r="H8" i="68"/>
  <c r="E8" i="68"/>
  <c r="E3" i="53"/>
  <c r="F3" i="53"/>
  <c r="G3" i="53"/>
  <c r="D3" i="53"/>
  <c r="Q3" i="51"/>
  <c r="R3" i="51"/>
  <c r="S3" i="51"/>
  <c r="P3" i="51"/>
  <c r="P3" i="50"/>
  <c r="Q3" i="50"/>
  <c r="R3" i="50"/>
  <c r="O3" i="50"/>
  <c r="G3" i="65"/>
  <c r="H3" i="65"/>
  <c r="I3" i="65"/>
  <c r="F3" i="65"/>
  <c r="J3" i="49"/>
  <c r="K3" i="49"/>
  <c r="L3" i="49"/>
  <c r="I3" i="49"/>
  <c r="E1" i="61"/>
  <c r="F1" i="61"/>
  <c r="G1" i="61"/>
  <c r="D1" i="61"/>
  <c r="E4" i="62"/>
  <c r="F4" i="62"/>
  <c r="G4" i="62"/>
  <c r="D4" i="62"/>
  <c r="L4" i="48"/>
  <c r="M4" i="48"/>
  <c r="N4" i="48"/>
  <c r="K4" i="48"/>
  <c r="K3" i="47"/>
  <c r="L3" i="47"/>
  <c r="M3" i="47"/>
  <c r="J3" i="47"/>
  <c r="K3" i="45"/>
  <c r="L3" i="45"/>
  <c r="M3" i="45"/>
  <c r="J3" i="45"/>
  <c r="K4" i="44"/>
  <c r="L4" i="44"/>
  <c r="M4" i="44"/>
  <c r="J4" i="44"/>
  <c r="L3" i="43"/>
  <c r="M3" i="43"/>
  <c r="N3" i="43"/>
  <c r="K3" i="43"/>
  <c r="E3" i="42"/>
  <c r="F3" i="42"/>
  <c r="G3" i="42"/>
  <c r="D3" i="42"/>
  <c r="P6" i="41"/>
  <c r="Q6" i="41"/>
  <c r="R6" i="41"/>
  <c r="S6" i="41"/>
  <c r="E3" i="40"/>
  <c r="F3" i="40"/>
  <c r="G3" i="40"/>
  <c r="D3" i="40"/>
  <c r="K3" i="39"/>
  <c r="L3" i="39"/>
  <c r="M3" i="39"/>
  <c r="J3" i="39"/>
  <c r="G4" i="38"/>
  <c r="H4" i="38"/>
  <c r="I4" i="38"/>
  <c r="F4" i="38"/>
  <c r="O34" i="37"/>
  <c r="P34" i="37"/>
  <c r="Q34" i="37"/>
  <c r="N34" i="37"/>
  <c r="I3" i="36"/>
  <c r="J3" i="36"/>
  <c r="K3" i="36"/>
  <c r="H3" i="36"/>
  <c r="I3" i="35"/>
  <c r="J3" i="35"/>
  <c r="K3" i="35"/>
  <c r="H3" i="35"/>
  <c r="F2" i="56"/>
  <c r="G2" i="56"/>
  <c r="H2" i="56"/>
  <c r="E2" i="56"/>
  <c r="F3" i="60"/>
  <c r="G3" i="60"/>
  <c r="H3" i="60"/>
  <c r="I3" i="60"/>
  <c r="G3" i="59"/>
  <c r="H3" i="59"/>
  <c r="I3" i="59"/>
  <c r="F3" i="59"/>
  <c r="G3" i="57"/>
  <c r="H3" i="57"/>
  <c r="I3" i="57"/>
  <c r="F3" i="57"/>
  <c r="G3" i="58"/>
  <c r="H3" i="58"/>
  <c r="I3" i="58"/>
  <c r="F3" i="58"/>
  <c r="R4" i="25"/>
  <c r="S4" i="25"/>
  <c r="T4" i="25"/>
  <c r="U4" i="25"/>
  <c r="S3" i="31"/>
  <c r="R3" i="31"/>
  <c r="Q3" i="31"/>
  <c r="P3" i="31"/>
  <c r="F7" i="55"/>
  <c r="G7" i="55"/>
  <c r="H7" i="55"/>
  <c r="E7" i="55"/>
  <c r="F7" i="54"/>
  <c r="G7" i="54"/>
  <c r="H7" i="54"/>
  <c r="E7" i="54"/>
  <c r="C25" i="14"/>
  <c r="D5" i="55"/>
  <c r="D5" i="54"/>
  <c r="D31" i="54" s="1"/>
  <c r="E7" i="27"/>
  <c r="F7" i="27" s="1"/>
  <c r="G7" i="27" s="1"/>
  <c r="H7" i="27" s="1"/>
  <c r="I7" i="27" s="1"/>
  <c r="J7" i="27" s="1"/>
  <c r="K7" i="27" s="1"/>
  <c r="L7" i="27" s="1"/>
  <c r="M7" i="27" s="1"/>
  <c r="N7" i="27" s="1"/>
  <c r="D11" i="54" l="1"/>
  <c r="D49" i="54"/>
  <c r="D20" i="54"/>
  <c r="D24" i="54"/>
  <c r="D28" i="54"/>
  <c r="D22" i="54"/>
  <c r="D30" i="54"/>
  <c r="D19" i="54"/>
  <c r="D27" i="54"/>
  <c r="E31" i="54"/>
  <c r="E11" i="54" s="1"/>
  <c r="D21" i="54"/>
  <c r="D25" i="54"/>
  <c r="D29" i="54"/>
  <c r="D26" i="54"/>
  <c r="D23" i="54"/>
  <c r="D18" i="54"/>
  <c r="D20" i="27"/>
  <c r="E20" i="27" s="1"/>
  <c r="F20" i="27" s="1"/>
  <c r="D21" i="27"/>
  <c r="D22" i="27"/>
  <c r="D23" i="27"/>
  <c r="E23" i="27" s="1"/>
  <c r="F23" i="27" s="1"/>
  <c r="G23" i="27" s="1"/>
  <c r="H23" i="27" s="1"/>
  <c r="I23" i="27" s="1"/>
  <c r="J23" i="27" s="1"/>
  <c r="K23" i="27" s="1"/>
  <c r="L23" i="27" s="1"/>
  <c r="M23" i="27" s="1"/>
  <c r="N23" i="27" s="1"/>
  <c r="D24" i="27"/>
  <c r="E24" i="27" s="1"/>
  <c r="F24" i="27" s="1"/>
  <c r="G24" i="27" s="1"/>
  <c r="H24" i="27" s="1"/>
  <c r="I24" i="27" s="1"/>
  <c r="J24" i="27" s="1"/>
  <c r="K24" i="27" s="1"/>
  <c r="L24" i="27" s="1"/>
  <c r="M24" i="27" s="1"/>
  <c r="N24" i="27" s="1"/>
  <c r="D25" i="27"/>
  <c r="E25" i="27" s="1"/>
  <c r="F25" i="27" s="1"/>
  <c r="G25" i="27" s="1"/>
  <c r="H25" i="27" s="1"/>
  <c r="I25" i="27" s="1"/>
  <c r="J25" i="27" s="1"/>
  <c r="K25" i="27" s="1"/>
  <c r="L25" i="27" s="1"/>
  <c r="M25" i="27" s="1"/>
  <c r="N25" i="27" s="1"/>
  <c r="D19" i="27"/>
  <c r="E19" i="27" s="1"/>
  <c r="D9" i="27"/>
  <c r="D10" i="27"/>
  <c r="E10" i="27" s="1"/>
  <c r="F10" i="27" s="1"/>
  <c r="G10" i="27" s="1"/>
  <c r="H10" i="27" s="1"/>
  <c r="I10" i="27" s="1"/>
  <c r="J10" i="27" s="1"/>
  <c r="K10" i="27" s="1"/>
  <c r="L10" i="27" s="1"/>
  <c r="M10" i="27" s="1"/>
  <c r="N10" i="27" s="1"/>
  <c r="D11" i="27"/>
  <c r="D12" i="27"/>
  <c r="D8" i="27"/>
  <c r="O37" i="29"/>
  <c r="N44" i="29"/>
  <c r="D39" i="54" l="1"/>
  <c r="D60" i="54" s="1"/>
  <c r="D47" i="54"/>
  <c r="D68" i="54" s="1"/>
  <c r="D48" i="54"/>
  <c r="D69" i="54" s="1"/>
  <c r="D38" i="54"/>
  <c r="D59" i="54" s="1"/>
  <c r="D44" i="54"/>
  <c r="D65" i="54" s="1"/>
  <c r="D45" i="54"/>
  <c r="D66" i="54" s="1"/>
  <c r="D42" i="54"/>
  <c r="D63" i="54" s="1"/>
  <c r="D40" i="54"/>
  <c r="D61" i="54" s="1"/>
  <c r="D37" i="54"/>
  <c r="D58" i="54" s="1"/>
  <c r="D36" i="54"/>
  <c r="D57" i="54" s="1"/>
  <c r="D43" i="54"/>
  <c r="D64" i="54" s="1"/>
  <c r="D41" i="54"/>
  <c r="D62" i="54" s="1"/>
  <c r="D46" i="54"/>
  <c r="D67" i="54" s="1"/>
  <c r="E49" i="54"/>
  <c r="E20" i="54"/>
  <c r="E24" i="54"/>
  <c r="E28" i="54"/>
  <c r="E22" i="54"/>
  <c r="E30" i="54"/>
  <c r="E19" i="54"/>
  <c r="E23" i="54"/>
  <c r="E21" i="54"/>
  <c r="E25" i="54"/>
  <c r="E29" i="54"/>
  <c r="E18" i="54"/>
  <c r="E26" i="54"/>
  <c r="F31" i="54"/>
  <c r="E27" i="54"/>
  <c r="F11" i="27"/>
  <c r="N11" i="27"/>
  <c r="J11" i="27"/>
  <c r="L11" i="27"/>
  <c r="G11" i="27"/>
  <c r="M11" i="27"/>
  <c r="I11" i="27"/>
  <c r="H11" i="27"/>
  <c r="K11" i="27"/>
  <c r="I21" i="27"/>
  <c r="L21" i="27"/>
  <c r="J21" i="27"/>
  <c r="M21" i="27"/>
  <c r="K21" i="27"/>
  <c r="N21" i="27"/>
  <c r="F21" i="27"/>
  <c r="G21" i="27"/>
  <c r="H21" i="27"/>
  <c r="E21" i="27"/>
  <c r="E11" i="27"/>
  <c r="F11" i="54" l="1"/>
  <c r="F49" i="54"/>
  <c r="D70" i="54"/>
  <c r="E39" i="54"/>
  <c r="E38" i="54"/>
  <c r="E44" i="54"/>
  <c r="E45" i="54"/>
  <c r="E46" i="54"/>
  <c r="E42" i="54"/>
  <c r="E41" i="54"/>
  <c r="E40" i="54"/>
  <c r="E47" i="54"/>
  <c r="E37" i="54"/>
  <c r="E36" i="54"/>
  <c r="E43" i="54"/>
  <c r="E48" i="54"/>
  <c r="G31" i="54"/>
  <c r="F21" i="54"/>
  <c r="F25" i="54"/>
  <c r="F29" i="54"/>
  <c r="F19" i="54"/>
  <c r="F27" i="54"/>
  <c r="F24" i="54"/>
  <c r="F18" i="54"/>
  <c r="F22" i="54"/>
  <c r="F26" i="54"/>
  <c r="F30" i="54"/>
  <c r="F23" i="54"/>
  <c r="F20" i="54"/>
  <c r="F28" i="54"/>
  <c r="C31" i="71"/>
  <c r="C22" i="46" s="1"/>
  <c r="F36" i="54" l="1"/>
  <c r="F48" i="54"/>
  <c r="F46" i="54"/>
  <c r="F44" i="54"/>
  <c r="F42" i="54"/>
  <c r="F40" i="54"/>
  <c r="F38" i="54"/>
  <c r="F47" i="54"/>
  <c r="F45" i="54"/>
  <c r="F43" i="54"/>
  <c r="F41" i="54"/>
  <c r="F39" i="54"/>
  <c r="F37" i="54"/>
  <c r="G49" i="54"/>
  <c r="G11" i="54"/>
  <c r="H31" i="54"/>
  <c r="H11" i="54" s="1"/>
  <c r="H49" i="54" s="1"/>
  <c r="G18" i="54"/>
  <c r="G22" i="54"/>
  <c r="G26" i="54"/>
  <c r="G30" i="54"/>
  <c r="G24" i="54"/>
  <c r="G21" i="54"/>
  <c r="G29" i="54"/>
  <c r="G19" i="54"/>
  <c r="G23" i="54"/>
  <c r="G27" i="54"/>
  <c r="G20" i="54"/>
  <c r="G28" i="54"/>
  <c r="G25" i="54"/>
  <c r="C37" i="71"/>
  <c r="C29" i="46" s="1"/>
  <c r="H36" i="54" l="1"/>
  <c r="H48" i="54"/>
  <c r="H46" i="54"/>
  <c r="H44" i="54"/>
  <c r="H42" i="54"/>
  <c r="H40" i="54"/>
  <c r="H38" i="54"/>
  <c r="H47" i="54"/>
  <c r="H45" i="54"/>
  <c r="H43" i="54"/>
  <c r="H41" i="54"/>
  <c r="H39" i="54"/>
  <c r="H37" i="54"/>
  <c r="G36" i="54"/>
  <c r="G41" i="54"/>
  <c r="G44" i="54"/>
  <c r="G38" i="54"/>
  <c r="G47" i="54"/>
  <c r="G39" i="54"/>
  <c r="G42" i="54"/>
  <c r="G45" i="54"/>
  <c r="G37" i="54"/>
  <c r="G48" i="54"/>
  <c r="G40" i="54"/>
  <c r="G43" i="54"/>
  <c r="G46" i="54"/>
  <c r="H19" i="54"/>
  <c r="H23" i="54"/>
  <c r="H27" i="54"/>
  <c r="H21" i="54"/>
  <c r="H29" i="54"/>
  <c r="H22" i="54"/>
  <c r="H26" i="54"/>
  <c r="H20" i="54"/>
  <c r="H24" i="54"/>
  <c r="H28" i="54"/>
  <c r="I31" i="54"/>
  <c r="H25" i="54"/>
  <c r="H18" i="54"/>
  <c r="H30" i="54"/>
  <c r="D25" i="71"/>
  <c r="D31" i="71" s="1"/>
  <c r="D22" i="46" s="1"/>
  <c r="D9" i="71"/>
  <c r="E9" i="71" s="1"/>
  <c r="F9" i="71" s="1"/>
  <c r="G9" i="71" s="1"/>
  <c r="H9" i="71" s="1"/>
  <c r="I9" i="71" s="1"/>
  <c r="J9" i="71" s="1"/>
  <c r="K9" i="71" s="1"/>
  <c r="L9" i="71" s="1"/>
  <c r="D76" i="46"/>
  <c r="E76" i="46"/>
  <c r="C76" i="46"/>
  <c r="E22" i="27" s="1"/>
  <c r="F22" i="27" s="1"/>
  <c r="M189" i="69"/>
  <c r="E189" i="69"/>
  <c r="F189" i="69" s="1"/>
  <c r="M188" i="69"/>
  <c r="E188" i="69"/>
  <c r="H188" i="69" s="1"/>
  <c r="M187" i="69"/>
  <c r="E187" i="69"/>
  <c r="F187" i="69" s="1"/>
  <c r="M186" i="69"/>
  <c r="E186" i="69"/>
  <c r="G186" i="69" s="1"/>
  <c r="M185" i="69"/>
  <c r="E185" i="69"/>
  <c r="H185" i="69" s="1"/>
  <c r="M184" i="69"/>
  <c r="E184" i="69"/>
  <c r="H184" i="69" s="1"/>
  <c r="M183" i="69"/>
  <c r="E183" i="69"/>
  <c r="G183" i="69" s="1"/>
  <c r="M182" i="69"/>
  <c r="E182" i="69"/>
  <c r="F182" i="69" s="1"/>
  <c r="M181" i="69"/>
  <c r="E181" i="69"/>
  <c r="H181" i="69" s="1"/>
  <c r="M180" i="69"/>
  <c r="E180" i="69"/>
  <c r="H180" i="69" s="1"/>
  <c r="M179" i="69"/>
  <c r="E179" i="69"/>
  <c r="G179" i="69" s="1"/>
  <c r="M178" i="69"/>
  <c r="E178" i="69"/>
  <c r="H178" i="69" s="1"/>
  <c r="M177" i="69"/>
  <c r="E177" i="69"/>
  <c r="H177" i="69" s="1"/>
  <c r="M176" i="69"/>
  <c r="E176" i="69"/>
  <c r="H176" i="69" s="1"/>
  <c r="M175" i="69"/>
  <c r="E175" i="69"/>
  <c r="G175" i="69" s="1"/>
  <c r="M174" i="69"/>
  <c r="E174" i="69"/>
  <c r="H174" i="69" s="1"/>
  <c r="M173" i="69"/>
  <c r="E173" i="69"/>
  <c r="H173" i="69" s="1"/>
  <c r="M172" i="69"/>
  <c r="E172" i="69"/>
  <c r="H172" i="69" s="1"/>
  <c r="M171" i="69"/>
  <c r="E171" i="69"/>
  <c r="G171" i="69" s="1"/>
  <c r="M170" i="69"/>
  <c r="E170" i="69"/>
  <c r="H170" i="69" s="1"/>
  <c r="M169" i="69"/>
  <c r="E169" i="69"/>
  <c r="H169" i="69" s="1"/>
  <c r="M168" i="69"/>
  <c r="E168" i="69"/>
  <c r="H168" i="69" s="1"/>
  <c r="M167" i="69"/>
  <c r="E167" i="69"/>
  <c r="G167" i="69" s="1"/>
  <c r="M166" i="69"/>
  <c r="E166" i="69"/>
  <c r="H166" i="69" s="1"/>
  <c r="M165" i="69"/>
  <c r="E165" i="69"/>
  <c r="H165" i="69" s="1"/>
  <c r="M164" i="69"/>
  <c r="E164" i="69"/>
  <c r="H164" i="69" s="1"/>
  <c r="M163" i="69"/>
  <c r="E163" i="69"/>
  <c r="G163" i="69" s="1"/>
  <c r="M162" i="69"/>
  <c r="E162" i="69"/>
  <c r="H162" i="69" s="1"/>
  <c r="M161" i="69"/>
  <c r="E161" i="69"/>
  <c r="H161" i="69" s="1"/>
  <c r="M160" i="69"/>
  <c r="E160" i="69"/>
  <c r="G160" i="69" s="1"/>
  <c r="M159" i="69"/>
  <c r="E159" i="69"/>
  <c r="G159" i="69" s="1"/>
  <c r="M158" i="69"/>
  <c r="E158" i="69"/>
  <c r="H158" i="69" s="1"/>
  <c r="M157" i="69"/>
  <c r="E157" i="69"/>
  <c r="H157" i="69" s="1"/>
  <c r="M156" i="69"/>
  <c r="E156" i="69"/>
  <c r="G156" i="69" s="1"/>
  <c r="M155" i="69"/>
  <c r="E155" i="69"/>
  <c r="G155" i="69" s="1"/>
  <c r="M154" i="69"/>
  <c r="E154" i="69"/>
  <c r="H154" i="69" s="1"/>
  <c r="M153" i="69"/>
  <c r="E153" i="69"/>
  <c r="H153" i="69" s="1"/>
  <c r="E152" i="69"/>
  <c r="H152" i="69" s="1"/>
  <c r="M151" i="69"/>
  <c r="E151" i="69"/>
  <c r="H151" i="69" s="1"/>
  <c r="M150" i="69"/>
  <c r="E150" i="69"/>
  <c r="G150" i="69" s="1"/>
  <c r="M149" i="69"/>
  <c r="E149" i="69"/>
  <c r="G149" i="69" s="1"/>
  <c r="M148" i="69"/>
  <c r="E148" i="69"/>
  <c r="H148" i="69" s="1"/>
  <c r="M147" i="69"/>
  <c r="E147" i="69"/>
  <c r="H147" i="69" s="1"/>
  <c r="M146" i="69"/>
  <c r="E146" i="69"/>
  <c r="G146" i="69" s="1"/>
  <c r="M145" i="69"/>
  <c r="E145" i="69"/>
  <c r="H145" i="69" s="1"/>
  <c r="M144" i="69"/>
  <c r="E144" i="69"/>
  <c r="H144" i="69" s="1"/>
  <c r="M143" i="69"/>
  <c r="E143" i="69"/>
  <c r="H143" i="69" s="1"/>
  <c r="M142" i="69"/>
  <c r="E142" i="69"/>
  <c r="G142" i="69" s="1"/>
  <c r="M141" i="69"/>
  <c r="E141" i="69"/>
  <c r="G141" i="69" s="1"/>
  <c r="M140" i="69"/>
  <c r="E140" i="69"/>
  <c r="H140" i="69" s="1"/>
  <c r="E139" i="69"/>
  <c r="H139" i="69" s="1"/>
  <c r="M138" i="69"/>
  <c r="E138" i="69"/>
  <c r="H138" i="69" s="1"/>
  <c r="M137" i="69"/>
  <c r="E137" i="69"/>
  <c r="H137" i="69" s="1"/>
  <c r="M136" i="69"/>
  <c r="E136" i="69"/>
  <c r="H136" i="69" s="1"/>
  <c r="M135" i="69"/>
  <c r="E135" i="69"/>
  <c r="H135" i="69" s="1"/>
  <c r="M134" i="69"/>
  <c r="E134" i="69"/>
  <c r="H134" i="69" s="1"/>
  <c r="M133" i="69"/>
  <c r="E133" i="69"/>
  <c r="M132" i="69"/>
  <c r="E132" i="69"/>
  <c r="G132" i="69" s="1"/>
  <c r="M131" i="69"/>
  <c r="E131" i="69"/>
  <c r="H131" i="69" s="1"/>
  <c r="M130" i="69"/>
  <c r="E130" i="69"/>
  <c r="H130" i="69" s="1"/>
  <c r="M129" i="69"/>
  <c r="E129" i="69"/>
  <c r="G129" i="69" s="1"/>
  <c r="M128" i="69"/>
  <c r="E128" i="69"/>
  <c r="F128" i="69" s="1"/>
  <c r="M127" i="69"/>
  <c r="E127" i="69"/>
  <c r="G127" i="69" s="1"/>
  <c r="M126" i="69"/>
  <c r="E126" i="69"/>
  <c r="H126" i="69" s="1"/>
  <c r="M125" i="69"/>
  <c r="E125" i="69"/>
  <c r="G125" i="69" s="1"/>
  <c r="M124" i="69"/>
  <c r="E124" i="69"/>
  <c r="F124" i="69" s="1"/>
  <c r="M123" i="69"/>
  <c r="E123" i="69"/>
  <c r="H123" i="69" s="1"/>
  <c r="M122" i="69"/>
  <c r="E122" i="69"/>
  <c r="H122" i="69" s="1"/>
  <c r="M121" i="69"/>
  <c r="E121" i="69"/>
  <c r="M120" i="69"/>
  <c r="E120" i="69"/>
  <c r="M119" i="69"/>
  <c r="E119" i="69"/>
  <c r="G119" i="69" s="1"/>
  <c r="M118" i="69"/>
  <c r="E118" i="69"/>
  <c r="F118" i="69" s="1"/>
  <c r="M117" i="69"/>
  <c r="E117" i="69"/>
  <c r="G117" i="69" s="1"/>
  <c r="M116" i="69"/>
  <c r="E116" i="69"/>
  <c r="F116" i="69" s="1"/>
  <c r="M115" i="69"/>
  <c r="E115" i="69"/>
  <c r="M114" i="69"/>
  <c r="E114" i="69"/>
  <c r="H114" i="69" s="1"/>
  <c r="M113" i="69"/>
  <c r="E113" i="69"/>
  <c r="G113" i="69" s="1"/>
  <c r="M112" i="69"/>
  <c r="E112" i="69"/>
  <c r="H112" i="69" s="1"/>
  <c r="M111" i="69"/>
  <c r="E111" i="69"/>
  <c r="G111" i="69" s="1"/>
  <c r="M110" i="69"/>
  <c r="E110" i="69"/>
  <c r="G110" i="69" s="1"/>
  <c r="M109" i="69"/>
  <c r="E109" i="69"/>
  <c r="H109" i="69" s="1"/>
  <c r="M108" i="69"/>
  <c r="E108" i="69"/>
  <c r="G108" i="69" s="1"/>
  <c r="M107" i="69"/>
  <c r="E107" i="69"/>
  <c r="F107" i="69" s="1"/>
  <c r="M106" i="69"/>
  <c r="E106" i="69"/>
  <c r="H106" i="69" s="1"/>
  <c r="M105" i="69"/>
  <c r="E105" i="69"/>
  <c r="H105" i="69" s="1"/>
  <c r="M104" i="69"/>
  <c r="E104" i="69"/>
  <c r="G104" i="69" s="1"/>
  <c r="M103" i="69"/>
  <c r="E103" i="69"/>
  <c r="F103" i="69" s="1"/>
  <c r="E102" i="69"/>
  <c r="G102" i="69" s="1"/>
  <c r="M101" i="69"/>
  <c r="E101" i="69"/>
  <c r="F101" i="69" s="1"/>
  <c r="M100" i="69"/>
  <c r="E100" i="69"/>
  <c r="F100" i="69" s="1"/>
  <c r="M99" i="69"/>
  <c r="E99" i="69"/>
  <c r="M98" i="69"/>
  <c r="E98" i="69"/>
  <c r="M97" i="69"/>
  <c r="E97" i="69"/>
  <c r="F97" i="69" s="1"/>
  <c r="M96" i="69"/>
  <c r="E96" i="69"/>
  <c r="F96" i="69" s="1"/>
  <c r="M95" i="69"/>
  <c r="E95" i="69"/>
  <c r="H95" i="69" s="1"/>
  <c r="E94" i="69"/>
  <c r="F94" i="69" s="1"/>
  <c r="M93" i="69"/>
  <c r="E93" i="69"/>
  <c r="H93" i="69" s="1"/>
  <c r="M92" i="69"/>
  <c r="E92" i="69"/>
  <c r="G92" i="69" s="1"/>
  <c r="M91" i="69"/>
  <c r="E91" i="69"/>
  <c r="F91" i="69" s="1"/>
  <c r="M90" i="69"/>
  <c r="E90" i="69"/>
  <c r="G90" i="69" s="1"/>
  <c r="E89" i="69"/>
  <c r="M88" i="69"/>
  <c r="E88" i="69"/>
  <c r="H88" i="69" s="1"/>
  <c r="M87" i="69"/>
  <c r="E87" i="69"/>
  <c r="H87" i="69" s="1"/>
  <c r="M86" i="69"/>
  <c r="E86" i="69"/>
  <c r="G86" i="69" s="1"/>
  <c r="M85" i="69"/>
  <c r="E85" i="69"/>
  <c r="H85" i="69" s="1"/>
  <c r="M84" i="69"/>
  <c r="E84" i="69"/>
  <c r="E83" i="69"/>
  <c r="H83" i="69" s="1"/>
  <c r="M82" i="69"/>
  <c r="E82" i="69"/>
  <c r="M81" i="69"/>
  <c r="E81" i="69"/>
  <c r="G81" i="69" s="1"/>
  <c r="M80" i="69"/>
  <c r="E80" i="69"/>
  <c r="H80" i="69" s="1"/>
  <c r="M79" i="69"/>
  <c r="E79" i="69"/>
  <c r="H79" i="69" s="1"/>
  <c r="M78" i="69"/>
  <c r="E78" i="69"/>
  <c r="M77" i="69"/>
  <c r="E77" i="69"/>
  <c r="G77" i="69" s="1"/>
  <c r="M76" i="69"/>
  <c r="E76" i="69"/>
  <c r="H76" i="69" s="1"/>
  <c r="M75" i="69"/>
  <c r="E75" i="69"/>
  <c r="H75" i="69" s="1"/>
  <c r="M74" i="69"/>
  <c r="E74" i="69"/>
  <c r="M73" i="69"/>
  <c r="E73" i="69"/>
  <c r="F73" i="69" s="1"/>
  <c r="M72" i="69"/>
  <c r="E72" i="69"/>
  <c r="F72" i="69" s="1"/>
  <c r="M71" i="69"/>
  <c r="E71" i="69"/>
  <c r="G71" i="69" s="1"/>
  <c r="M70" i="69"/>
  <c r="E70" i="69"/>
  <c r="H70" i="69" s="1"/>
  <c r="M69" i="69"/>
  <c r="E69" i="69"/>
  <c r="G69" i="69" s="1"/>
  <c r="M68" i="69"/>
  <c r="E68" i="69"/>
  <c r="F68" i="69" s="1"/>
  <c r="M67" i="69"/>
  <c r="E67" i="69"/>
  <c r="G67" i="69" s="1"/>
  <c r="M66" i="69"/>
  <c r="E66" i="69"/>
  <c r="H66" i="69" s="1"/>
  <c r="M65" i="69"/>
  <c r="E65" i="69"/>
  <c r="G65" i="69" s="1"/>
  <c r="M64" i="69"/>
  <c r="E64" i="69"/>
  <c r="G64" i="69" s="1"/>
  <c r="M63" i="69"/>
  <c r="E63" i="69"/>
  <c r="F63" i="69" s="1"/>
  <c r="M62" i="69"/>
  <c r="E62" i="69"/>
  <c r="M61" i="69"/>
  <c r="E61" i="69"/>
  <c r="G61" i="69" s="1"/>
  <c r="M60" i="69"/>
  <c r="E60" i="69"/>
  <c r="G60" i="69" s="1"/>
  <c r="M59" i="69"/>
  <c r="E59" i="69"/>
  <c r="F59" i="69" s="1"/>
  <c r="M58" i="69"/>
  <c r="E58" i="69"/>
  <c r="M57" i="69"/>
  <c r="E57" i="69"/>
  <c r="G57" i="69" s="1"/>
  <c r="M56" i="69"/>
  <c r="E56" i="69"/>
  <c r="G56" i="69" s="1"/>
  <c r="M55" i="69"/>
  <c r="E55" i="69"/>
  <c r="F55" i="69" s="1"/>
  <c r="M54" i="69"/>
  <c r="E54" i="69"/>
  <c r="M53" i="69"/>
  <c r="E53" i="69"/>
  <c r="G53" i="69" s="1"/>
  <c r="M52" i="69"/>
  <c r="E52" i="69"/>
  <c r="G52" i="69" s="1"/>
  <c r="M51" i="69"/>
  <c r="E51" i="69"/>
  <c r="F51" i="69" s="1"/>
  <c r="M50" i="69"/>
  <c r="E50" i="69"/>
  <c r="M49" i="69"/>
  <c r="E49" i="69"/>
  <c r="G49" i="69" s="1"/>
  <c r="M48" i="69"/>
  <c r="E48" i="69"/>
  <c r="G48" i="69" s="1"/>
  <c r="M47" i="69"/>
  <c r="E47" i="69"/>
  <c r="F47" i="69" s="1"/>
  <c r="M46" i="69"/>
  <c r="E46" i="69"/>
  <c r="M45" i="69"/>
  <c r="E45" i="69"/>
  <c r="G45" i="69" s="1"/>
  <c r="M44" i="69"/>
  <c r="E44" i="69"/>
  <c r="G44" i="69" s="1"/>
  <c r="M43" i="69"/>
  <c r="E43" i="69"/>
  <c r="F43" i="69" s="1"/>
  <c r="M42" i="69"/>
  <c r="E42" i="69"/>
  <c r="M41" i="69"/>
  <c r="E41" i="69"/>
  <c r="F41" i="69" s="1"/>
  <c r="M40" i="69"/>
  <c r="E40" i="69"/>
  <c r="H40" i="69" s="1"/>
  <c r="M39" i="69"/>
  <c r="E39" i="69"/>
  <c r="G39" i="69" s="1"/>
  <c r="M38" i="69"/>
  <c r="E38" i="69"/>
  <c r="G38" i="69" s="1"/>
  <c r="M37" i="69"/>
  <c r="E37" i="69"/>
  <c r="H37" i="69" s="1"/>
  <c r="E36" i="69"/>
  <c r="F36" i="69" s="1"/>
  <c r="M35" i="69"/>
  <c r="E35" i="69"/>
  <c r="H35" i="69" s="1"/>
  <c r="M34" i="69"/>
  <c r="E34" i="69"/>
  <c r="F34" i="69" s="1"/>
  <c r="G33" i="69"/>
  <c r="M32" i="69"/>
  <c r="E32" i="69"/>
  <c r="G32" i="69" s="1"/>
  <c r="M31" i="69"/>
  <c r="E31" i="69"/>
  <c r="G31" i="69" s="1"/>
  <c r="M30" i="69"/>
  <c r="E30" i="69"/>
  <c r="F30" i="69" s="1"/>
  <c r="M29" i="69"/>
  <c r="E29" i="69"/>
  <c r="M28" i="69"/>
  <c r="E28" i="69"/>
  <c r="G28" i="69" s="1"/>
  <c r="M27" i="69"/>
  <c r="E27" i="69"/>
  <c r="F27" i="69" s="1"/>
  <c r="M26" i="69"/>
  <c r="E26" i="69"/>
  <c r="G26" i="69" s="1"/>
  <c r="M25" i="69"/>
  <c r="E25" i="69"/>
  <c r="H25" i="69" s="1"/>
  <c r="M24" i="69"/>
  <c r="E24" i="69"/>
  <c r="G24" i="69" s="1"/>
  <c r="M23" i="69"/>
  <c r="E23" i="69"/>
  <c r="G23" i="69" s="1"/>
  <c r="M22" i="69"/>
  <c r="E22" i="69"/>
  <c r="H22" i="69" s="1"/>
  <c r="M21" i="69"/>
  <c r="E21" i="69"/>
  <c r="G21" i="69" s="1"/>
  <c r="M20" i="69"/>
  <c r="E20" i="69"/>
  <c r="G20" i="69" s="1"/>
  <c r="E19" i="69"/>
  <c r="G19" i="69" s="1"/>
  <c r="M18" i="69"/>
  <c r="E18" i="69"/>
  <c r="H18" i="69" s="1"/>
  <c r="M17" i="69"/>
  <c r="E17" i="69"/>
  <c r="H17" i="69" s="1"/>
  <c r="M16" i="69"/>
  <c r="E16" i="69"/>
  <c r="G16" i="69" s="1"/>
  <c r="M15" i="69"/>
  <c r="E15" i="69"/>
  <c r="G15" i="69" s="1"/>
  <c r="M14" i="69"/>
  <c r="E14" i="69"/>
  <c r="H14" i="69" s="1"/>
  <c r="M13" i="69"/>
  <c r="E13" i="69"/>
  <c r="H13" i="69" s="1"/>
  <c r="M12" i="69"/>
  <c r="E12" i="69"/>
  <c r="G12" i="69" s="1"/>
  <c r="E11" i="69"/>
  <c r="H11" i="69" s="1"/>
  <c r="M10" i="69"/>
  <c r="E10" i="69"/>
  <c r="G10" i="69" s="1"/>
  <c r="M9" i="69"/>
  <c r="E9" i="69"/>
  <c r="G9" i="69" s="1"/>
  <c r="M8" i="69"/>
  <c r="E8" i="69"/>
  <c r="H8" i="69" s="1"/>
  <c r="G7" i="69"/>
  <c r="M6" i="69"/>
  <c r="E6" i="69"/>
  <c r="G6" i="69" s="1"/>
  <c r="E5" i="69"/>
  <c r="F5" i="69" s="1"/>
  <c r="M4" i="69"/>
  <c r="E4" i="69"/>
  <c r="H4" i="69" s="1"/>
  <c r="M3" i="69"/>
  <c r="E3" i="69"/>
  <c r="G3" i="69" s="1"/>
  <c r="I11" i="54" l="1"/>
  <c r="I49" i="54"/>
  <c r="I20" i="54"/>
  <c r="I24" i="54"/>
  <c r="I28" i="54"/>
  <c r="J31" i="54"/>
  <c r="I18" i="54"/>
  <c r="I26" i="54"/>
  <c r="I19" i="54"/>
  <c r="I27" i="54"/>
  <c r="I21" i="54"/>
  <c r="I25" i="54"/>
  <c r="I29" i="54"/>
  <c r="I22" i="54"/>
  <c r="I30" i="54"/>
  <c r="I23" i="54"/>
  <c r="G22" i="27"/>
  <c r="H22" i="27" s="1"/>
  <c r="I22" i="27" s="1"/>
  <c r="J22" i="27" s="1"/>
  <c r="K22" i="27" s="1"/>
  <c r="L22" i="27" s="1"/>
  <c r="M22" i="27" s="1"/>
  <c r="N22" i="27" s="1"/>
  <c r="F67" i="69"/>
  <c r="F112" i="69"/>
  <c r="H149" i="69"/>
  <c r="F8" i="69"/>
  <c r="F12" i="69"/>
  <c r="G88" i="69"/>
  <c r="G135" i="69"/>
  <c r="F141" i="69"/>
  <c r="G126" i="69"/>
  <c r="H141" i="69"/>
  <c r="G165" i="69"/>
  <c r="F81" i="69"/>
  <c r="F149" i="69"/>
  <c r="G158" i="69"/>
  <c r="G35" i="69"/>
  <c r="H57" i="69"/>
  <c r="H77" i="69"/>
  <c r="F127" i="69"/>
  <c r="H167" i="69"/>
  <c r="H127" i="69"/>
  <c r="G169" i="69"/>
  <c r="H16" i="69"/>
  <c r="H67" i="69"/>
  <c r="H81" i="69"/>
  <c r="F135" i="69"/>
  <c r="F158" i="69"/>
  <c r="F165" i="69"/>
  <c r="H10" i="69"/>
  <c r="G73" i="69"/>
  <c r="F35" i="69"/>
  <c r="H55" i="69"/>
  <c r="H73" i="69"/>
  <c r="F86" i="69"/>
  <c r="F87" i="69"/>
  <c r="F88" i="69"/>
  <c r="H94" i="69"/>
  <c r="H175" i="69"/>
  <c r="F181" i="69"/>
  <c r="F10" i="69"/>
  <c r="H12" i="69"/>
  <c r="G59" i="69"/>
  <c r="G96" i="69"/>
  <c r="F102" i="69"/>
  <c r="F106" i="69"/>
  <c r="H108" i="69"/>
  <c r="G123" i="69"/>
  <c r="H132" i="69"/>
  <c r="F139" i="69"/>
  <c r="F154" i="69"/>
  <c r="H155" i="69"/>
  <c r="F162" i="69"/>
  <c r="G173" i="69"/>
  <c r="H179" i="69"/>
  <c r="G181" i="69"/>
  <c r="H96" i="69"/>
  <c r="G162" i="69"/>
  <c r="F169" i="69"/>
  <c r="H171" i="69"/>
  <c r="G4" i="69"/>
  <c r="G11" i="69"/>
  <c r="H21" i="69"/>
  <c r="G22" i="69"/>
  <c r="F32" i="69"/>
  <c r="G37" i="69"/>
  <c r="F38" i="69"/>
  <c r="F39" i="69"/>
  <c r="F45" i="69"/>
  <c r="G68" i="69"/>
  <c r="F69" i="69"/>
  <c r="G72" i="69"/>
  <c r="F90" i="69"/>
  <c r="F19" i="69"/>
  <c r="H30" i="69"/>
  <c r="H32" i="69"/>
  <c r="H38" i="69"/>
  <c r="H39" i="69"/>
  <c r="G40" i="69"/>
  <c r="G43" i="69"/>
  <c r="G51" i="69"/>
  <c r="F53" i="69"/>
  <c r="F77" i="69"/>
  <c r="H90" i="69"/>
  <c r="H92" i="69"/>
  <c r="H107" i="69"/>
  <c r="H110" i="69"/>
  <c r="G116" i="69"/>
  <c r="H118" i="69"/>
  <c r="F16" i="69"/>
  <c r="H19" i="69"/>
  <c r="H24" i="69"/>
  <c r="G25" i="69"/>
  <c r="F26" i="69"/>
  <c r="H51" i="69"/>
  <c r="H53" i="69"/>
  <c r="G55" i="69"/>
  <c r="F57" i="69"/>
  <c r="F61" i="69"/>
  <c r="G94" i="69"/>
  <c r="F95" i="69"/>
  <c r="G100" i="69"/>
  <c r="H116" i="69"/>
  <c r="F123" i="69"/>
  <c r="G139" i="69"/>
  <c r="F145" i="69"/>
  <c r="G154" i="69"/>
  <c r="F177" i="69"/>
  <c r="G145" i="69"/>
  <c r="H159" i="69"/>
  <c r="H163" i="69"/>
  <c r="F173" i="69"/>
  <c r="G177" i="69"/>
  <c r="G189" i="69"/>
  <c r="G103" i="69"/>
  <c r="H104" i="69"/>
  <c r="G107" i="69"/>
  <c r="F110" i="69"/>
  <c r="G118" i="69"/>
  <c r="G130" i="69"/>
  <c r="F131" i="69"/>
  <c r="H189" i="69"/>
  <c r="G131" i="69"/>
  <c r="E25" i="71"/>
  <c r="E31" i="71" s="1"/>
  <c r="E22" i="46" s="1"/>
  <c r="D37" i="71"/>
  <c r="F82" i="69"/>
  <c r="G82" i="69"/>
  <c r="F89" i="69"/>
  <c r="H89" i="69"/>
  <c r="G98" i="69"/>
  <c r="H98" i="69"/>
  <c r="F3" i="69"/>
  <c r="F6" i="69"/>
  <c r="G8" i="69"/>
  <c r="G13" i="69"/>
  <c r="F14" i="69"/>
  <c r="G17" i="69"/>
  <c r="F18" i="69"/>
  <c r="H26" i="69"/>
  <c r="F28" i="69"/>
  <c r="H43" i="69"/>
  <c r="H45" i="69"/>
  <c r="H46" i="69"/>
  <c r="G46" i="69"/>
  <c r="G47" i="69"/>
  <c r="F49" i="69"/>
  <c r="H59" i="69"/>
  <c r="H61" i="69"/>
  <c r="H62" i="69"/>
  <c r="G62" i="69"/>
  <c r="G63" i="69"/>
  <c r="F65" i="69"/>
  <c r="H69" i="69"/>
  <c r="F71" i="69"/>
  <c r="G79" i="69"/>
  <c r="F79" i="69"/>
  <c r="G85" i="69"/>
  <c r="F85" i="69"/>
  <c r="G91" i="69"/>
  <c r="F98" i="69"/>
  <c r="H100" i="69"/>
  <c r="G106" i="69"/>
  <c r="G112" i="69"/>
  <c r="G133" i="69"/>
  <c r="H133" i="69"/>
  <c r="H99" i="69"/>
  <c r="F99" i="69"/>
  <c r="G114" i="69"/>
  <c r="F114" i="69"/>
  <c r="G120" i="69"/>
  <c r="H120" i="69"/>
  <c r="F120" i="69"/>
  <c r="H3" i="69"/>
  <c r="H6" i="69"/>
  <c r="G14" i="69"/>
  <c r="G18" i="69"/>
  <c r="F21" i="69"/>
  <c r="F24" i="69"/>
  <c r="H28" i="69"/>
  <c r="H29" i="69"/>
  <c r="G29" i="69"/>
  <c r="G30" i="69"/>
  <c r="G36" i="69"/>
  <c r="H36" i="69"/>
  <c r="H47" i="69"/>
  <c r="H49" i="69"/>
  <c r="H50" i="69"/>
  <c r="G50" i="69"/>
  <c r="H63" i="69"/>
  <c r="H65" i="69"/>
  <c r="H71" i="69"/>
  <c r="F78" i="69"/>
  <c r="G78" i="69"/>
  <c r="F84" i="69"/>
  <c r="G84" i="69"/>
  <c r="H91" i="69"/>
  <c r="H42" i="69"/>
  <c r="G42" i="69"/>
  <c r="H58" i="69"/>
  <c r="G58" i="69"/>
  <c r="F74" i="69"/>
  <c r="G74" i="69"/>
  <c r="H54" i="69"/>
  <c r="G54" i="69"/>
  <c r="G75" i="69"/>
  <c r="F75" i="69"/>
  <c r="G83" i="69"/>
  <c r="F83" i="69"/>
  <c r="F117" i="69"/>
  <c r="F122" i="69"/>
  <c r="F125" i="69"/>
  <c r="F129" i="69"/>
  <c r="F132" i="69"/>
  <c r="F136" i="69"/>
  <c r="F140" i="69"/>
  <c r="F144" i="69"/>
  <c r="F148" i="69"/>
  <c r="F152" i="69"/>
  <c r="H156" i="69"/>
  <c r="H160" i="69"/>
  <c r="F166" i="69"/>
  <c r="F170" i="69"/>
  <c r="F174" i="69"/>
  <c r="F178" i="69"/>
  <c r="G182" i="69"/>
  <c r="F185" i="69"/>
  <c r="H117" i="69"/>
  <c r="G122" i="69"/>
  <c r="H125" i="69"/>
  <c r="H129" i="69"/>
  <c r="G136" i="69"/>
  <c r="F138" i="69"/>
  <c r="G140" i="69"/>
  <c r="H142" i="69"/>
  <c r="G144" i="69"/>
  <c r="H146" i="69"/>
  <c r="G148" i="69"/>
  <c r="H150" i="69"/>
  <c r="G152" i="69"/>
  <c r="F155" i="69"/>
  <c r="F159" i="69"/>
  <c r="F163" i="69"/>
  <c r="G166" i="69"/>
  <c r="G170" i="69"/>
  <c r="G174" i="69"/>
  <c r="G178" i="69"/>
  <c r="H182" i="69"/>
  <c r="H183" i="69"/>
  <c r="G185" i="69"/>
  <c r="G187" i="69"/>
  <c r="G138" i="69"/>
  <c r="H186" i="69"/>
  <c r="H187" i="69"/>
  <c r="G5" i="69"/>
  <c r="G27" i="69"/>
  <c r="G34" i="69"/>
  <c r="G41" i="69"/>
  <c r="F4" i="69"/>
  <c r="H5" i="69"/>
  <c r="H9" i="69"/>
  <c r="F11" i="69"/>
  <c r="F13" i="69"/>
  <c r="H15" i="69"/>
  <c r="F17" i="69"/>
  <c r="H20" i="69"/>
  <c r="F22" i="69"/>
  <c r="H23" i="69"/>
  <c r="F25" i="69"/>
  <c r="H27" i="69"/>
  <c r="F29" i="69"/>
  <c r="H31" i="69"/>
  <c r="H34" i="69"/>
  <c r="F37" i="69"/>
  <c r="F40" i="69"/>
  <c r="H41" i="69"/>
  <c r="F42" i="69"/>
  <c r="H44" i="69"/>
  <c r="F46" i="69"/>
  <c r="H48" i="69"/>
  <c r="F50" i="69"/>
  <c r="H52" i="69"/>
  <c r="F54" i="69"/>
  <c r="H56" i="69"/>
  <c r="F58" i="69"/>
  <c r="H60" i="69"/>
  <c r="F62" i="69"/>
  <c r="H64" i="69"/>
  <c r="F66" i="69"/>
  <c r="H68" i="69"/>
  <c r="F70" i="69"/>
  <c r="H72" i="69"/>
  <c r="H74" i="69"/>
  <c r="F76" i="69"/>
  <c r="H78" i="69"/>
  <c r="F80" i="69"/>
  <c r="H82" i="69"/>
  <c r="H84" i="69"/>
  <c r="H86" i="69"/>
  <c r="F93" i="69"/>
  <c r="G95" i="69"/>
  <c r="G97" i="69"/>
  <c r="G99" i="69"/>
  <c r="G101" i="69"/>
  <c r="F105" i="69"/>
  <c r="F109" i="69"/>
  <c r="F111" i="69"/>
  <c r="H111" i="69"/>
  <c r="G66" i="69"/>
  <c r="G70" i="69"/>
  <c r="G76" i="69"/>
  <c r="G80" i="69"/>
  <c r="G93" i="69"/>
  <c r="H97" i="69"/>
  <c r="H101" i="69"/>
  <c r="G105" i="69"/>
  <c r="G109" i="69"/>
  <c r="F115" i="69"/>
  <c r="H115" i="69"/>
  <c r="F121" i="69"/>
  <c r="H121" i="69"/>
  <c r="F9" i="69"/>
  <c r="F15" i="69"/>
  <c r="F20" i="69"/>
  <c r="F23" i="69"/>
  <c r="F31" i="69"/>
  <c r="F44" i="69"/>
  <c r="F48" i="69"/>
  <c r="F52" i="69"/>
  <c r="F56" i="69"/>
  <c r="F60" i="69"/>
  <c r="F64" i="69"/>
  <c r="G87" i="69"/>
  <c r="G89" i="69"/>
  <c r="F92" i="69"/>
  <c r="H102" i="69"/>
  <c r="H103" i="69"/>
  <c r="F104" i="69"/>
  <c r="F108" i="69"/>
  <c r="G115" i="69"/>
  <c r="G121" i="69"/>
  <c r="H113" i="69"/>
  <c r="F113" i="69"/>
  <c r="H119" i="69"/>
  <c r="F119" i="69"/>
  <c r="G124" i="69"/>
  <c r="G128" i="69"/>
  <c r="H124" i="69"/>
  <c r="F126" i="69"/>
  <c r="H128" i="69"/>
  <c r="F130" i="69"/>
  <c r="F134" i="69"/>
  <c r="F137" i="69"/>
  <c r="F143" i="69"/>
  <c r="F147" i="69"/>
  <c r="F151" i="69"/>
  <c r="F153" i="69"/>
  <c r="F157" i="69"/>
  <c r="F161" i="69"/>
  <c r="F164" i="69"/>
  <c r="F168" i="69"/>
  <c r="F172" i="69"/>
  <c r="F176" i="69"/>
  <c r="F180" i="69"/>
  <c r="F184" i="69"/>
  <c r="F188" i="69"/>
  <c r="F133" i="69"/>
  <c r="G134" i="69"/>
  <c r="G137" i="69"/>
  <c r="F142" i="69"/>
  <c r="G143" i="69"/>
  <c r="F146" i="69"/>
  <c r="G147" i="69"/>
  <c r="F150" i="69"/>
  <c r="G151" i="69"/>
  <c r="G153" i="69"/>
  <c r="F156" i="69"/>
  <c r="G157" i="69"/>
  <c r="F160" i="69"/>
  <c r="G161" i="69"/>
  <c r="G164" i="69"/>
  <c r="F167" i="69"/>
  <c r="G168" i="69"/>
  <c r="F171" i="69"/>
  <c r="G172" i="69"/>
  <c r="F175" i="69"/>
  <c r="G176" i="69"/>
  <c r="F179" i="69"/>
  <c r="G180" i="69"/>
  <c r="F183" i="69"/>
  <c r="G184" i="69"/>
  <c r="F186" i="69"/>
  <c r="G188" i="69"/>
  <c r="J11" i="54" l="1"/>
  <c r="J49" i="54"/>
  <c r="I38" i="54"/>
  <c r="I42" i="54"/>
  <c r="I46" i="54"/>
  <c r="I45" i="54"/>
  <c r="I39" i="54"/>
  <c r="I43" i="54"/>
  <c r="I47" i="54"/>
  <c r="I37" i="54"/>
  <c r="I36" i="54"/>
  <c r="I40" i="54"/>
  <c r="I44" i="54"/>
  <c r="I48" i="54"/>
  <c r="I41" i="54"/>
  <c r="K31" i="54"/>
  <c r="J21" i="54"/>
  <c r="J25" i="54"/>
  <c r="J29" i="54"/>
  <c r="J23" i="54"/>
  <c r="J24" i="54"/>
  <c r="J18" i="54"/>
  <c r="J22" i="54"/>
  <c r="J26" i="54"/>
  <c r="J30" i="54"/>
  <c r="J19" i="54"/>
  <c r="J27" i="54"/>
  <c r="J20" i="54"/>
  <c r="J28" i="54"/>
  <c r="D43" i="71"/>
  <c r="D29" i="46"/>
  <c r="F25" i="71"/>
  <c r="F31" i="71" s="1"/>
  <c r="F22" i="46" s="1"/>
  <c r="E37" i="71"/>
  <c r="C43" i="71"/>
  <c r="J36" i="54" l="1"/>
  <c r="J42" i="54"/>
  <c r="J47" i="54"/>
  <c r="J45" i="54"/>
  <c r="J43" i="54"/>
  <c r="J41" i="54"/>
  <c r="J39" i="54"/>
  <c r="J37" i="54"/>
  <c r="J48" i="54"/>
  <c r="J44" i="54"/>
  <c r="J38" i="54"/>
  <c r="J46" i="54"/>
  <c r="J40" i="54"/>
  <c r="K11" i="54"/>
  <c r="K49" i="54" s="1"/>
  <c r="L31" i="54"/>
  <c r="K30" i="54"/>
  <c r="K26" i="54"/>
  <c r="K22" i="54"/>
  <c r="K18" i="54"/>
  <c r="K28" i="54"/>
  <c r="K20" i="54"/>
  <c r="K27" i="54"/>
  <c r="K19" i="54"/>
  <c r="K29" i="54"/>
  <c r="K25" i="54"/>
  <c r="K21" i="54"/>
  <c r="K24" i="54"/>
  <c r="K23" i="54"/>
  <c r="E43" i="71"/>
  <c r="E29" i="46"/>
  <c r="G25" i="71"/>
  <c r="G31" i="71" s="1"/>
  <c r="G22" i="46" s="1"/>
  <c r="F37" i="71"/>
  <c r="K46" i="54" l="1"/>
  <c r="K37" i="54"/>
  <c r="K45" i="54"/>
  <c r="K39" i="54"/>
  <c r="K47" i="54"/>
  <c r="K43" i="54"/>
  <c r="K41" i="54"/>
  <c r="K48" i="54"/>
  <c r="K38" i="54"/>
  <c r="K40" i="54"/>
  <c r="K44" i="54"/>
  <c r="K36" i="54"/>
  <c r="K42" i="54"/>
  <c r="L11" i="54"/>
  <c r="M49" i="54" s="1"/>
  <c r="M31" i="54"/>
  <c r="M11" i="54" s="1"/>
  <c r="L19" i="54"/>
  <c r="L21" i="54"/>
  <c r="L23" i="54"/>
  <c r="L25" i="54"/>
  <c r="L27" i="54"/>
  <c r="L29" i="54"/>
  <c r="L18" i="54"/>
  <c r="L20" i="54"/>
  <c r="L22" i="54"/>
  <c r="L24" i="54"/>
  <c r="L28" i="54"/>
  <c r="L26" i="54"/>
  <c r="L30" i="54"/>
  <c r="F43" i="71"/>
  <c r="F29" i="46"/>
  <c r="H25" i="71"/>
  <c r="H31" i="71" s="1"/>
  <c r="H22" i="46" s="1"/>
  <c r="G37" i="71"/>
  <c r="M39" i="54" l="1"/>
  <c r="M43" i="54"/>
  <c r="M47" i="54"/>
  <c r="M46" i="54"/>
  <c r="M36" i="54"/>
  <c r="M40" i="54"/>
  <c r="M44" i="54"/>
  <c r="M48" i="54"/>
  <c r="M38" i="54"/>
  <c r="M37" i="54"/>
  <c r="M41" i="54"/>
  <c r="M45" i="54"/>
  <c r="M42" i="54"/>
  <c r="L49" i="54"/>
  <c r="M18" i="54"/>
  <c r="M22" i="54"/>
  <c r="M26" i="54"/>
  <c r="M28" i="54"/>
  <c r="M19" i="54"/>
  <c r="M21" i="54"/>
  <c r="M23" i="54"/>
  <c r="M25" i="54"/>
  <c r="M27" i="54"/>
  <c r="M29" i="54"/>
  <c r="M20" i="54"/>
  <c r="M24" i="54"/>
  <c r="M30" i="54"/>
  <c r="G43" i="71"/>
  <c r="G29" i="46"/>
  <c r="I25" i="71"/>
  <c r="I31" i="71" s="1"/>
  <c r="I22" i="46" s="1"/>
  <c r="H37" i="71"/>
  <c r="L36" i="54" l="1"/>
  <c r="L48" i="54"/>
  <c r="L42" i="54"/>
  <c r="L47" i="54"/>
  <c r="L45" i="54"/>
  <c r="L43" i="54"/>
  <c r="L41" i="54"/>
  <c r="L39" i="54"/>
  <c r="L37" i="54"/>
  <c r="L44" i="54"/>
  <c r="L38" i="54"/>
  <c r="L46" i="54"/>
  <c r="L40" i="54"/>
  <c r="H43" i="71"/>
  <c r="H29" i="46"/>
  <c r="J25" i="71"/>
  <c r="J31" i="71" s="1"/>
  <c r="J22" i="46" s="1"/>
  <c r="I37" i="71"/>
  <c r="I43" i="71" l="1"/>
  <c r="I29" i="46"/>
  <c r="K25" i="71"/>
  <c r="K31" i="71" s="1"/>
  <c r="K22" i="46" s="1"/>
  <c r="J37" i="71"/>
  <c r="J43" i="71" l="1"/>
  <c r="J29" i="46"/>
  <c r="L25" i="71"/>
  <c r="L31" i="71" s="1"/>
  <c r="L22" i="46" s="1"/>
  <c r="K37" i="71"/>
  <c r="K43" i="71" l="1"/>
  <c r="K29" i="46"/>
  <c r="L37" i="71"/>
  <c r="L29" i="46" s="1"/>
  <c r="D58" i="46"/>
  <c r="E58" i="46"/>
  <c r="F58" i="46"/>
  <c r="G58" i="46"/>
  <c r="H2" i="68"/>
  <c r="H4" i="68" s="1"/>
  <c r="K2" i="68" s="1"/>
  <c r="C58" i="46" s="1"/>
  <c r="H3" i="68"/>
  <c r="L43" i="71" l="1"/>
  <c r="F69" i="46"/>
  <c r="G69" i="46"/>
  <c r="F2437" i="67"/>
  <c r="F2436" i="67"/>
  <c r="F2435" i="67"/>
  <c r="F2434" i="67"/>
  <c r="F2433" i="67"/>
  <c r="F2432" i="67"/>
  <c r="F2431" i="67"/>
  <c r="F2430" i="67"/>
  <c r="F2429" i="67"/>
  <c r="F2428" i="67"/>
  <c r="F2427" i="67"/>
  <c r="F2426" i="67"/>
  <c r="F2425" i="67"/>
  <c r="F2424" i="67"/>
  <c r="F2423" i="67"/>
  <c r="F2422" i="67"/>
  <c r="F2421" i="67"/>
  <c r="F2420" i="67"/>
  <c r="F2419" i="67"/>
  <c r="F2418" i="67"/>
  <c r="F2417" i="67"/>
  <c r="F2416" i="67"/>
  <c r="F2415" i="67"/>
  <c r="F2414" i="67"/>
  <c r="F2413" i="67"/>
  <c r="F2412" i="67"/>
  <c r="F2411" i="67"/>
  <c r="F2410" i="67"/>
  <c r="F2409" i="67"/>
  <c r="F2408" i="67"/>
  <c r="F2407" i="67"/>
  <c r="F2406" i="67"/>
  <c r="F2405" i="67"/>
  <c r="F2404" i="67"/>
  <c r="F2403" i="67"/>
  <c r="F2402" i="67"/>
  <c r="F2401" i="67"/>
  <c r="F2400" i="67"/>
  <c r="F2399" i="67"/>
  <c r="F2398" i="67"/>
  <c r="F2397" i="67"/>
  <c r="F2396" i="67"/>
  <c r="F2395" i="67"/>
  <c r="F2394" i="67"/>
  <c r="F2393" i="67"/>
  <c r="F2392" i="67"/>
  <c r="F2391" i="67"/>
  <c r="F2390" i="67"/>
  <c r="F2389" i="67"/>
  <c r="F2388" i="67"/>
  <c r="F2387" i="67"/>
  <c r="F2386" i="67"/>
  <c r="F2385" i="67"/>
  <c r="F2384" i="67"/>
  <c r="F2383" i="67"/>
  <c r="F2382" i="67"/>
  <c r="F2381" i="67"/>
  <c r="F2380" i="67"/>
  <c r="F2379" i="67"/>
  <c r="F2378" i="67"/>
  <c r="F2377" i="67"/>
  <c r="F2376" i="67"/>
  <c r="F2375" i="67"/>
  <c r="F2374" i="67"/>
  <c r="F2373" i="67"/>
  <c r="F2372" i="67"/>
  <c r="F2371" i="67"/>
  <c r="F2370" i="67"/>
  <c r="F2369" i="67"/>
  <c r="F2368" i="67"/>
  <c r="F2367" i="67"/>
  <c r="F2366" i="67"/>
  <c r="F2365" i="67"/>
  <c r="F2364" i="67"/>
  <c r="F2363" i="67"/>
  <c r="F2362" i="67"/>
  <c r="F2361" i="67"/>
  <c r="F2360" i="67"/>
  <c r="F2359" i="67"/>
  <c r="F2358" i="67"/>
  <c r="F2357" i="67"/>
  <c r="F2356" i="67"/>
  <c r="F2355" i="67"/>
  <c r="F2354" i="67"/>
  <c r="F2353" i="67"/>
  <c r="F2352" i="67"/>
  <c r="F2351" i="67"/>
  <c r="F2350" i="67"/>
  <c r="F2349" i="67"/>
  <c r="F2348" i="67"/>
  <c r="F2347" i="67"/>
  <c r="F2346" i="67"/>
  <c r="F2345" i="67"/>
  <c r="F2344" i="67"/>
  <c r="F2343" i="67"/>
  <c r="F2342" i="67"/>
  <c r="F2341" i="67"/>
  <c r="F2340" i="67"/>
  <c r="F2339" i="67"/>
  <c r="F2338" i="67"/>
  <c r="F2337" i="67"/>
  <c r="F2336" i="67"/>
  <c r="F2335" i="67"/>
  <c r="F2334" i="67"/>
  <c r="F2333" i="67"/>
  <c r="F2332" i="67"/>
  <c r="F2331" i="67"/>
  <c r="F2330" i="67"/>
  <c r="F2329" i="67"/>
  <c r="F2328" i="67"/>
  <c r="F2327" i="67"/>
  <c r="F2326" i="67"/>
  <c r="F2325" i="67"/>
  <c r="F2324" i="67"/>
  <c r="F2323" i="67"/>
  <c r="F2322" i="67"/>
  <c r="F2321" i="67"/>
  <c r="F2320" i="67"/>
  <c r="F2319" i="67"/>
  <c r="F2318" i="67"/>
  <c r="F2317" i="67"/>
  <c r="F2316" i="67"/>
  <c r="F2315" i="67"/>
  <c r="F2314" i="67"/>
  <c r="F2313" i="67"/>
  <c r="F2312" i="67"/>
  <c r="F2311" i="67"/>
  <c r="F2310" i="67"/>
  <c r="F2309" i="67"/>
  <c r="F2308" i="67"/>
  <c r="F2307" i="67"/>
  <c r="F2306" i="67"/>
  <c r="F2305" i="67"/>
  <c r="F2304" i="67"/>
  <c r="F2303" i="67"/>
  <c r="F2302" i="67"/>
  <c r="F2301" i="67"/>
  <c r="F2300" i="67"/>
  <c r="F2299" i="67"/>
  <c r="F2298" i="67"/>
  <c r="F2297" i="67"/>
  <c r="F2296" i="67"/>
  <c r="F2295" i="67"/>
  <c r="F2294" i="67"/>
  <c r="F2293" i="67"/>
  <c r="F2292" i="67"/>
  <c r="F2291" i="67"/>
  <c r="F2290" i="67"/>
  <c r="F2289" i="67"/>
  <c r="F2288" i="67"/>
  <c r="F2287" i="67"/>
  <c r="F2286" i="67"/>
  <c r="F2285" i="67"/>
  <c r="F2284" i="67"/>
  <c r="F2283" i="67"/>
  <c r="F2282" i="67"/>
  <c r="F2281" i="67"/>
  <c r="F2280" i="67"/>
  <c r="F2279" i="67"/>
  <c r="F2278" i="67"/>
  <c r="F2277" i="67"/>
  <c r="F2276" i="67"/>
  <c r="F2275" i="67"/>
  <c r="F2274" i="67"/>
  <c r="F2273" i="67"/>
  <c r="F2272" i="67"/>
  <c r="F2271" i="67"/>
  <c r="F2270" i="67"/>
  <c r="F2269" i="67"/>
  <c r="F2268" i="67"/>
  <c r="F2267" i="67"/>
  <c r="F2266" i="67"/>
  <c r="F2265" i="67"/>
  <c r="F2264" i="67"/>
  <c r="F2263" i="67"/>
  <c r="F2262" i="67"/>
  <c r="F2261" i="67"/>
  <c r="F2260" i="67"/>
  <c r="F2259" i="67"/>
  <c r="F2258" i="67"/>
  <c r="F2257" i="67"/>
  <c r="F2256" i="67"/>
  <c r="F2255" i="67"/>
  <c r="F2254" i="67"/>
  <c r="F2253" i="67"/>
  <c r="F2252" i="67"/>
  <c r="F2251" i="67"/>
  <c r="F2250" i="67"/>
  <c r="F2249" i="67"/>
  <c r="F2248" i="67"/>
  <c r="F2247" i="67"/>
  <c r="F2246" i="67"/>
  <c r="F2245" i="67"/>
  <c r="F2244" i="67"/>
  <c r="F2243" i="67"/>
  <c r="F2242" i="67"/>
  <c r="F2241" i="67"/>
  <c r="F2240" i="67"/>
  <c r="F2239" i="67"/>
  <c r="F2238" i="67"/>
  <c r="F2237" i="67"/>
  <c r="F2236" i="67"/>
  <c r="F2235" i="67"/>
  <c r="F2234" i="67"/>
  <c r="F2233" i="67"/>
  <c r="F2232" i="67"/>
  <c r="F2231" i="67"/>
  <c r="F2230" i="67"/>
  <c r="F2229" i="67"/>
  <c r="F2228" i="67"/>
  <c r="F2227" i="67"/>
  <c r="F2226" i="67"/>
  <c r="F2225" i="67"/>
  <c r="F2224" i="67"/>
  <c r="F2223" i="67"/>
  <c r="F2222" i="67"/>
  <c r="F2221" i="67"/>
  <c r="F2220" i="67"/>
  <c r="F2219" i="67"/>
  <c r="F2218" i="67"/>
  <c r="F2217" i="67"/>
  <c r="F2216" i="67"/>
  <c r="F2215" i="67"/>
  <c r="F2214" i="67"/>
  <c r="F2213" i="67"/>
  <c r="F2212" i="67"/>
  <c r="F2211" i="67"/>
  <c r="F2210" i="67"/>
  <c r="F2209" i="67"/>
  <c r="F2208" i="67"/>
  <c r="F2207" i="67"/>
  <c r="F2206" i="67"/>
  <c r="F2205" i="67"/>
  <c r="F2204" i="67"/>
  <c r="F2203" i="67"/>
  <c r="F2202" i="67"/>
  <c r="F2201" i="67"/>
  <c r="F2200" i="67"/>
  <c r="F2199" i="67"/>
  <c r="F2198" i="67"/>
  <c r="F2197" i="67"/>
  <c r="F2196" i="67"/>
  <c r="F2195" i="67"/>
  <c r="F2194" i="67"/>
  <c r="F2193" i="67"/>
  <c r="F2192" i="67"/>
  <c r="F2191" i="67"/>
  <c r="F2190" i="67"/>
  <c r="F2189" i="67"/>
  <c r="F2188" i="67"/>
  <c r="F2187" i="67"/>
  <c r="F2186" i="67"/>
  <c r="F2185" i="67"/>
  <c r="F2184" i="67"/>
  <c r="F2183" i="67"/>
  <c r="F2182" i="67"/>
  <c r="F2181" i="67"/>
  <c r="F2180" i="67"/>
  <c r="F2179" i="67"/>
  <c r="F2178" i="67"/>
  <c r="F2177" i="67"/>
  <c r="F2176" i="67"/>
  <c r="F2175" i="67"/>
  <c r="F2174" i="67"/>
  <c r="F2173" i="67"/>
  <c r="F2172" i="67"/>
  <c r="F2171" i="67"/>
  <c r="F2170" i="67"/>
  <c r="F2169" i="67"/>
  <c r="F2168" i="67"/>
  <c r="F2167" i="67"/>
  <c r="F2166" i="67"/>
  <c r="F2165" i="67"/>
  <c r="F2164" i="67"/>
  <c r="F2163" i="67"/>
  <c r="F2162" i="67"/>
  <c r="F2161" i="67"/>
  <c r="F2160" i="67"/>
  <c r="F2159" i="67"/>
  <c r="F2158" i="67"/>
  <c r="F2157" i="67"/>
  <c r="F2156" i="67"/>
  <c r="F2155" i="67"/>
  <c r="F2154" i="67"/>
  <c r="F2153" i="67"/>
  <c r="F2152" i="67"/>
  <c r="F2151" i="67"/>
  <c r="F2150" i="67"/>
  <c r="F2149" i="67"/>
  <c r="F2148" i="67"/>
  <c r="F2147" i="67"/>
  <c r="F2146" i="67"/>
  <c r="F2145" i="67"/>
  <c r="F2144" i="67"/>
  <c r="F2143" i="67"/>
  <c r="F2142" i="67"/>
  <c r="F2141" i="67"/>
  <c r="F2140" i="67"/>
  <c r="F2139" i="67"/>
  <c r="F2138" i="67"/>
  <c r="F2137" i="67"/>
  <c r="F2136" i="67"/>
  <c r="F2135" i="67"/>
  <c r="F2134" i="67"/>
  <c r="F2133" i="67"/>
  <c r="F2132" i="67"/>
  <c r="F2131" i="67"/>
  <c r="F2130" i="67"/>
  <c r="F2129" i="67"/>
  <c r="F2128" i="67"/>
  <c r="F2127" i="67"/>
  <c r="F2126" i="67"/>
  <c r="F2125" i="67"/>
  <c r="F2124" i="67"/>
  <c r="F2123" i="67"/>
  <c r="F2122" i="67"/>
  <c r="F2121" i="67"/>
  <c r="F2120" i="67"/>
  <c r="F2119" i="67"/>
  <c r="F2118" i="67"/>
  <c r="F2117" i="67"/>
  <c r="F2116" i="67"/>
  <c r="F2115" i="67"/>
  <c r="F2114" i="67"/>
  <c r="F2113" i="67"/>
  <c r="F2112" i="67"/>
  <c r="F2111" i="67"/>
  <c r="F2110" i="67"/>
  <c r="F2109" i="67"/>
  <c r="F2108" i="67"/>
  <c r="F2107" i="67"/>
  <c r="F2106" i="67"/>
  <c r="F2105" i="67"/>
  <c r="F2104" i="67"/>
  <c r="F2103" i="67"/>
  <c r="F2102" i="67"/>
  <c r="F2101" i="67"/>
  <c r="F2100" i="67"/>
  <c r="F2099" i="67"/>
  <c r="F2098" i="67"/>
  <c r="F2097" i="67"/>
  <c r="F2096" i="67"/>
  <c r="F2095" i="67"/>
  <c r="F2094" i="67"/>
  <c r="F2093" i="67"/>
  <c r="F2092" i="67"/>
  <c r="F2091" i="67"/>
  <c r="F2090" i="67"/>
  <c r="F2089" i="67"/>
  <c r="F2088" i="67"/>
  <c r="F2087" i="67"/>
  <c r="F2086" i="67"/>
  <c r="F2085" i="67"/>
  <c r="F2084" i="67"/>
  <c r="F2083" i="67"/>
  <c r="F2082" i="67"/>
  <c r="F2081" i="67"/>
  <c r="F2080" i="67"/>
  <c r="F2079" i="67"/>
  <c r="F2078" i="67"/>
  <c r="F2077" i="67"/>
  <c r="F2076" i="67"/>
  <c r="F2075" i="67"/>
  <c r="F2074" i="67"/>
  <c r="F2073" i="67"/>
  <c r="F2072" i="67"/>
  <c r="F2071" i="67"/>
  <c r="F2070" i="67"/>
  <c r="F2069" i="67"/>
  <c r="F2068" i="67"/>
  <c r="F2067" i="67"/>
  <c r="F2066" i="67"/>
  <c r="F2065" i="67"/>
  <c r="F2064" i="67"/>
  <c r="F2063" i="67"/>
  <c r="F2062" i="67"/>
  <c r="F2061" i="67"/>
  <c r="F2060" i="67"/>
  <c r="F2059" i="67"/>
  <c r="F2058" i="67"/>
  <c r="F2057" i="67"/>
  <c r="F2056" i="67"/>
  <c r="F2055" i="67"/>
  <c r="F2054" i="67"/>
  <c r="F2053" i="67"/>
  <c r="F2052" i="67"/>
  <c r="F2051" i="67"/>
  <c r="F2050" i="67"/>
  <c r="F2049" i="67"/>
  <c r="F2048" i="67"/>
  <c r="F2047" i="67"/>
  <c r="F2046" i="67"/>
  <c r="F2045" i="67"/>
  <c r="F2044" i="67"/>
  <c r="F2043" i="67"/>
  <c r="F2042" i="67"/>
  <c r="F2041" i="67"/>
  <c r="F2040" i="67"/>
  <c r="F2039" i="67"/>
  <c r="F2038" i="67"/>
  <c r="F2037" i="67"/>
  <c r="F2036" i="67"/>
  <c r="F2035" i="67"/>
  <c r="F2034" i="67"/>
  <c r="F2033" i="67"/>
  <c r="F2032" i="67"/>
  <c r="F2031" i="67"/>
  <c r="F2030" i="67"/>
  <c r="F2029" i="67"/>
  <c r="F2028" i="67"/>
  <c r="F2027" i="67"/>
  <c r="F2026" i="67"/>
  <c r="F2025" i="67"/>
  <c r="F2024" i="67"/>
  <c r="F2023" i="67"/>
  <c r="F2022" i="67"/>
  <c r="F2021" i="67"/>
  <c r="F2020" i="67"/>
  <c r="F2019" i="67"/>
  <c r="F2018" i="67"/>
  <c r="F2017" i="67"/>
  <c r="F2016" i="67"/>
  <c r="F2015" i="67"/>
  <c r="F2014" i="67"/>
  <c r="F2013" i="67"/>
  <c r="F2012" i="67"/>
  <c r="F2011" i="67"/>
  <c r="F2010" i="67"/>
  <c r="F2009" i="67"/>
  <c r="F2008" i="67"/>
  <c r="F2007" i="67"/>
  <c r="F2006" i="67"/>
  <c r="F2005" i="67"/>
  <c r="F2004" i="67"/>
  <c r="F2003" i="67"/>
  <c r="F2002" i="67"/>
  <c r="F2001" i="67"/>
  <c r="F2000" i="67"/>
  <c r="F1999" i="67"/>
  <c r="F1998" i="67"/>
  <c r="F1997" i="67"/>
  <c r="F1996" i="67"/>
  <c r="F1995" i="67"/>
  <c r="F1994" i="67"/>
  <c r="F1993" i="67"/>
  <c r="F1992" i="67"/>
  <c r="F1991" i="67"/>
  <c r="F1990" i="67"/>
  <c r="F1989" i="67"/>
  <c r="F1988" i="67"/>
  <c r="F1987" i="67"/>
  <c r="F1986" i="67"/>
  <c r="F1985" i="67"/>
  <c r="F1984" i="67"/>
  <c r="F1983" i="67"/>
  <c r="F1982" i="67"/>
  <c r="F1981" i="67"/>
  <c r="F1980" i="67"/>
  <c r="F1979" i="67"/>
  <c r="F1978" i="67"/>
  <c r="F1977" i="67"/>
  <c r="F1976" i="67"/>
  <c r="F1975" i="67"/>
  <c r="F1974" i="67"/>
  <c r="F1973" i="67"/>
  <c r="F1972" i="67"/>
  <c r="F1971" i="67"/>
  <c r="F1970" i="67"/>
  <c r="F1969" i="67"/>
  <c r="F1968" i="67"/>
  <c r="F1967" i="67"/>
  <c r="F1966" i="67"/>
  <c r="F1965" i="67"/>
  <c r="F1964" i="67"/>
  <c r="F1963" i="67"/>
  <c r="F1962" i="67"/>
  <c r="F1961" i="67"/>
  <c r="F1960" i="67"/>
  <c r="F1959" i="67"/>
  <c r="F1958" i="67"/>
  <c r="F1957" i="67"/>
  <c r="F1956" i="67"/>
  <c r="F1955" i="67"/>
  <c r="F1954" i="67"/>
  <c r="F1953" i="67"/>
  <c r="F1952" i="67"/>
  <c r="F1951" i="67"/>
  <c r="F1950" i="67"/>
  <c r="F1949" i="67"/>
  <c r="F1948" i="67"/>
  <c r="F1947" i="67"/>
  <c r="F1946" i="67"/>
  <c r="F1945" i="67"/>
  <c r="F1944" i="67"/>
  <c r="F1943" i="67"/>
  <c r="F1942" i="67"/>
  <c r="F1941" i="67"/>
  <c r="F1940" i="67"/>
  <c r="F1939" i="67"/>
  <c r="F1938" i="67"/>
  <c r="F1937" i="67"/>
  <c r="F1936" i="67"/>
  <c r="F1935" i="67"/>
  <c r="F1934" i="67"/>
  <c r="F1933" i="67"/>
  <c r="F1932" i="67"/>
  <c r="F1931" i="67"/>
  <c r="F1930" i="67"/>
  <c r="F1929" i="67"/>
  <c r="F1928" i="67"/>
  <c r="F1927" i="67"/>
  <c r="F1926" i="67"/>
  <c r="F1925" i="67"/>
  <c r="F1924" i="67"/>
  <c r="F1923" i="67"/>
  <c r="F1922" i="67"/>
  <c r="F1921" i="67"/>
  <c r="F1920" i="67"/>
  <c r="F1919" i="67"/>
  <c r="F1918" i="67"/>
  <c r="F1917" i="67"/>
  <c r="F1916" i="67"/>
  <c r="F1915" i="67"/>
  <c r="F1914" i="67"/>
  <c r="F1913" i="67"/>
  <c r="F1912" i="67"/>
  <c r="F1911" i="67"/>
  <c r="F1910" i="67"/>
  <c r="F1909" i="67"/>
  <c r="F1908" i="67"/>
  <c r="F1907" i="67"/>
  <c r="F1906" i="67"/>
  <c r="F1905" i="67"/>
  <c r="F1904" i="67"/>
  <c r="F1903" i="67"/>
  <c r="F1902" i="67"/>
  <c r="F1901" i="67"/>
  <c r="F1900" i="67"/>
  <c r="F1899" i="67"/>
  <c r="F1898" i="67"/>
  <c r="F1897" i="67"/>
  <c r="F1896" i="67"/>
  <c r="F1895" i="67"/>
  <c r="F1894" i="67"/>
  <c r="F1893" i="67"/>
  <c r="F1892" i="67"/>
  <c r="F1891" i="67"/>
  <c r="F1890" i="67"/>
  <c r="F1889" i="67"/>
  <c r="F1888" i="67"/>
  <c r="F1887" i="67"/>
  <c r="F1886" i="67"/>
  <c r="F1885" i="67"/>
  <c r="F1884" i="67"/>
  <c r="F1883" i="67"/>
  <c r="F1882" i="67"/>
  <c r="F1881" i="67"/>
  <c r="F1880" i="67"/>
  <c r="F1879" i="67"/>
  <c r="F1878" i="67"/>
  <c r="F1877" i="67"/>
  <c r="F1876" i="67"/>
  <c r="F1875" i="67"/>
  <c r="F1874" i="67"/>
  <c r="F1873" i="67"/>
  <c r="F1872" i="67"/>
  <c r="F1871" i="67"/>
  <c r="F1870" i="67"/>
  <c r="F1869" i="67"/>
  <c r="F1868" i="67"/>
  <c r="F1867" i="67"/>
  <c r="F1866" i="67"/>
  <c r="F1865" i="67"/>
  <c r="F1864" i="67"/>
  <c r="F1863" i="67"/>
  <c r="F1862" i="67"/>
  <c r="F1861" i="67"/>
  <c r="F1860" i="67"/>
  <c r="F1859" i="67"/>
  <c r="F1858" i="67"/>
  <c r="F1857" i="67"/>
  <c r="F1856" i="67"/>
  <c r="F1855" i="67"/>
  <c r="F1854" i="67"/>
  <c r="F1853" i="67"/>
  <c r="F1852" i="67"/>
  <c r="F1851" i="67"/>
  <c r="F1850" i="67"/>
  <c r="F1849" i="67"/>
  <c r="F1848" i="67"/>
  <c r="F1847" i="67"/>
  <c r="F1846" i="67"/>
  <c r="F1845" i="67"/>
  <c r="F1844" i="67"/>
  <c r="F1843" i="67"/>
  <c r="F1842" i="67"/>
  <c r="F1841" i="67"/>
  <c r="F1840" i="67"/>
  <c r="F1839" i="67"/>
  <c r="F1838" i="67"/>
  <c r="F1837" i="67"/>
  <c r="F1836" i="67"/>
  <c r="F1835" i="67"/>
  <c r="F1834" i="67"/>
  <c r="F1833" i="67"/>
  <c r="F1832" i="67"/>
  <c r="F1831" i="67"/>
  <c r="F1830" i="67"/>
  <c r="F1829" i="67"/>
  <c r="F1828" i="67"/>
  <c r="F1827" i="67"/>
  <c r="F1826" i="67"/>
  <c r="F1825" i="67"/>
  <c r="F1824" i="67"/>
  <c r="F1823" i="67"/>
  <c r="F1822" i="67"/>
  <c r="F1821" i="67"/>
  <c r="F1820" i="67"/>
  <c r="F1819" i="67"/>
  <c r="F1818" i="67"/>
  <c r="F1817" i="67"/>
  <c r="F1816" i="67"/>
  <c r="F1815" i="67"/>
  <c r="F1814" i="67"/>
  <c r="F1813" i="67"/>
  <c r="F1812" i="67"/>
  <c r="F1811" i="67"/>
  <c r="F1810" i="67"/>
  <c r="F1809" i="67"/>
  <c r="F1808" i="67"/>
  <c r="F1807" i="67"/>
  <c r="F1806" i="67"/>
  <c r="F1805" i="67"/>
  <c r="F1804" i="67"/>
  <c r="F1803" i="67"/>
  <c r="F1802" i="67"/>
  <c r="F1801" i="67"/>
  <c r="F1800" i="67"/>
  <c r="F1799" i="67"/>
  <c r="F1798" i="67"/>
  <c r="F1797" i="67"/>
  <c r="F1796" i="67"/>
  <c r="F1795" i="67"/>
  <c r="F1794" i="67"/>
  <c r="F1793" i="67"/>
  <c r="F1792" i="67"/>
  <c r="F1791" i="67"/>
  <c r="F1790" i="67"/>
  <c r="F1789" i="67"/>
  <c r="F1788" i="67"/>
  <c r="F1787" i="67"/>
  <c r="F1786" i="67"/>
  <c r="F1785" i="67"/>
  <c r="F1784" i="67"/>
  <c r="F1783" i="67"/>
  <c r="F1782" i="67"/>
  <c r="F1781" i="67"/>
  <c r="F1780" i="67"/>
  <c r="F1779" i="67"/>
  <c r="F1778" i="67"/>
  <c r="F1777" i="67"/>
  <c r="F1776" i="67"/>
  <c r="F1775" i="67"/>
  <c r="F1774" i="67"/>
  <c r="F1773" i="67"/>
  <c r="F1772" i="67"/>
  <c r="F1771" i="67"/>
  <c r="F1770" i="67"/>
  <c r="F1769" i="67"/>
  <c r="F1768" i="67"/>
  <c r="F1767" i="67"/>
  <c r="F1766" i="67"/>
  <c r="F1765" i="67"/>
  <c r="F1764" i="67"/>
  <c r="F1763" i="67"/>
  <c r="F1762" i="67"/>
  <c r="F1761" i="67"/>
  <c r="F1760" i="67"/>
  <c r="F1759" i="67"/>
  <c r="F1758" i="67"/>
  <c r="F1757" i="67"/>
  <c r="F1756" i="67"/>
  <c r="F1755" i="67"/>
  <c r="F1754" i="67"/>
  <c r="F1753" i="67"/>
  <c r="F1752" i="67"/>
  <c r="F1751" i="67"/>
  <c r="F1750" i="67"/>
  <c r="F1749" i="67"/>
  <c r="F1748" i="67"/>
  <c r="F1747" i="67"/>
  <c r="F1746" i="67"/>
  <c r="F1745" i="67"/>
  <c r="F1744" i="67"/>
  <c r="F1743" i="67"/>
  <c r="F1742" i="67"/>
  <c r="F1741" i="67"/>
  <c r="F1740" i="67"/>
  <c r="F1739" i="67"/>
  <c r="F1738" i="67"/>
  <c r="F1737" i="67"/>
  <c r="F1736" i="67"/>
  <c r="F1735" i="67"/>
  <c r="F1734" i="67"/>
  <c r="F1733" i="67"/>
  <c r="F1732" i="67"/>
  <c r="F1731" i="67"/>
  <c r="F1730" i="67"/>
  <c r="F1729" i="67"/>
  <c r="F1728" i="67"/>
  <c r="F1727" i="67"/>
  <c r="F1726" i="67"/>
  <c r="F1725" i="67"/>
  <c r="F1724" i="67"/>
  <c r="F1723" i="67"/>
  <c r="F1722" i="67"/>
  <c r="F1721" i="67"/>
  <c r="F1720" i="67"/>
  <c r="F1719" i="67"/>
  <c r="F1718" i="67"/>
  <c r="F1717" i="67"/>
  <c r="F1716" i="67"/>
  <c r="F1715" i="67"/>
  <c r="F1714" i="67"/>
  <c r="F1713" i="67"/>
  <c r="F1712" i="67"/>
  <c r="F1711" i="67"/>
  <c r="F1710" i="67"/>
  <c r="F1709" i="67"/>
  <c r="F1708" i="67"/>
  <c r="F1707" i="67"/>
  <c r="F1706" i="67"/>
  <c r="F1705" i="67"/>
  <c r="F1704" i="67"/>
  <c r="F1703" i="67"/>
  <c r="F1702" i="67"/>
  <c r="F1701" i="67"/>
  <c r="F1700" i="67"/>
  <c r="F1699" i="67"/>
  <c r="F1698" i="67"/>
  <c r="F1697" i="67"/>
  <c r="F1696" i="67"/>
  <c r="F1695" i="67"/>
  <c r="F1694" i="67"/>
  <c r="F1693" i="67"/>
  <c r="F1692" i="67"/>
  <c r="F1691" i="67"/>
  <c r="F1690" i="67"/>
  <c r="F1689" i="67"/>
  <c r="F1688" i="67"/>
  <c r="F1687" i="67"/>
  <c r="F1686" i="67"/>
  <c r="F1685" i="67"/>
  <c r="F1684" i="67"/>
  <c r="F1683" i="67"/>
  <c r="F1682" i="67"/>
  <c r="F1681" i="67"/>
  <c r="F1680" i="67"/>
  <c r="F1679" i="67"/>
  <c r="F1678" i="67"/>
  <c r="F1677" i="67"/>
  <c r="F1676" i="67"/>
  <c r="F1675" i="67"/>
  <c r="F1674" i="67"/>
  <c r="F1673" i="67"/>
  <c r="F1672" i="67"/>
  <c r="F1671" i="67"/>
  <c r="F1670" i="67"/>
  <c r="F1669" i="67"/>
  <c r="F1668" i="67"/>
  <c r="F1667" i="67"/>
  <c r="F1666" i="67"/>
  <c r="F1665" i="67"/>
  <c r="F1664" i="67"/>
  <c r="F1663" i="67"/>
  <c r="F1662" i="67"/>
  <c r="F1661" i="67"/>
  <c r="F1660" i="67"/>
  <c r="F1659" i="67"/>
  <c r="F1658" i="67"/>
  <c r="F1657" i="67"/>
  <c r="F1656" i="67"/>
  <c r="F1655" i="67"/>
  <c r="F1654" i="67"/>
  <c r="F1653" i="67"/>
  <c r="F1652" i="67"/>
  <c r="F1651" i="67"/>
  <c r="F1650" i="67"/>
  <c r="F1649" i="67"/>
  <c r="F1648" i="67"/>
  <c r="F1647" i="67"/>
  <c r="F1646" i="67"/>
  <c r="F1645" i="67"/>
  <c r="F1644" i="67"/>
  <c r="F1643" i="67"/>
  <c r="F1642" i="67"/>
  <c r="F1641" i="67"/>
  <c r="F1640" i="67"/>
  <c r="F1639" i="67"/>
  <c r="F1638" i="67"/>
  <c r="F1637" i="67"/>
  <c r="F1636" i="67"/>
  <c r="F1635" i="67"/>
  <c r="F1634" i="67"/>
  <c r="F1633" i="67"/>
  <c r="F1632" i="67"/>
  <c r="F1631" i="67"/>
  <c r="F1630" i="67"/>
  <c r="F1629" i="67"/>
  <c r="F1628" i="67"/>
  <c r="F1627" i="67"/>
  <c r="F1626" i="67"/>
  <c r="F1625" i="67"/>
  <c r="F1624" i="67"/>
  <c r="F1623" i="67"/>
  <c r="F1622" i="67"/>
  <c r="F1621" i="67"/>
  <c r="F1620" i="67"/>
  <c r="F1619" i="67"/>
  <c r="F1618" i="67"/>
  <c r="F1617" i="67"/>
  <c r="F1616" i="67"/>
  <c r="F1615" i="67"/>
  <c r="F1614" i="67"/>
  <c r="F1613" i="67"/>
  <c r="F1612" i="67"/>
  <c r="F1611" i="67"/>
  <c r="F1610" i="67"/>
  <c r="F1609" i="67"/>
  <c r="F1608" i="67"/>
  <c r="F1607" i="67"/>
  <c r="F1606" i="67"/>
  <c r="F1605" i="67"/>
  <c r="F1604" i="67"/>
  <c r="F1603" i="67"/>
  <c r="F1602" i="67"/>
  <c r="F1601" i="67"/>
  <c r="F1600" i="67"/>
  <c r="F1599" i="67"/>
  <c r="F1598" i="67"/>
  <c r="F1597" i="67"/>
  <c r="F1596" i="67"/>
  <c r="F1595" i="67"/>
  <c r="F1594" i="67"/>
  <c r="F1593" i="67"/>
  <c r="F1592" i="67"/>
  <c r="F1591" i="67"/>
  <c r="F1590" i="67"/>
  <c r="F1589" i="67"/>
  <c r="F1588" i="67"/>
  <c r="F1587" i="67"/>
  <c r="F1586" i="67"/>
  <c r="F1585" i="67"/>
  <c r="F1584" i="67"/>
  <c r="F1583" i="67"/>
  <c r="F1582" i="67"/>
  <c r="F1581" i="67"/>
  <c r="F1580" i="67"/>
  <c r="F1579" i="67"/>
  <c r="F1578" i="67"/>
  <c r="F1577" i="67"/>
  <c r="F1576" i="67"/>
  <c r="F1575" i="67"/>
  <c r="F1574" i="67"/>
  <c r="F1573" i="67"/>
  <c r="F1572" i="67"/>
  <c r="F1571" i="67"/>
  <c r="F1570" i="67"/>
  <c r="F1569" i="67"/>
  <c r="F1568" i="67"/>
  <c r="F1567" i="67"/>
  <c r="F1566" i="67"/>
  <c r="F1565" i="67"/>
  <c r="F1564" i="67"/>
  <c r="F1563" i="67"/>
  <c r="F1562" i="67"/>
  <c r="F1561" i="67"/>
  <c r="F1560" i="67"/>
  <c r="F1559" i="67"/>
  <c r="F1558" i="67"/>
  <c r="F1557" i="67"/>
  <c r="F1556" i="67"/>
  <c r="F1555" i="67"/>
  <c r="F1554" i="67"/>
  <c r="F1553" i="67"/>
  <c r="F1552" i="67"/>
  <c r="F1551" i="67"/>
  <c r="F1550" i="67"/>
  <c r="F1549" i="67"/>
  <c r="F1548" i="67"/>
  <c r="F1547" i="67"/>
  <c r="F1546" i="67"/>
  <c r="F1545" i="67"/>
  <c r="F1544" i="67"/>
  <c r="F1543" i="67"/>
  <c r="F1542" i="67"/>
  <c r="F1541" i="67"/>
  <c r="F1540" i="67"/>
  <c r="F1539" i="67"/>
  <c r="F1538" i="67"/>
  <c r="F1537" i="67"/>
  <c r="F1536" i="67"/>
  <c r="F1535" i="67"/>
  <c r="F1534" i="67"/>
  <c r="F1533" i="67"/>
  <c r="F1532" i="67"/>
  <c r="F1531" i="67"/>
  <c r="F1530" i="67"/>
  <c r="F1529" i="67"/>
  <c r="F1528" i="67"/>
  <c r="F1527" i="67"/>
  <c r="F1526" i="67"/>
  <c r="F1525" i="67"/>
  <c r="F1524" i="67"/>
  <c r="F1523" i="67"/>
  <c r="F1522" i="67"/>
  <c r="F1521" i="67"/>
  <c r="F1520" i="67"/>
  <c r="F1519" i="67"/>
  <c r="F1518" i="67"/>
  <c r="F1517" i="67"/>
  <c r="F1516" i="67"/>
  <c r="F1515" i="67"/>
  <c r="F1514" i="67"/>
  <c r="F1513" i="67"/>
  <c r="F1512" i="67"/>
  <c r="F1511" i="67"/>
  <c r="F1510" i="67"/>
  <c r="F1509" i="67"/>
  <c r="F1508" i="67"/>
  <c r="F1507" i="67"/>
  <c r="F1506" i="67"/>
  <c r="F1505" i="67"/>
  <c r="F1504" i="67"/>
  <c r="F1503" i="67"/>
  <c r="F1502" i="67"/>
  <c r="F1501" i="67"/>
  <c r="F1500" i="67"/>
  <c r="F1499" i="67"/>
  <c r="F1498" i="67"/>
  <c r="F1497" i="67"/>
  <c r="F1496" i="67"/>
  <c r="F1495" i="67"/>
  <c r="F1494" i="67"/>
  <c r="F1493" i="67"/>
  <c r="F1492" i="67"/>
  <c r="F1491" i="67"/>
  <c r="F1490" i="67"/>
  <c r="F1489" i="67"/>
  <c r="F1488" i="67"/>
  <c r="F1487" i="67"/>
  <c r="F1486" i="67"/>
  <c r="F1485" i="67"/>
  <c r="F1484" i="67"/>
  <c r="F1483" i="67"/>
  <c r="F1482" i="67"/>
  <c r="F1481" i="67"/>
  <c r="F1480" i="67"/>
  <c r="F1479" i="67"/>
  <c r="F1478" i="67"/>
  <c r="F1477" i="67"/>
  <c r="F1476" i="67"/>
  <c r="F1475" i="67"/>
  <c r="F1474" i="67"/>
  <c r="F1473" i="67"/>
  <c r="F1472" i="67"/>
  <c r="F1471" i="67"/>
  <c r="F1470" i="67"/>
  <c r="F1469" i="67"/>
  <c r="F1468" i="67"/>
  <c r="F1467" i="67"/>
  <c r="F1466" i="67"/>
  <c r="F1465" i="67"/>
  <c r="F1464" i="67"/>
  <c r="F1463" i="67"/>
  <c r="F1462" i="67"/>
  <c r="F1461" i="67"/>
  <c r="F1460" i="67"/>
  <c r="F1459" i="67"/>
  <c r="F1458" i="67"/>
  <c r="F1457" i="67"/>
  <c r="F1456" i="67"/>
  <c r="F1455" i="67"/>
  <c r="F1454" i="67"/>
  <c r="F1453" i="67"/>
  <c r="F1452" i="67"/>
  <c r="F1451" i="67"/>
  <c r="F1450" i="67"/>
  <c r="F1449" i="67"/>
  <c r="F1448" i="67"/>
  <c r="F1447" i="67"/>
  <c r="F1446" i="67"/>
  <c r="F1445" i="67"/>
  <c r="F1444" i="67"/>
  <c r="F1443" i="67"/>
  <c r="F1442" i="67"/>
  <c r="F1441" i="67"/>
  <c r="F1440" i="67"/>
  <c r="F1439" i="67"/>
  <c r="F1438" i="67"/>
  <c r="F1437" i="67"/>
  <c r="F1436" i="67"/>
  <c r="F1435" i="67"/>
  <c r="F1434" i="67"/>
  <c r="F1433" i="67"/>
  <c r="F1432" i="67"/>
  <c r="F1431" i="67"/>
  <c r="F1430" i="67"/>
  <c r="F1429" i="67"/>
  <c r="F1428" i="67"/>
  <c r="F1427" i="67"/>
  <c r="F1426" i="67"/>
  <c r="F1425" i="67"/>
  <c r="F1424" i="67"/>
  <c r="F1423" i="67"/>
  <c r="F1422" i="67"/>
  <c r="F1421" i="67"/>
  <c r="F1420" i="67"/>
  <c r="F1419" i="67"/>
  <c r="F1418" i="67"/>
  <c r="F1417" i="67"/>
  <c r="F1416" i="67"/>
  <c r="F1415" i="67"/>
  <c r="F1414" i="67"/>
  <c r="F1413" i="67"/>
  <c r="F1412" i="67"/>
  <c r="F1411" i="67"/>
  <c r="F1410" i="67"/>
  <c r="F1409" i="67"/>
  <c r="F1408" i="67"/>
  <c r="F1407" i="67"/>
  <c r="F1406" i="67"/>
  <c r="F1405" i="67"/>
  <c r="F1404" i="67"/>
  <c r="F1403" i="67"/>
  <c r="F1402" i="67"/>
  <c r="F1401" i="67"/>
  <c r="F1400" i="67"/>
  <c r="F1399" i="67"/>
  <c r="F1398" i="67"/>
  <c r="F1397" i="67"/>
  <c r="F1396" i="67"/>
  <c r="F1395" i="67"/>
  <c r="F1394" i="67"/>
  <c r="F1393" i="67"/>
  <c r="F1392" i="67"/>
  <c r="F1391" i="67"/>
  <c r="F1390" i="67"/>
  <c r="F1389" i="67"/>
  <c r="F1388" i="67"/>
  <c r="F1387" i="67"/>
  <c r="F1386" i="67"/>
  <c r="F1385" i="67"/>
  <c r="F1384" i="67"/>
  <c r="F1383" i="67"/>
  <c r="F1382" i="67"/>
  <c r="F1381" i="67"/>
  <c r="F1380" i="67"/>
  <c r="F1379" i="67"/>
  <c r="F1378" i="67"/>
  <c r="F1377" i="67"/>
  <c r="F1376" i="67"/>
  <c r="F1375" i="67"/>
  <c r="F1374" i="67"/>
  <c r="F1373" i="67"/>
  <c r="F1372" i="67"/>
  <c r="F1371" i="67"/>
  <c r="F1370" i="67"/>
  <c r="F1369" i="67"/>
  <c r="F1368" i="67"/>
  <c r="F1367" i="67"/>
  <c r="F1366" i="67"/>
  <c r="F1365" i="67"/>
  <c r="F1364" i="67"/>
  <c r="F1363" i="67"/>
  <c r="F1362" i="67"/>
  <c r="F1361" i="67"/>
  <c r="F1360" i="67"/>
  <c r="F1359" i="67"/>
  <c r="F1358" i="67"/>
  <c r="F1357" i="67"/>
  <c r="F1356" i="67"/>
  <c r="F1355" i="67"/>
  <c r="F1354" i="67"/>
  <c r="F1353" i="67"/>
  <c r="F1352" i="67"/>
  <c r="F1351" i="67"/>
  <c r="F1350" i="67"/>
  <c r="F1349" i="67"/>
  <c r="F1348" i="67"/>
  <c r="F1347" i="67"/>
  <c r="F1346" i="67"/>
  <c r="F1345" i="67"/>
  <c r="F1344" i="67"/>
  <c r="F1343" i="67"/>
  <c r="F1342" i="67"/>
  <c r="F1341" i="67"/>
  <c r="F1340" i="67"/>
  <c r="F1339" i="67"/>
  <c r="F1338" i="67"/>
  <c r="F1337" i="67"/>
  <c r="F1336" i="67"/>
  <c r="F1335" i="67"/>
  <c r="F1334" i="67"/>
  <c r="F1333" i="67"/>
  <c r="F1332" i="67"/>
  <c r="F1331" i="67"/>
  <c r="F1330" i="67"/>
  <c r="F1329" i="67"/>
  <c r="F1328" i="67"/>
  <c r="F1327" i="67"/>
  <c r="F1326" i="67"/>
  <c r="F1325" i="67"/>
  <c r="F1324" i="67"/>
  <c r="F1323" i="67"/>
  <c r="F1322" i="67"/>
  <c r="F1321" i="67"/>
  <c r="F1320" i="67"/>
  <c r="F1319" i="67"/>
  <c r="F1318" i="67"/>
  <c r="F1317" i="67"/>
  <c r="F1316" i="67"/>
  <c r="F1315" i="67"/>
  <c r="F1314" i="67"/>
  <c r="F1313" i="67"/>
  <c r="F1312" i="67"/>
  <c r="F1311" i="67"/>
  <c r="F1310" i="67"/>
  <c r="F1309" i="67"/>
  <c r="F1308" i="67"/>
  <c r="F1307" i="67"/>
  <c r="F1306" i="67"/>
  <c r="F1305" i="67"/>
  <c r="F1304" i="67"/>
  <c r="F1303" i="67"/>
  <c r="F1302" i="67"/>
  <c r="F1301" i="67"/>
  <c r="F1300" i="67"/>
  <c r="F1299" i="67"/>
  <c r="F1298" i="67"/>
  <c r="F1297" i="67"/>
  <c r="F1296" i="67"/>
  <c r="F1295" i="67"/>
  <c r="F1294" i="67"/>
  <c r="F1293" i="67"/>
  <c r="F1292" i="67"/>
  <c r="F1291" i="67"/>
  <c r="F1290" i="67"/>
  <c r="F1289" i="67"/>
  <c r="F1288" i="67"/>
  <c r="F1287" i="67"/>
  <c r="F1286" i="67"/>
  <c r="F1285" i="67"/>
  <c r="F1284" i="67"/>
  <c r="F1283" i="67"/>
  <c r="F1282" i="67"/>
  <c r="F1281" i="67"/>
  <c r="F1280" i="67"/>
  <c r="F1279" i="67"/>
  <c r="F1278" i="67"/>
  <c r="F1277" i="67"/>
  <c r="F1276" i="67"/>
  <c r="F1275" i="67"/>
  <c r="F1274" i="67"/>
  <c r="F1273" i="67"/>
  <c r="F1272" i="67"/>
  <c r="F1271" i="67"/>
  <c r="F1270" i="67"/>
  <c r="F1269" i="67"/>
  <c r="F1268" i="67"/>
  <c r="F1267" i="67"/>
  <c r="F1266" i="67"/>
  <c r="F1265" i="67"/>
  <c r="F1264" i="67"/>
  <c r="F1263" i="67"/>
  <c r="F1262" i="67"/>
  <c r="F1261" i="67"/>
  <c r="F1260" i="67"/>
  <c r="F1259" i="67"/>
  <c r="F1258" i="67"/>
  <c r="F1257" i="67"/>
  <c r="F1256" i="67"/>
  <c r="F1255" i="67"/>
  <c r="F1254" i="67"/>
  <c r="F1253" i="67"/>
  <c r="F1252" i="67"/>
  <c r="F1251" i="67"/>
  <c r="F1250" i="67"/>
  <c r="F1249" i="67"/>
  <c r="F1248" i="67"/>
  <c r="F1247" i="67"/>
  <c r="F1246" i="67"/>
  <c r="F1245" i="67"/>
  <c r="F1244" i="67"/>
  <c r="F1243" i="67"/>
  <c r="F1242" i="67"/>
  <c r="F1241" i="67"/>
  <c r="F1240" i="67"/>
  <c r="F1239" i="67"/>
  <c r="F1238" i="67"/>
  <c r="F1237" i="67"/>
  <c r="F1236" i="67"/>
  <c r="F1235" i="67"/>
  <c r="F1234" i="67"/>
  <c r="F1233" i="67"/>
  <c r="F1232" i="67"/>
  <c r="F1231" i="67"/>
  <c r="F1230" i="67"/>
  <c r="F1229" i="67"/>
  <c r="F1228" i="67"/>
  <c r="F1227" i="67"/>
  <c r="F1226" i="67"/>
  <c r="F1225" i="67"/>
  <c r="F1224" i="67"/>
  <c r="F1223" i="67"/>
  <c r="F1222" i="67"/>
  <c r="F1221" i="67"/>
  <c r="F1220" i="67"/>
  <c r="F1219" i="67"/>
  <c r="F1218" i="67"/>
  <c r="F1217" i="67"/>
  <c r="F1216" i="67"/>
  <c r="F1215" i="67"/>
  <c r="F1214" i="67"/>
  <c r="F1213" i="67"/>
  <c r="F1212" i="67"/>
  <c r="F1211" i="67"/>
  <c r="F1210" i="67"/>
  <c r="F1209" i="67"/>
  <c r="F1208" i="67"/>
  <c r="F1207" i="67"/>
  <c r="F1206" i="67"/>
  <c r="F1205" i="67"/>
  <c r="F1204" i="67"/>
  <c r="F1203" i="67"/>
  <c r="F1202" i="67"/>
  <c r="F1201" i="67"/>
  <c r="F1200" i="67"/>
  <c r="F1199" i="67"/>
  <c r="F1198" i="67"/>
  <c r="F1197" i="67"/>
  <c r="F1196" i="67"/>
  <c r="F1195" i="67"/>
  <c r="F1194" i="67"/>
  <c r="F1193" i="67"/>
  <c r="F1192" i="67"/>
  <c r="F1191" i="67"/>
  <c r="F1190" i="67"/>
  <c r="F1189" i="67"/>
  <c r="F1188" i="67"/>
  <c r="F1187" i="67"/>
  <c r="F1186" i="67"/>
  <c r="F1185" i="67"/>
  <c r="F1184" i="67"/>
  <c r="F1183" i="67"/>
  <c r="F1182" i="67"/>
  <c r="F1181" i="67"/>
  <c r="F1180" i="67"/>
  <c r="F1179" i="67"/>
  <c r="F1178" i="67"/>
  <c r="F1177" i="67"/>
  <c r="F1176" i="67"/>
  <c r="F1175" i="67"/>
  <c r="F1174" i="67"/>
  <c r="F1173" i="67"/>
  <c r="F1172" i="67"/>
  <c r="F1171" i="67"/>
  <c r="F1170" i="67"/>
  <c r="F1169" i="67"/>
  <c r="F1168" i="67"/>
  <c r="F1167" i="67"/>
  <c r="F1166" i="67"/>
  <c r="F1165" i="67"/>
  <c r="F1164" i="67"/>
  <c r="F1163" i="67"/>
  <c r="F1162" i="67"/>
  <c r="F1161" i="67"/>
  <c r="F1160" i="67"/>
  <c r="F1159" i="67"/>
  <c r="F1158" i="67"/>
  <c r="F1157" i="67"/>
  <c r="F1156" i="67"/>
  <c r="F1155" i="67"/>
  <c r="F1154" i="67"/>
  <c r="F1153" i="67"/>
  <c r="F1152" i="67"/>
  <c r="F1151" i="67"/>
  <c r="F1150" i="67"/>
  <c r="F1149" i="67"/>
  <c r="F1148" i="67"/>
  <c r="F1147" i="67"/>
  <c r="F1146" i="67"/>
  <c r="F1145" i="67"/>
  <c r="F1144" i="67"/>
  <c r="F1143" i="67"/>
  <c r="F1142" i="67"/>
  <c r="F1141" i="67"/>
  <c r="F1140" i="67"/>
  <c r="F1139" i="67"/>
  <c r="F1138" i="67"/>
  <c r="F1137" i="67"/>
  <c r="F1136" i="67"/>
  <c r="F1135" i="67"/>
  <c r="F1134" i="67"/>
  <c r="F1133" i="67"/>
  <c r="F1132" i="67"/>
  <c r="F1131" i="67"/>
  <c r="F1130" i="67"/>
  <c r="F1129" i="67"/>
  <c r="F1128" i="67"/>
  <c r="F1127" i="67"/>
  <c r="F1126" i="67"/>
  <c r="F1125" i="67"/>
  <c r="F1124" i="67"/>
  <c r="F1123" i="67"/>
  <c r="F1122" i="67"/>
  <c r="F1121" i="67"/>
  <c r="F1120" i="67"/>
  <c r="F1119" i="67"/>
  <c r="F1118" i="67"/>
  <c r="F1117" i="67"/>
  <c r="F1116" i="67"/>
  <c r="F1115" i="67"/>
  <c r="F1114" i="67"/>
  <c r="F1113" i="67"/>
  <c r="F1112" i="67"/>
  <c r="F1111" i="67"/>
  <c r="F1110" i="67"/>
  <c r="F1109" i="67"/>
  <c r="F1108" i="67"/>
  <c r="F1107" i="67"/>
  <c r="F1106" i="67"/>
  <c r="F1105" i="67"/>
  <c r="F1104" i="67"/>
  <c r="F1103" i="67"/>
  <c r="F1102" i="67"/>
  <c r="F1101" i="67"/>
  <c r="F1100" i="67"/>
  <c r="F1099" i="67"/>
  <c r="F1098" i="67"/>
  <c r="F1097" i="67"/>
  <c r="F1096" i="67"/>
  <c r="F1095" i="67"/>
  <c r="F1094" i="67"/>
  <c r="F1093" i="67"/>
  <c r="F1092" i="67"/>
  <c r="F1091" i="67"/>
  <c r="F1090" i="67"/>
  <c r="F1089" i="67"/>
  <c r="F1088" i="67"/>
  <c r="F1087" i="67"/>
  <c r="F1086" i="67"/>
  <c r="F1085" i="67"/>
  <c r="F1084" i="67"/>
  <c r="F1083" i="67"/>
  <c r="F1082" i="67"/>
  <c r="F1081" i="67"/>
  <c r="F1080" i="67"/>
  <c r="F1079" i="67"/>
  <c r="F1078" i="67"/>
  <c r="F1077" i="67"/>
  <c r="F1076" i="67"/>
  <c r="F1075" i="67"/>
  <c r="F1074" i="67"/>
  <c r="F1073" i="67"/>
  <c r="F1072" i="67"/>
  <c r="F1071" i="67"/>
  <c r="F1070" i="67"/>
  <c r="F1069" i="67"/>
  <c r="F1068" i="67"/>
  <c r="F1067" i="67"/>
  <c r="F1066" i="67"/>
  <c r="F1065" i="67"/>
  <c r="F1064" i="67"/>
  <c r="F1063" i="67"/>
  <c r="F1062" i="67"/>
  <c r="F1061" i="67"/>
  <c r="F1060" i="67"/>
  <c r="F1059" i="67"/>
  <c r="F1058" i="67"/>
  <c r="F1057" i="67"/>
  <c r="F1056" i="67"/>
  <c r="F1055" i="67"/>
  <c r="F1054" i="67"/>
  <c r="F1053" i="67"/>
  <c r="F1052" i="67"/>
  <c r="F1051" i="67"/>
  <c r="F1050" i="67"/>
  <c r="F1049" i="67"/>
  <c r="F1048" i="67"/>
  <c r="F1047" i="67"/>
  <c r="F1046" i="67"/>
  <c r="F1045" i="67"/>
  <c r="F1044" i="67"/>
  <c r="F1043" i="67"/>
  <c r="F1042" i="67"/>
  <c r="F1041" i="67"/>
  <c r="F1040" i="67"/>
  <c r="F1039" i="67"/>
  <c r="F1038" i="67"/>
  <c r="F1037" i="67"/>
  <c r="F1036" i="67"/>
  <c r="F1035" i="67"/>
  <c r="F1034" i="67"/>
  <c r="F1033" i="67"/>
  <c r="F1032" i="67"/>
  <c r="F1031" i="67"/>
  <c r="F1030" i="67"/>
  <c r="F1029" i="67"/>
  <c r="F1028" i="67"/>
  <c r="F1027" i="67"/>
  <c r="F1026" i="67"/>
  <c r="F1025" i="67"/>
  <c r="F1024" i="67"/>
  <c r="F1023" i="67"/>
  <c r="F1022" i="67"/>
  <c r="F1021" i="67"/>
  <c r="F1020" i="67"/>
  <c r="F1019" i="67"/>
  <c r="F1018" i="67"/>
  <c r="F1017" i="67"/>
  <c r="F1016" i="67"/>
  <c r="F1015" i="67"/>
  <c r="F1014" i="67"/>
  <c r="F1013" i="67"/>
  <c r="F1012" i="67"/>
  <c r="F1011" i="67"/>
  <c r="F1010" i="67"/>
  <c r="F1009" i="67"/>
  <c r="F1008" i="67"/>
  <c r="F1007" i="67"/>
  <c r="F1006" i="67"/>
  <c r="F1005" i="67"/>
  <c r="F1004" i="67"/>
  <c r="F1003" i="67"/>
  <c r="F1002" i="67"/>
  <c r="F1001" i="67"/>
  <c r="F1000" i="67"/>
  <c r="F999" i="67"/>
  <c r="F998" i="67"/>
  <c r="F997" i="67"/>
  <c r="F996" i="67"/>
  <c r="F995" i="67"/>
  <c r="F994" i="67"/>
  <c r="F993" i="67"/>
  <c r="F992" i="67"/>
  <c r="F991" i="67"/>
  <c r="F990" i="67"/>
  <c r="F989" i="67"/>
  <c r="F988" i="67"/>
  <c r="F987" i="67"/>
  <c r="F986" i="67"/>
  <c r="F985" i="67"/>
  <c r="F984" i="67"/>
  <c r="F983" i="67"/>
  <c r="F982" i="67"/>
  <c r="F981" i="67"/>
  <c r="F980" i="67"/>
  <c r="F979" i="67"/>
  <c r="F978" i="67"/>
  <c r="F977" i="67"/>
  <c r="F976" i="67"/>
  <c r="F975" i="67"/>
  <c r="F974" i="67"/>
  <c r="F973" i="67"/>
  <c r="F972" i="67"/>
  <c r="F971" i="67"/>
  <c r="F970" i="67"/>
  <c r="F969" i="67"/>
  <c r="F968" i="67"/>
  <c r="F967" i="67"/>
  <c r="F966" i="67"/>
  <c r="F965" i="67"/>
  <c r="F964" i="67"/>
  <c r="F963" i="67"/>
  <c r="F962" i="67"/>
  <c r="F961" i="67"/>
  <c r="F960" i="67"/>
  <c r="F959" i="67"/>
  <c r="F958" i="67"/>
  <c r="F957" i="67"/>
  <c r="F956" i="67"/>
  <c r="F955" i="67"/>
  <c r="F954" i="67"/>
  <c r="F953" i="67"/>
  <c r="F952" i="67"/>
  <c r="F951" i="67"/>
  <c r="F950" i="67"/>
  <c r="F949" i="67"/>
  <c r="F948" i="67"/>
  <c r="F947" i="67"/>
  <c r="F946" i="67"/>
  <c r="F945" i="67"/>
  <c r="F944" i="67"/>
  <c r="F943" i="67"/>
  <c r="F942" i="67"/>
  <c r="F941" i="67"/>
  <c r="F940" i="67"/>
  <c r="F939" i="67"/>
  <c r="F938" i="67"/>
  <c r="F937" i="67"/>
  <c r="F936" i="67"/>
  <c r="F935" i="67"/>
  <c r="F934" i="67"/>
  <c r="F933" i="67"/>
  <c r="F932" i="67"/>
  <c r="F931" i="67"/>
  <c r="F930" i="67"/>
  <c r="F929" i="67"/>
  <c r="F928" i="67"/>
  <c r="F927" i="67"/>
  <c r="F926" i="67"/>
  <c r="F925" i="67"/>
  <c r="F924" i="67"/>
  <c r="F923" i="67"/>
  <c r="F922" i="67"/>
  <c r="F921" i="67"/>
  <c r="F920" i="67"/>
  <c r="F919" i="67"/>
  <c r="F918" i="67"/>
  <c r="F917" i="67"/>
  <c r="F916" i="67"/>
  <c r="F915" i="67"/>
  <c r="F914" i="67"/>
  <c r="F913" i="67"/>
  <c r="F912" i="67"/>
  <c r="F911" i="67"/>
  <c r="F910" i="67"/>
  <c r="F909" i="67"/>
  <c r="F908" i="67"/>
  <c r="F907" i="67"/>
  <c r="F906" i="67"/>
  <c r="F905" i="67"/>
  <c r="F904" i="67"/>
  <c r="F903" i="67"/>
  <c r="F902" i="67"/>
  <c r="F901" i="67"/>
  <c r="F900" i="67"/>
  <c r="F899" i="67"/>
  <c r="F898" i="67"/>
  <c r="F897" i="67"/>
  <c r="F896" i="67"/>
  <c r="F895" i="67"/>
  <c r="F894" i="67"/>
  <c r="F893" i="67"/>
  <c r="F892" i="67"/>
  <c r="F891" i="67"/>
  <c r="F890" i="67"/>
  <c r="F889" i="67"/>
  <c r="F888" i="67"/>
  <c r="F887" i="67"/>
  <c r="F886" i="67"/>
  <c r="F885" i="67"/>
  <c r="F884" i="67"/>
  <c r="F883" i="67"/>
  <c r="F882" i="67"/>
  <c r="F881" i="67"/>
  <c r="F880" i="67"/>
  <c r="F879" i="67"/>
  <c r="F878" i="67"/>
  <c r="F877" i="67"/>
  <c r="F876" i="67"/>
  <c r="F875" i="67"/>
  <c r="F874" i="67"/>
  <c r="F873" i="67"/>
  <c r="F872" i="67"/>
  <c r="F871" i="67"/>
  <c r="F870" i="67"/>
  <c r="F869" i="67"/>
  <c r="F868" i="67"/>
  <c r="F867" i="67"/>
  <c r="F866" i="67"/>
  <c r="F865" i="67"/>
  <c r="F864" i="67"/>
  <c r="F863" i="67"/>
  <c r="F862" i="67"/>
  <c r="F861" i="67"/>
  <c r="F860" i="67"/>
  <c r="F859" i="67"/>
  <c r="F858" i="67"/>
  <c r="F857" i="67"/>
  <c r="F856" i="67"/>
  <c r="F855" i="67"/>
  <c r="F854" i="67"/>
  <c r="F853" i="67"/>
  <c r="F852" i="67"/>
  <c r="F851" i="67"/>
  <c r="F850" i="67"/>
  <c r="F849" i="67"/>
  <c r="F848" i="67"/>
  <c r="F847" i="67"/>
  <c r="F846" i="67"/>
  <c r="F845" i="67"/>
  <c r="F844" i="67"/>
  <c r="F843" i="67"/>
  <c r="F842" i="67"/>
  <c r="F841" i="67"/>
  <c r="F840" i="67"/>
  <c r="F839" i="67"/>
  <c r="F838" i="67"/>
  <c r="F837" i="67"/>
  <c r="F836" i="67"/>
  <c r="F835" i="67"/>
  <c r="F834" i="67"/>
  <c r="F833" i="67"/>
  <c r="F832" i="67"/>
  <c r="F831" i="67"/>
  <c r="F830" i="67"/>
  <c r="F829" i="67"/>
  <c r="F828" i="67"/>
  <c r="F827" i="67"/>
  <c r="F826" i="67"/>
  <c r="F825" i="67"/>
  <c r="F824" i="67"/>
  <c r="F823" i="67"/>
  <c r="F822" i="67"/>
  <c r="F821" i="67"/>
  <c r="F820" i="67"/>
  <c r="F819" i="67"/>
  <c r="F818" i="67"/>
  <c r="F817" i="67"/>
  <c r="F816" i="67"/>
  <c r="F815" i="67"/>
  <c r="F814" i="67"/>
  <c r="F813" i="67"/>
  <c r="F812" i="67"/>
  <c r="F811" i="67"/>
  <c r="F810" i="67"/>
  <c r="F809" i="67"/>
  <c r="F808" i="67"/>
  <c r="F807" i="67"/>
  <c r="F806" i="67"/>
  <c r="F805" i="67"/>
  <c r="F804" i="67"/>
  <c r="F803" i="67"/>
  <c r="F802" i="67"/>
  <c r="F801" i="67"/>
  <c r="F800" i="67"/>
  <c r="F799" i="67"/>
  <c r="F798" i="67"/>
  <c r="F797" i="67"/>
  <c r="F796" i="67"/>
  <c r="F795" i="67"/>
  <c r="F794" i="67"/>
  <c r="F793" i="67"/>
  <c r="F792" i="67"/>
  <c r="F791" i="67"/>
  <c r="F790" i="67"/>
  <c r="F789" i="67"/>
  <c r="F788" i="67"/>
  <c r="F787" i="67"/>
  <c r="F786" i="67"/>
  <c r="F785" i="67"/>
  <c r="F784" i="67"/>
  <c r="F783" i="67"/>
  <c r="F782" i="67"/>
  <c r="F781" i="67"/>
  <c r="F780" i="67"/>
  <c r="F779" i="67"/>
  <c r="F778" i="67"/>
  <c r="F777" i="67"/>
  <c r="F776" i="67"/>
  <c r="F775" i="67"/>
  <c r="F774" i="67"/>
  <c r="F773" i="67"/>
  <c r="F772" i="67"/>
  <c r="F771" i="67"/>
  <c r="F770" i="67"/>
  <c r="F769" i="67"/>
  <c r="F768" i="67"/>
  <c r="F767" i="67"/>
  <c r="F766" i="67"/>
  <c r="F765" i="67"/>
  <c r="F764" i="67"/>
  <c r="F763" i="67"/>
  <c r="F762" i="67"/>
  <c r="F761" i="67"/>
  <c r="F760" i="67"/>
  <c r="F759" i="67"/>
  <c r="F758" i="67"/>
  <c r="F757" i="67"/>
  <c r="F756" i="67"/>
  <c r="F755" i="67"/>
  <c r="F754" i="67"/>
  <c r="F753" i="67"/>
  <c r="F752" i="67"/>
  <c r="F751" i="67"/>
  <c r="F750" i="67"/>
  <c r="F749" i="67"/>
  <c r="F748" i="67"/>
  <c r="F747" i="67"/>
  <c r="F746" i="67"/>
  <c r="F745" i="67"/>
  <c r="F744" i="67"/>
  <c r="F743" i="67"/>
  <c r="F742" i="67"/>
  <c r="F741" i="67"/>
  <c r="F740" i="67"/>
  <c r="F739" i="67"/>
  <c r="F738" i="67"/>
  <c r="F737" i="67"/>
  <c r="F736" i="67"/>
  <c r="F735" i="67"/>
  <c r="F734" i="67"/>
  <c r="F733" i="67"/>
  <c r="F732" i="67"/>
  <c r="F731" i="67"/>
  <c r="F730" i="67"/>
  <c r="F729" i="67"/>
  <c r="F728" i="67"/>
  <c r="F727" i="67"/>
  <c r="F726" i="67"/>
  <c r="F725" i="67"/>
  <c r="F724" i="67"/>
  <c r="F723" i="67"/>
  <c r="F722" i="67"/>
  <c r="F721" i="67"/>
  <c r="F720" i="67"/>
  <c r="F719" i="67"/>
  <c r="F718" i="67"/>
  <c r="F717" i="67"/>
  <c r="F716" i="67"/>
  <c r="F715" i="67"/>
  <c r="F714" i="67"/>
  <c r="F713" i="67"/>
  <c r="F712" i="67"/>
  <c r="F711" i="67"/>
  <c r="F710" i="67"/>
  <c r="F709" i="67"/>
  <c r="F708" i="67"/>
  <c r="F707" i="67"/>
  <c r="F706" i="67"/>
  <c r="F705" i="67"/>
  <c r="F704" i="67"/>
  <c r="F703" i="67"/>
  <c r="F702" i="67"/>
  <c r="F701" i="67"/>
  <c r="F700" i="67"/>
  <c r="F699" i="67"/>
  <c r="F698" i="67"/>
  <c r="F697" i="67"/>
  <c r="F696" i="67"/>
  <c r="F695" i="67"/>
  <c r="F694" i="67"/>
  <c r="F693" i="67"/>
  <c r="F692" i="67"/>
  <c r="F691" i="67"/>
  <c r="F690" i="67"/>
  <c r="F689" i="67"/>
  <c r="F688" i="67"/>
  <c r="F687" i="67"/>
  <c r="F686" i="67"/>
  <c r="F685" i="67"/>
  <c r="F684" i="67"/>
  <c r="F683" i="67"/>
  <c r="F682" i="67"/>
  <c r="F681" i="67"/>
  <c r="F680" i="67"/>
  <c r="F679" i="67"/>
  <c r="F678" i="67"/>
  <c r="F677" i="67"/>
  <c r="F676" i="67"/>
  <c r="F675" i="67"/>
  <c r="F674" i="67"/>
  <c r="F673" i="67"/>
  <c r="F672" i="67"/>
  <c r="F671" i="67"/>
  <c r="F670" i="67"/>
  <c r="F669" i="67"/>
  <c r="F668" i="67"/>
  <c r="F667" i="67"/>
  <c r="F666" i="67"/>
  <c r="F665" i="67"/>
  <c r="F664" i="67"/>
  <c r="F663" i="67"/>
  <c r="F662" i="67"/>
  <c r="F661" i="67"/>
  <c r="F660" i="67"/>
  <c r="F659" i="67"/>
  <c r="F658" i="67"/>
  <c r="F657" i="67"/>
  <c r="F656" i="67"/>
  <c r="F655" i="67"/>
  <c r="F654" i="67"/>
  <c r="F653" i="67"/>
  <c r="F652" i="67"/>
  <c r="F651" i="67"/>
  <c r="F650" i="67"/>
  <c r="F649" i="67"/>
  <c r="F648" i="67"/>
  <c r="F647" i="67"/>
  <c r="F646" i="67"/>
  <c r="F645" i="67"/>
  <c r="F644" i="67"/>
  <c r="F643" i="67"/>
  <c r="F642" i="67"/>
  <c r="F641" i="67"/>
  <c r="F640" i="67"/>
  <c r="F639" i="67"/>
  <c r="F638" i="67"/>
  <c r="F637" i="67"/>
  <c r="F636" i="67"/>
  <c r="F635" i="67"/>
  <c r="F634" i="67"/>
  <c r="F633" i="67"/>
  <c r="F632" i="67"/>
  <c r="F631" i="67"/>
  <c r="F630" i="67"/>
  <c r="F629" i="67"/>
  <c r="F628" i="67"/>
  <c r="F627" i="67"/>
  <c r="F626" i="67"/>
  <c r="F625" i="67"/>
  <c r="F624" i="67"/>
  <c r="F623" i="67"/>
  <c r="F622" i="67"/>
  <c r="F621" i="67"/>
  <c r="F620" i="67"/>
  <c r="F619" i="67"/>
  <c r="F618" i="67"/>
  <c r="F617" i="67"/>
  <c r="F616" i="67"/>
  <c r="F615" i="67"/>
  <c r="F614" i="67"/>
  <c r="F613" i="67"/>
  <c r="F612" i="67"/>
  <c r="F611" i="67"/>
  <c r="F610" i="67"/>
  <c r="F609" i="67"/>
  <c r="F608" i="67"/>
  <c r="F607" i="67"/>
  <c r="F606" i="67"/>
  <c r="F605" i="67"/>
  <c r="F604" i="67"/>
  <c r="F603" i="67"/>
  <c r="F602" i="67"/>
  <c r="F601" i="67"/>
  <c r="F600" i="67"/>
  <c r="F599" i="67"/>
  <c r="F598" i="67"/>
  <c r="F597" i="67"/>
  <c r="F596" i="67"/>
  <c r="F595" i="67"/>
  <c r="F594" i="67"/>
  <c r="F593" i="67"/>
  <c r="F592" i="67"/>
  <c r="F591" i="67"/>
  <c r="F590" i="67"/>
  <c r="F589" i="67"/>
  <c r="F588" i="67"/>
  <c r="F587" i="67"/>
  <c r="F586" i="67"/>
  <c r="F585" i="67"/>
  <c r="F584" i="67"/>
  <c r="F583" i="67"/>
  <c r="F582" i="67"/>
  <c r="F581" i="67"/>
  <c r="F580" i="67"/>
  <c r="F579" i="67"/>
  <c r="F578" i="67"/>
  <c r="F577" i="67"/>
  <c r="F576" i="67"/>
  <c r="F575" i="67"/>
  <c r="F574" i="67"/>
  <c r="F573" i="67"/>
  <c r="F572" i="67"/>
  <c r="F571" i="67"/>
  <c r="F570" i="67"/>
  <c r="F569" i="67"/>
  <c r="F568" i="67"/>
  <c r="F567" i="67"/>
  <c r="F566" i="67"/>
  <c r="F565" i="67"/>
  <c r="F564" i="67"/>
  <c r="F563" i="67"/>
  <c r="F562" i="67"/>
  <c r="F561" i="67"/>
  <c r="F560" i="67"/>
  <c r="F559" i="67"/>
  <c r="F558" i="67"/>
  <c r="F557" i="67"/>
  <c r="F556" i="67"/>
  <c r="F555" i="67"/>
  <c r="F554" i="67"/>
  <c r="F553" i="67"/>
  <c r="F552" i="67"/>
  <c r="F551" i="67"/>
  <c r="F550" i="67"/>
  <c r="F549" i="67"/>
  <c r="F548" i="67"/>
  <c r="F547" i="67"/>
  <c r="F546" i="67"/>
  <c r="F545" i="67"/>
  <c r="F544" i="67"/>
  <c r="F543" i="67"/>
  <c r="F542" i="67"/>
  <c r="F541" i="67"/>
  <c r="F540" i="67"/>
  <c r="F539" i="67"/>
  <c r="F538" i="67"/>
  <c r="F537" i="67"/>
  <c r="F536" i="67"/>
  <c r="F535" i="67"/>
  <c r="F534" i="67"/>
  <c r="F533" i="67"/>
  <c r="F532" i="67"/>
  <c r="F531" i="67"/>
  <c r="F530" i="67"/>
  <c r="F529" i="67"/>
  <c r="F528" i="67"/>
  <c r="F527" i="67"/>
  <c r="F526" i="67"/>
  <c r="F525" i="67"/>
  <c r="F524" i="67"/>
  <c r="F523" i="67"/>
  <c r="F522" i="67"/>
  <c r="F521" i="67"/>
  <c r="F520" i="67"/>
  <c r="F519" i="67"/>
  <c r="F518" i="67"/>
  <c r="F517" i="67"/>
  <c r="F516" i="67"/>
  <c r="F515" i="67"/>
  <c r="F514" i="67"/>
  <c r="F513" i="67"/>
  <c r="F512" i="67"/>
  <c r="F511" i="67"/>
  <c r="F510" i="67"/>
  <c r="F509" i="67"/>
  <c r="F508" i="67"/>
  <c r="F507" i="67"/>
  <c r="F506" i="67"/>
  <c r="F505" i="67"/>
  <c r="F504" i="67"/>
  <c r="F503" i="67"/>
  <c r="F502" i="67"/>
  <c r="F501" i="67"/>
  <c r="F500" i="67"/>
  <c r="F499" i="67"/>
  <c r="F498" i="67"/>
  <c r="F497" i="67"/>
  <c r="F496" i="67"/>
  <c r="F495" i="67"/>
  <c r="F494" i="67"/>
  <c r="F493" i="67"/>
  <c r="F492" i="67"/>
  <c r="F491" i="67"/>
  <c r="F490" i="67"/>
  <c r="F489" i="67"/>
  <c r="F488" i="67"/>
  <c r="F487" i="67"/>
  <c r="F486" i="67"/>
  <c r="F485" i="67"/>
  <c r="F484" i="67"/>
  <c r="F483" i="67"/>
  <c r="F482" i="67"/>
  <c r="F481" i="67"/>
  <c r="F480" i="67"/>
  <c r="F479" i="67"/>
  <c r="F478" i="67"/>
  <c r="F477" i="67"/>
  <c r="F476" i="67"/>
  <c r="F475" i="67"/>
  <c r="F474" i="67"/>
  <c r="F473" i="67"/>
  <c r="F472" i="67"/>
  <c r="F471" i="67"/>
  <c r="F470" i="67"/>
  <c r="F469" i="67"/>
  <c r="F468" i="67"/>
  <c r="F467" i="67"/>
  <c r="F466" i="67"/>
  <c r="F465" i="67"/>
  <c r="F464" i="67"/>
  <c r="F463" i="67"/>
  <c r="F462" i="67"/>
  <c r="F461" i="67"/>
  <c r="F460" i="67"/>
  <c r="F459" i="67"/>
  <c r="F458" i="67"/>
  <c r="F457" i="67"/>
  <c r="F456" i="67"/>
  <c r="F455" i="67"/>
  <c r="F454" i="67"/>
  <c r="F453" i="67"/>
  <c r="F452" i="67"/>
  <c r="F451" i="67"/>
  <c r="F450" i="67"/>
  <c r="F449" i="67"/>
  <c r="F448" i="67"/>
  <c r="F447" i="67"/>
  <c r="F446" i="67"/>
  <c r="F445" i="67"/>
  <c r="F444" i="67"/>
  <c r="F443" i="67"/>
  <c r="F442" i="67"/>
  <c r="F441" i="67"/>
  <c r="F440" i="67"/>
  <c r="F439" i="67"/>
  <c r="F438" i="67"/>
  <c r="F437" i="67"/>
  <c r="F436" i="67"/>
  <c r="F435" i="67"/>
  <c r="F434" i="67"/>
  <c r="F433" i="67"/>
  <c r="F432" i="67"/>
  <c r="F431" i="67"/>
  <c r="F430" i="67"/>
  <c r="F429" i="67"/>
  <c r="F428" i="67"/>
  <c r="F427" i="67"/>
  <c r="F426" i="67"/>
  <c r="F425" i="67"/>
  <c r="F424" i="67"/>
  <c r="F423" i="67"/>
  <c r="F422" i="67"/>
  <c r="F421" i="67"/>
  <c r="F420" i="67"/>
  <c r="F419" i="67"/>
  <c r="F418" i="67"/>
  <c r="F417" i="67"/>
  <c r="F416" i="67"/>
  <c r="F415" i="67"/>
  <c r="F414" i="67"/>
  <c r="F413" i="67"/>
  <c r="F412" i="67"/>
  <c r="F411" i="67"/>
  <c r="F410" i="67"/>
  <c r="F409" i="67"/>
  <c r="F408" i="67"/>
  <c r="F407" i="67"/>
  <c r="F406" i="67"/>
  <c r="F405" i="67"/>
  <c r="F404" i="67"/>
  <c r="F403" i="67"/>
  <c r="F402" i="67"/>
  <c r="F401" i="67"/>
  <c r="F400" i="67"/>
  <c r="F399" i="67"/>
  <c r="F398" i="67"/>
  <c r="F397" i="67"/>
  <c r="F396" i="67"/>
  <c r="F395" i="67"/>
  <c r="F394" i="67"/>
  <c r="F393" i="67"/>
  <c r="F392" i="67"/>
  <c r="F391" i="67"/>
  <c r="F390" i="67"/>
  <c r="F389" i="67"/>
  <c r="F388" i="67"/>
  <c r="F387" i="67"/>
  <c r="F386" i="67"/>
  <c r="F385" i="67"/>
  <c r="F384" i="67"/>
  <c r="F383" i="67"/>
  <c r="F382" i="67"/>
  <c r="F381" i="67"/>
  <c r="F380" i="67"/>
  <c r="F379" i="67"/>
  <c r="F378" i="67"/>
  <c r="F377" i="67"/>
  <c r="F376" i="67"/>
  <c r="F375" i="67"/>
  <c r="F374" i="67"/>
  <c r="F373" i="67"/>
  <c r="F372" i="67"/>
  <c r="F371" i="67"/>
  <c r="F370" i="67"/>
  <c r="F369" i="67"/>
  <c r="F368" i="67"/>
  <c r="F367" i="67"/>
  <c r="F366" i="67"/>
  <c r="F365" i="67"/>
  <c r="F364" i="67"/>
  <c r="F363" i="67"/>
  <c r="F362" i="67"/>
  <c r="F361" i="67"/>
  <c r="F360" i="67"/>
  <c r="F359" i="67"/>
  <c r="F358" i="67"/>
  <c r="F357" i="67"/>
  <c r="F356" i="67"/>
  <c r="F355" i="67"/>
  <c r="F354" i="67"/>
  <c r="F353" i="67"/>
  <c r="F352" i="67"/>
  <c r="F351" i="67"/>
  <c r="F350" i="67"/>
  <c r="F349" i="67"/>
  <c r="F348" i="67"/>
  <c r="F347" i="67"/>
  <c r="F346" i="67"/>
  <c r="F345" i="67"/>
  <c r="F344" i="67"/>
  <c r="F343" i="67"/>
  <c r="F342" i="67"/>
  <c r="F341" i="67"/>
  <c r="F340" i="67"/>
  <c r="F339" i="67"/>
  <c r="F338" i="67"/>
  <c r="F337" i="67"/>
  <c r="F336" i="67"/>
  <c r="F335" i="67"/>
  <c r="F334" i="67"/>
  <c r="F333" i="67"/>
  <c r="F332" i="67"/>
  <c r="F331" i="67"/>
  <c r="F330" i="67"/>
  <c r="F329" i="67"/>
  <c r="F328" i="67"/>
  <c r="F327" i="67"/>
  <c r="F326" i="67"/>
  <c r="F325" i="67"/>
  <c r="F324" i="67"/>
  <c r="F323" i="67"/>
  <c r="F322" i="67"/>
  <c r="F321" i="67"/>
  <c r="F320" i="67"/>
  <c r="F319" i="67"/>
  <c r="F318" i="67"/>
  <c r="F317" i="67"/>
  <c r="F316" i="67"/>
  <c r="F315" i="67"/>
  <c r="F314" i="67"/>
  <c r="F313" i="67"/>
  <c r="F312" i="67"/>
  <c r="F311" i="67"/>
  <c r="F310" i="67"/>
  <c r="F309" i="67"/>
  <c r="F308" i="67"/>
  <c r="F307" i="67"/>
  <c r="F306" i="67"/>
  <c r="F305" i="67"/>
  <c r="F304" i="67"/>
  <c r="F303" i="67"/>
  <c r="F302" i="67"/>
  <c r="F301" i="67"/>
  <c r="F300" i="67"/>
  <c r="F299" i="67"/>
  <c r="F298" i="67"/>
  <c r="F297" i="67"/>
  <c r="F296" i="67"/>
  <c r="F295" i="67"/>
  <c r="F294" i="67"/>
  <c r="F293" i="67"/>
  <c r="F292" i="67"/>
  <c r="F291" i="67"/>
  <c r="F290" i="67"/>
  <c r="F289" i="67"/>
  <c r="F288" i="67"/>
  <c r="F287" i="67"/>
  <c r="F286" i="67"/>
  <c r="F285" i="67"/>
  <c r="F284" i="67"/>
  <c r="F283" i="67"/>
  <c r="F282" i="67"/>
  <c r="F281" i="67"/>
  <c r="F280" i="67"/>
  <c r="F279" i="67"/>
  <c r="F278" i="67"/>
  <c r="F277" i="67"/>
  <c r="F276" i="67"/>
  <c r="F275" i="67"/>
  <c r="F274" i="67"/>
  <c r="F273" i="67"/>
  <c r="F272" i="67"/>
  <c r="F271" i="67"/>
  <c r="F270" i="67"/>
  <c r="F269" i="67"/>
  <c r="F268" i="67"/>
  <c r="F267" i="67"/>
  <c r="F266" i="67"/>
  <c r="F265" i="67"/>
  <c r="F264" i="67"/>
  <c r="F263" i="67"/>
  <c r="F262" i="67"/>
  <c r="F261" i="67"/>
  <c r="F260" i="67"/>
  <c r="F259" i="67"/>
  <c r="F258" i="67"/>
  <c r="F257" i="67"/>
  <c r="F256" i="67"/>
  <c r="F255" i="67"/>
  <c r="F254" i="67"/>
  <c r="F253" i="67"/>
  <c r="F252" i="67"/>
  <c r="F251" i="67"/>
  <c r="F250" i="67"/>
  <c r="F249" i="67"/>
  <c r="F248" i="67"/>
  <c r="F247" i="67"/>
  <c r="F246" i="67"/>
  <c r="F245" i="67"/>
  <c r="F244" i="67"/>
  <c r="F243" i="67"/>
  <c r="F242" i="67"/>
  <c r="F241" i="67"/>
  <c r="F240" i="67"/>
  <c r="F239" i="67"/>
  <c r="F238" i="67"/>
  <c r="F237" i="67"/>
  <c r="F236" i="67"/>
  <c r="F235" i="67"/>
  <c r="F234" i="67"/>
  <c r="F233" i="67"/>
  <c r="F232" i="67"/>
  <c r="F231" i="67"/>
  <c r="F230" i="67"/>
  <c r="F229" i="67"/>
  <c r="F228" i="67"/>
  <c r="F227" i="67"/>
  <c r="F226" i="67"/>
  <c r="F225" i="67"/>
  <c r="F224" i="67"/>
  <c r="F223" i="67"/>
  <c r="F222" i="67"/>
  <c r="F221" i="67"/>
  <c r="F220" i="67"/>
  <c r="F219" i="67"/>
  <c r="F218" i="67"/>
  <c r="F217" i="67"/>
  <c r="F216" i="67"/>
  <c r="F215" i="67"/>
  <c r="F214" i="67"/>
  <c r="F213" i="67"/>
  <c r="F212" i="67"/>
  <c r="F211" i="67"/>
  <c r="F210" i="67"/>
  <c r="F209" i="67"/>
  <c r="F208" i="67"/>
  <c r="F207" i="67"/>
  <c r="F206" i="67"/>
  <c r="F205" i="67"/>
  <c r="F204" i="67"/>
  <c r="F203" i="67"/>
  <c r="F202" i="67"/>
  <c r="F201" i="67"/>
  <c r="F200" i="67"/>
  <c r="F199" i="67"/>
  <c r="F198" i="67"/>
  <c r="F197" i="67"/>
  <c r="F196" i="67"/>
  <c r="F195" i="67"/>
  <c r="F194" i="67"/>
  <c r="F193" i="67"/>
  <c r="F192" i="67"/>
  <c r="F191" i="67"/>
  <c r="F190" i="67"/>
  <c r="F189" i="67"/>
  <c r="F188" i="67"/>
  <c r="F187" i="67"/>
  <c r="F186" i="67"/>
  <c r="F185" i="67"/>
  <c r="F184" i="67"/>
  <c r="F183" i="67"/>
  <c r="F182" i="67"/>
  <c r="F181" i="67"/>
  <c r="F180" i="67"/>
  <c r="F179" i="67"/>
  <c r="F178" i="67"/>
  <c r="F177" i="67"/>
  <c r="F176" i="67"/>
  <c r="F175" i="67"/>
  <c r="F174" i="67"/>
  <c r="F173" i="67"/>
  <c r="F172" i="67"/>
  <c r="F171" i="67"/>
  <c r="F170" i="67"/>
  <c r="F169" i="67"/>
  <c r="F168" i="67"/>
  <c r="F167" i="67"/>
  <c r="F166" i="67"/>
  <c r="F165" i="67"/>
  <c r="F164" i="67"/>
  <c r="F163" i="67"/>
  <c r="F162" i="67"/>
  <c r="F161" i="67"/>
  <c r="F160" i="67"/>
  <c r="F159" i="67"/>
  <c r="F158" i="67"/>
  <c r="F157" i="67"/>
  <c r="F156" i="67"/>
  <c r="F155" i="67"/>
  <c r="F154" i="67"/>
  <c r="F153" i="67"/>
  <c r="F152" i="67"/>
  <c r="F151" i="67"/>
  <c r="F150" i="67"/>
  <c r="F149" i="67"/>
  <c r="F148" i="67"/>
  <c r="F147" i="67"/>
  <c r="F146" i="67"/>
  <c r="F145" i="67"/>
  <c r="F144" i="67"/>
  <c r="F143" i="67"/>
  <c r="F142" i="67"/>
  <c r="F141" i="67"/>
  <c r="F140" i="67"/>
  <c r="F139" i="67"/>
  <c r="F138" i="67"/>
  <c r="F137" i="67"/>
  <c r="F136" i="67"/>
  <c r="F135" i="67"/>
  <c r="F134" i="67"/>
  <c r="F133" i="67"/>
  <c r="F132" i="67"/>
  <c r="F131" i="67"/>
  <c r="F130" i="67"/>
  <c r="F129" i="67"/>
  <c r="F128" i="67"/>
  <c r="F127" i="67"/>
  <c r="F126" i="67"/>
  <c r="F125" i="67"/>
  <c r="F124" i="67"/>
  <c r="F123" i="67"/>
  <c r="F122" i="67"/>
  <c r="F121" i="67"/>
  <c r="F120" i="67"/>
  <c r="F119" i="67"/>
  <c r="F118" i="67"/>
  <c r="F117" i="67"/>
  <c r="F116" i="67"/>
  <c r="F115" i="67"/>
  <c r="F114" i="67"/>
  <c r="F113" i="67"/>
  <c r="F112" i="67"/>
  <c r="F111" i="67"/>
  <c r="F110" i="67"/>
  <c r="F109" i="67"/>
  <c r="F108" i="67"/>
  <c r="F107" i="67"/>
  <c r="F106" i="67"/>
  <c r="F105" i="67"/>
  <c r="F104" i="67"/>
  <c r="F103" i="67"/>
  <c r="F102" i="67"/>
  <c r="F101" i="67"/>
  <c r="F100" i="67"/>
  <c r="F99" i="67"/>
  <c r="F98" i="67"/>
  <c r="F97" i="67"/>
  <c r="F96" i="67"/>
  <c r="F95" i="67"/>
  <c r="F94" i="67"/>
  <c r="F93" i="67"/>
  <c r="F92" i="67"/>
  <c r="F91" i="67"/>
  <c r="F90" i="67"/>
  <c r="F89" i="67"/>
  <c r="F88" i="67"/>
  <c r="F87" i="67"/>
  <c r="F86" i="67"/>
  <c r="F85" i="67"/>
  <c r="F84" i="67"/>
  <c r="F83" i="67"/>
  <c r="F82" i="67"/>
  <c r="F81" i="67"/>
  <c r="F80" i="67"/>
  <c r="F79" i="67"/>
  <c r="F78" i="67"/>
  <c r="F77" i="67"/>
  <c r="F76" i="67"/>
  <c r="F75" i="67"/>
  <c r="F74" i="67"/>
  <c r="F73" i="67"/>
  <c r="F72" i="67"/>
  <c r="F71" i="67"/>
  <c r="F70" i="67"/>
  <c r="F69" i="67"/>
  <c r="F68" i="67"/>
  <c r="F67" i="67"/>
  <c r="F66" i="67"/>
  <c r="F65" i="67"/>
  <c r="F64" i="67"/>
  <c r="F63" i="67"/>
  <c r="F62" i="67"/>
  <c r="F61" i="67"/>
  <c r="F60" i="67"/>
  <c r="F59" i="67"/>
  <c r="F58" i="67"/>
  <c r="F57" i="67"/>
  <c r="F56" i="67"/>
  <c r="F55" i="67"/>
  <c r="F54" i="67"/>
  <c r="F53" i="67"/>
  <c r="F52" i="67"/>
  <c r="F51" i="67"/>
  <c r="F50" i="67"/>
  <c r="F49" i="67"/>
  <c r="F48" i="67"/>
  <c r="F47" i="67"/>
  <c r="F46" i="67"/>
  <c r="F45" i="67"/>
  <c r="F44" i="67"/>
  <c r="F43" i="67"/>
  <c r="F42" i="67"/>
  <c r="F41" i="67"/>
  <c r="F40" i="67"/>
  <c r="F39" i="67"/>
  <c r="F38" i="67"/>
  <c r="F37" i="67"/>
  <c r="F36" i="67"/>
  <c r="F35" i="67"/>
  <c r="F34" i="67"/>
  <c r="F33" i="67"/>
  <c r="F32" i="67"/>
  <c r="F31" i="67"/>
  <c r="F30" i="67"/>
  <c r="F29" i="67"/>
  <c r="F28" i="67"/>
  <c r="F27" i="67"/>
  <c r="F26" i="67"/>
  <c r="F25" i="67"/>
  <c r="F24" i="67"/>
  <c r="F23" i="67"/>
  <c r="F22" i="67"/>
  <c r="F21" i="67"/>
  <c r="F20" i="67"/>
  <c r="F19" i="67"/>
  <c r="F18" i="67"/>
  <c r="F17" i="67"/>
  <c r="F16" i="67"/>
  <c r="F15" i="67"/>
  <c r="F14" i="67"/>
  <c r="F13" i="67"/>
  <c r="F12" i="67"/>
  <c r="F11" i="67"/>
  <c r="F10" i="67"/>
  <c r="F9" i="67"/>
  <c r="F8" i="67"/>
  <c r="F7" i="67"/>
  <c r="F6" i="67"/>
  <c r="F5" i="67"/>
  <c r="F4" i="67"/>
  <c r="F3" i="67"/>
  <c r="F2" i="67"/>
  <c r="AW444" i="66"/>
  <c r="AV444" i="66"/>
  <c r="AW443" i="66"/>
  <c r="AV443" i="66"/>
  <c r="AW442" i="66"/>
  <c r="AV442" i="66"/>
  <c r="AW441" i="66"/>
  <c r="AV441" i="66"/>
  <c r="AW440" i="66"/>
  <c r="AV440" i="66"/>
  <c r="AW439" i="66"/>
  <c r="AV439" i="66"/>
  <c r="AW438" i="66"/>
  <c r="AV438" i="66"/>
  <c r="AW437" i="66"/>
  <c r="AV437" i="66"/>
  <c r="AW436" i="66"/>
  <c r="AV436" i="66"/>
  <c r="AW435" i="66"/>
  <c r="AV435" i="66"/>
  <c r="N435" i="66"/>
  <c r="AX433" i="66"/>
  <c r="AP433" i="66"/>
  <c r="AL433" i="66"/>
  <c r="AK433" i="66"/>
  <c r="AX432" i="66"/>
  <c r="AR432" i="66"/>
  <c r="AQ432" i="66"/>
  <c r="AP432" i="66"/>
  <c r="AK432" i="66"/>
  <c r="AM432" i="66" s="1"/>
  <c r="AX431" i="66"/>
  <c r="AP431" i="66"/>
  <c r="AM431" i="66"/>
  <c r="AK431" i="66"/>
  <c r="AL431" i="66" s="1"/>
  <c r="AX430" i="66"/>
  <c r="AW430" i="66"/>
  <c r="AP430" i="66"/>
  <c r="AQ430" i="66" s="1"/>
  <c r="AR430" i="66" s="1"/>
  <c r="AK430" i="66"/>
  <c r="AY429" i="66"/>
  <c r="AX429" i="66"/>
  <c r="AP429" i="66"/>
  <c r="AQ429" i="66" s="1"/>
  <c r="AR429" i="66" s="1"/>
  <c r="AK429" i="66"/>
  <c r="AX428" i="66"/>
  <c r="AY428" i="66" s="1"/>
  <c r="AP428" i="66"/>
  <c r="AK428" i="66"/>
  <c r="AY427" i="66"/>
  <c r="AX427" i="66"/>
  <c r="AP427" i="66"/>
  <c r="AQ427" i="66" s="1"/>
  <c r="AR427" i="66" s="1"/>
  <c r="AM427" i="66"/>
  <c r="AK427" i="66"/>
  <c r="AL427" i="66" s="1"/>
  <c r="AX426" i="66"/>
  <c r="AY426" i="66" s="1"/>
  <c r="AQ426" i="66"/>
  <c r="AR426" i="66" s="1"/>
  <c r="AP426" i="66"/>
  <c r="AK426" i="66"/>
  <c r="AY425" i="66"/>
  <c r="AX425" i="66"/>
  <c r="AP425" i="66"/>
  <c r="AM425" i="66"/>
  <c r="AV425" i="66" s="1"/>
  <c r="AK425" i="66"/>
  <c r="AL425" i="66" s="1"/>
  <c r="AX424" i="66"/>
  <c r="AY424" i="66" s="1"/>
  <c r="AP424" i="66"/>
  <c r="AK424" i="66"/>
  <c r="AX423" i="66"/>
  <c r="AP423" i="66"/>
  <c r="AQ423" i="66" s="1"/>
  <c r="AR423" i="66" s="1"/>
  <c r="AK423" i="66"/>
  <c r="AX422" i="66"/>
  <c r="AP422" i="66"/>
  <c r="AQ422" i="66" s="1"/>
  <c r="AR422" i="66" s="1"/>
  <c r="AK422" i="66"/>
  <c r="AX421" i="66"/>
  <c r="AQ421" i="66"/>
  <c r="AR421" i="66" s="1"/>
  <c r="AP421" i="66"/>
  <c r="AL421" i="66"/>
  <c r="AK421" i="66"/>
  <c r="AM421" i="66" s="1"/>
  <c r="AX420" i="66"/>
  <c r="AP420" i="66"/>
  <c r="AM420" i="66"/>
  <c r="AV420" i="66" s="1"/>
  <c r="AL420" i="66"/>
  <c r="AK420" i="66"/>
  <c r="AX419" i="66"/>
  <c r="AW419" i="66"/>
  <c r="AQ419" i="66"/>
  <c r="AR419" i="66" s="1"/>
  <c r="AP419" i="66"/>
  <c r="AK419" i="66"/>
  <c r="AY418" i="66"/>
  <c r="AX418" i="66"/>
  <c r="AP418" i="66"/>
  <c r="AQ418" i="66" s="1"/>
  <c r="AR418" i="66" s="1"/>
  <c r="AM418" i="66"/>
  <c r="AK418" i="66"/>
  <c r="AL418" i="66" s="1"/>
  <c r="AX417" i="66"/>
  <c r="AY417" i="66" s="1"/>
  <c r="AP417" i="66"/>
  <c r="AK417" i="66"/>
  <c r="AX416" i="66"/>
  <c r="AY416" i="66" s="1"/>
  <c r="AP416" i="66"/>
  <c r="AM416" i="66"/>
  <c r="AV416" i="66" s="1"/>
  <c r="AL416" i="66"/>
  <c r="AK416" i="66"/>
  <c r="AX415" i="66"/>
  <c r="AW415" i="66"/>
  <c r="AP415" i="66"/>
  <c r="AQ415" i="66" s="1"/>
  <c r="AR415" i="66" s="1"/>
  <c r="AK415" i="66"/>
  <c r="AX414" i="66"/>
  <c r="AY414" i="66" s="1"/>
  <c r="AP414" i="66"/>
  <c r="AQ414" i="66" s="1"/>
  <c r="AR414" i="66" s="1"/>
  <c r="AK414" i="66"/>
  <c r="AX413" i="66"/>
  <c r="AY413" i="66" s="1"/>
  <c r="AW413" i="66"/>
  <c r="AP413" i="66"/>
  <c r="AQ413" i="66" s="1"/>
  <c r="AR413" i="66" s="1"/>
  <c r="AK413" i="66"/>
  <c r="AM413" i="66" s="1"/>
  <c r="AX412" i="66"/>
  <c r="AY412" i="66" s="1"/>
  <c r="AQ412" i="66"/>
  <c r="AR412" i="66" s="1"/>
  <c r="AP412" i="66"/>
  <c r="AK412" i="66"/>
  <c r="AX411" i="66"/>
  <c r="AR411" i="66"/>
  <c r="AQ411" i="66"/>
  <c r="AP411" i="66"/>
  <c r="AL411" i="66"/>
  <c r="AK411" i="66"/>
  <c r="AM411" i="66" s="1"/>
  <c r="AX410" i="66"/>
  <c r="AY410" i="66" s="1"/>
  <c r="AP410" i="66"/>
  <c r="AK410" i="66"/>
  <c r="AY409" i="66"/>
  <c r="AX409" i="66"/>
  <c r="AQ409" i="66"/>
  <c r="AR409" i="66" s="1"/>
  <c r="AP409" i="66"/>
  <c r="AK409" i="66"/>
  <c r="AX408" i="66"/>
  <c r="AP408" i="66"/>
  <c r="AM408" i="66"/>
  <c r="AK408" i="66"/>
  <c r="AL408" i="66" s="1"/>
  <c r="AX407" i="66"/>
  <c r="AP407" i="66"/>
  <c r="AK407" i="66"/>
  <c r="AX406" i="66"/>
  <c r="AP406" i="66"/>
  <c r="AQ406" i="66" s="1"/>
  <c r="AR406" i="66" s="1"/>
  <c r="AK406" i="66"/>
  <c r="AX405" i="66"/>
  <c r="AQ405" i="66"/>
  <c r="AR405" i="66" s="1"/>
  <c r="AP405" i="66"/>
  <c r="AL405" i="66"/>
  <c r="AK405" i="66"/>
  <c r="AM405" i="66" s="1"/>
  <c r="AX404" i="66"/>
  <c r="AP404" i="66"/>
  <c r="AM404" i="66"/>
  <c r="AL404" i="66"/>
  <c r="AK404" i="66"/>
  <c r="AX403" i="66"/>
  <c r="AW403" i="66"/>
  <c r="AP403" i="66"/>
  <c r="AQ403" i="66" s="1"/>
  <c r="AR403" i="66" s="1"/>
  <c r="AK403" i="66"/>
  <c r="AL403" i="66" s="1"/>
  <c r="AX402" i="66"/>
  <c r="AR402" i="66"/>
  <c r="AW402" i="66" s="1"/>
  <c r="AP402" i="66"/>
  <c r="AQ402" i="66" s="1"/>
  <c r="AK402" i="66"/>
  <c r="AX401" i="66"/>
  <c r="AP401" i="66"/>
  <c r="AQ401" i="66" s="1"/>
  <c r="AR401" i="66" s="1"/>
  <c r="AK401" i="66"/>
  <c r="AX400" i="66"/>
  <c r="AP400" i="66"/>
  <c r="AQ400" i="66" s="1"/>
  <c r="AR400" i="66" s="1"/>
  <c r="AM400" i="66"/>
  <c r="AK400" i="66"/>
  <c r="AL400" i="66" s="1"/>
  <c r="AX399" i="66"/>
  <c r="AQ399" i="66"/>
  <c r="AR399" i="66" s="1"/>
  <c r="AP399" i="66"/>
  <c r="AK399" i="66"/>
  <c r="AX398" i="66"/>
  <c r="AP398" i="66"/>
  <c r="AK398" i="66"/>
  <c r="AL398" i="66" s="1"/>
  <c r="AX397" i="66"/>
  <c r="AP397" i="66"/>
  <c r="AM397" i="66"/>
  <c r="AV397" i="66" s="1"/>
  <c r="AL397" i="66"/>
  <c r="AK397" i="66"/>
  <c r="AX396" i="66"/>
  <c r="AP396" i="66"/>
  <c r="AM396" i="66"/>
  <c r="AK396" i="66"/>
  <c r="AL396" i="66" s="1"/>
  <c r="AV396" i="66" s="1"/>
  <c r="AX395" i="66"/>
  <c r="AP395" i="66"/>
  <c r="AK395" i="66"/>
  <c r="AL395" i="66" s="1"/>
  <c r="AX394" i="66"/>
  <c r="AP394" i="66"/>
  <c r="AQ394" i="66" s="1"/>
  <c r="AR394" i="66" s="1"/>
  <c r="AL394" i="66"/>
  <c r="AK394" i="66"/>
  <c r="AX393" i="66"/>
  <c r="AQ393" i="66"/>
  <c r="AR393" i="66" s="1"/>
  <c r="AP393" i="66"/>
  <c r="AK393" i="66"/>
  <c r="AL393" i="66" s="1"/>
  <c r="AX392" i="66"/>
  <c r="AR392" i="66"/>
  <c r="AP392" i="66"/>
  <c r="AQ392" i="66" s="1"/>
  <c r="AL392" i="66"/>
  <c r="AV392" i="66" s="1"/>
  <c r="AK392" i="66"/>
  <c r="AM392" i="66" s="1"/>
  <c r="AX391" i="66"/>
  <c r="AP391" i="66"/>
  <c r="AQ391" i="66" s="1"/>
  <c r="AR391" i="66" s="1"/>
  <c r="AK391" i="66"/>
  <c r="AX390" i="66"/>
  <c r="AP390" i="66"/>
  <c r="AQ390" i="66" s="1"/>
  <c r="AR390" i="66" s="1"/>
  <c r="AL390" i="66"/>
  <c r="AK390" i="66"/>
  <c r="AX389" i="66"/>
  <c r="AR389" i="66"/>
  <c r="AQ389" i="66"/>
  <c r="AP389" i="66"/>
  <c r="AK389" i="66"/>
  <c r="AM389" i="66" s="1"/>
  <c r="AX388" i="66"/>
  <c r="AP388" i="66"/>
  <c r="AM388" i="66"/>
  <c r="AK388" i="66"/>
  <c r="AL388" i="66" s="1"/>
  <c r="AV388" i="66" s="1"/>
  <c r="AX387" i="66"/>
  <c r="AP387" i="66"/>
  <c r="AQ387" i="66" s="1"/>
  <c r="AR387" i="66" s="1"/>
  <c r="AK387" i="66"/>
  <c r="AL387" i="66" s="1"/>
  <c r="AX386" i="66"/>
  <c r="AP386" i="66"/>
  <c r="AQ386" i="66" s="1"/>
  <c r="AR386" i="66" s="1"/>
  <c r="AL386" i="66"/>
  <c r="AK386" i="66"/>
  <c r="AX385" i="66"/>
  <c r="AQ385" i="66"/>
  <c r="AR385" i="66" s="1"/>
  <c r="AP385" i="66"/>
  <c r="AK385" i="66"/>
  <c r="AX384" i="66"/>
  <c r="AR384" i="66"/>
  <c r="AP384" i="66"/>
  <c r="AQ384" i="66" s="1"/>
  <c r="AK384" i="66"/>
  <c r="AX383" i="66"/>
  <c r="AP383" i="66"/>
  <c r="AQ383" i="66" s="1"/>
  <c r="AR383" i="66" s="1"/>
  <c r="AK383" i="66"/>
  <c r="AX382" i="66"/>
  <c r="AP382" i="66"/>
  <c r="AQ382" i="66" s="1"/>
  <c r="AR382" i="66" s="1"/>
  <c r="AL382" i="66"/>
  <c r="AK382" i="66"/>
  <c r="AX381" i="66"/>
  <c r="AP381" i="66"/>
  <c r="AK381" i="66"/>
  <c r="AX380" i="66"/>
  <c r="AP380" i="66"/>
  <c r="AK380" i="66"/>
  <c r="AX379" i="66"/>
  <c r="AP379" i="66"/>
  <c r="AM379" i="66"/>
  <c r="AV379" i="66" s="1"/>
  <c r="AK379" i="66"/>
  <c r="AL379" i="66" s="1"/>
  <c r="AX378" i="66"/>
  <c r="AP378" i="66"/>
  <c r="AK378" i="66"/>
  <c r="AX377" i="66"/>
  <c r="AP377" i="66"/>
  <c r="AK377" i="66"/>
  <c r="AX376" i="66"/>
  <c r="AP376" i="66"/>
  <c r="AQ376" i="66" s="1"/>
  <c r="AR376" i="66" s="1"/>
  <c r="AK376" i="66"/>
  <c r="AL376" i="66" s="1"/>
  <c r="AX375" i="66"/>
  <c r="AP375" i="66"/>
  <c r="AQ375" i="66" s="1"/>
  <c r="AR375" i="66" s="1"/>
  <c r="AM375" i="66"/>
  <c r="AL375" i="66"/>
  <c r="AK375" i="66"/>
  <c r="AX374" i="66"/>
  <c r="AW374" i="66"/>
  <c r="AP374" i="66"/>
  <c r="AQ374" i="66" s="1"/>
  <c r="AR374" i="66" s="1"/>
  <c r="AL374" i="66"/>
  <c r="AK374" i="66"/>
  <c r="AM374" i="66" s="1"/>
  <c r="AX373" i="66"/>
  <c r="AP373" i="66"/>
  <c r="AK373" i="66"/>
  <c r="AX372" i="66"/>
  <c r="AP372" i="66"/>
  <c r="AK372" i="66"/>
  <c r="AX371" i="66"/>
  <c r="AP371" i="66"/>
  <c r="AM371" i="66"/>
  <c r="AV371" i="66" s="1"/>
  <c r="AK371" i="66"/>
  <c r="AL371" i="66" s="1"/>
  <c r="AX370" i="66"/>
  <c r="AP370" i="66"/>
  <c r="AK370" i="66"/>
  <c r="AX369" i="66"/>
  <c r="AP369" i="66"/>
  <c r="AQ369" i="66" s="1"/>
  <c r="AR369" i="66" s="1"/>
  <c r="AK369" i="66"/>
  <c r="AX368" i="66"/>
  <c r="AP368" i="66"/>
  <c r="AK368" i="66"/>
  <c r="AX367" i="66"/>
  <c r="AQ367" i="66"/>
  <c r="AR367" i="66" s="1"/>
  <c r="AP367" i="66"/>
  <c r="AK367" i="66"/>
  <c r="AX366" i="66"/>
  <c r="AP366" i="66"/>
  <c r="AM366" i="66"/>
  <c r="AK366" i="66"/>
  <c r="AL366" i="66" s="1"/>
  <c r="AX365" i="66"/>
  <c r="AP365" i="66"/>
  <c r="AK365" i="66"/>
  <c r="AX364" i="66"/>
  <c r="AP364" i="66"/>
  <c r="AQ364" i="66" s="1"/>
  <c r="AR364" i="66" s="1"/>
  <c r="AK364" i="66"/>
  <c r="AX363" i="66"/>
  <c r="AR363" i="66"/>
  <c r="AQ363" i="66"/>
  <c r="AP363" i="66"/>
  <c r="AL363" i="66"/>
  <c r="AK363" i="66"/>
  <c r="AM363" i="66" s="1"/>
  <c r="AX362" i="66"/>
  <c r="AP362" i="66"/>
  <c r="AM362" i="66"/>
  <c r="AV362" i="66" s="1"/>
  <c r="AK362" i="66"/>
  <c r="AL362" i="66" s="1"/>
  <c r="AX361" i="66"/>
  <c r="AQ361" i="66"/>
  <c r="AP361" i="66"/>
  <c r="AK361" i="66"/>
  <c r="AX360" i="66"/>
  <c r="AP360" i="66"/>
  <c r="AQ360" i="66" s="1"/>
  <c r="AR360" i="66" s="1"/>
  <c r="AK360" i="66"/>
  <c r="AX359" i="66"/>
  <c r="AP359" i="66"/>
  <c r="AQ359" i="66" s="1"/>
  <c r="AR359" i="66" s="1"/>
  <c r="AM359" i="66"/>
  <c r="AK359" i="66"/>
  <c r="AL359" i="66" s="1"/>
  <c r="AX358" i="66"/>
  <c r="AP358" i="66"/>
  <c r="AL358" i="66"/>
  <c r="AK358" i="66"/>
  <c r="AM358" i="66" s="1"/>
  <c r="AX357" i="66"/>
  <c r="AP357" i="66"/>
  <c r="AQ357" i="66" s="1"/>
  <c r="AR357" i="66" s="1"/>
  <c r="AK357" i="66"/>
  <c r="AX356" i="66"/>
  <c r="AP356" i="66"/>
  <c r="AQ356" i="66" s="1"/>
  <c r="AR356" i="66" s="1"/>
  <c r="AK356" i="66"/>
  <c r="AX355" i="66"/>
  <c r="AQ355" i="66"/>
  <c r="AR355" i="66" s="1"/>
  <c r="AP355" i="66"/>
  <c r="AK355" i="66"/>
  <c r="AM355" i="66" s="1"/>
  <c r="AX354" i="66"/>
  <c r="AP354" i="66"/>
  <c r="AQ354" i="66" s="1"/>
  <c r="AR354" i="66" s="1"/>
  <c r="AM354" i="66"/>
  <c r="AL354" i="66"/>
  <c r="AK354" i="66"/>
  <c r="AX353" i="66"/>
  <c r="AP353" i="66"/>
  <c r="AQ353" i="66" s="1"/>
  <c r="AK353" i="66"/>
  <c r="AX352" i="66"/>
  <c r="AQ352" i="66"/>
  <c r="AR352" i="66" s="1"/>
  <c r="AP352" i="66"/>
  <c r="AK352" i="66"/>
  <c r="AX351" i="66"/>
  <c r="AR351" i="66"/>
  <c r="AP351" i="66"/>
  <c r="AQ351" i="66" s="1"/>
  <c r="AM351" i="66"/>
  <c r="AL351" i="66"/>
  <c r="AK351" i="66"/>
  <c r="AX350" i="66"/>
  <c r="AP350" i="66"/>
  <c r="AL350" i="66"/>
  <c r="AK350" i="66"/>
  <c r="AM350" i="66" s="1"/>
  <c r="AX349" i="66"/>
  <c r="AP349" i="66"/>
  <c r="AK349" i="66"/>
  <c r="AY348" i="66"/>
  <c r="AX348" i="66"/>
  <c r="AP348" i="66"/>
  <c r="AQ348" i="66" s="1"/>
  <c r="AR348" i="66" s="1"/>
  <c r="AM348" i="66"/>
  <c r="AK348" i="66"/>
  <c r="AL348" i="66" s="1"/>
  <c r="AX347" i="66"/>
  <c r="AW347" i="66"/>
  <c r="AP347" i="66"/>
  <c r="AQ347" i="66" s="1"/>
  <c r="AR347" i="66" s="1"/>
  <c r="AM347" i="66"/>
  <c r="AL347" i="66"/>
  <c r="AK347" i="66"/>
  <c r="AV347" i="66" s="1"/>
  <c r="AX346" i="66"/>
  <c r="AP346" i="66"/>
  <c r="AK346" i="66"/>
  <c r="AX345" i="66"/>
  <c r="AQ345" i="66"/>
  <c r="AR345" i="66" s="1"/>
  <c r="AP345" i="66"/>
  <c r="AK345" i="66"/>
  <c r="AX344" i="66"/>
  <c r="AR344" i="66"/>
  <c r="AQ344" i="66"/>
  <c r="AP344" i="66"/>
  <c r="AL344" i="66"/>
  <c r="AV344" i="66" s="1"/>
  <c r="AK344" i="66"/>
  <c r="AM344" i="66" s="1"/>
  <c r="AX343" i="66"/>
  <c r="AP343" i="66"/>
  <c r="AM343" i="66"/>
  <c r="AL343" i="66"/>
  <c r="AK343" i="66"/>
  <c r="AX342" i="66"/>
  <c r="AP342" i="66"/>
  <c r="AQ342" i="66" s="1"/>
  <c r="AR342" i="66" s="1"/>
  <c r="AK342" i="66"/>
  <c r="AX341" i="66"/>
  <c r="AP341" i="66"/>
  <c r="AQ341" i="66" s="1"/>
  <c r="AR341" i="66" s="1"/>
  <c r="AL341" i="66"/>
  <c r="AK341" i="66"/>
  <c r="AX340" i="66"/>
  <c r="AR340" i="66"/>
  <c r="AQ340" i="66"/>
  <c r="AP340" i="66"/>
  <c r="AL340" i="66"/>
  <c r="AK340" i="66"/>
  <c r="AM340" i="66" s="1"/>
  <c r="AX339" i="66"/>
  <c r="AV339" i="66"/>
  <c r="AP339" i="66"/>
  <c r="AQ339" i="66" s="1"/>
  <c r="AR339" i="66" s="1"/>
  <c r="AL339" i="66"/>
  <c r="AK339" i="66"/>
  <c r="AM339" i="66" s="1"/>
  <c r="AX338" i="66"/>
  <c r="AP338" i="66"/>
  <c r="AK338" i="66"/>
  <c r="AX337" i="66"/>
  <c r="AQ337" i="66"/>
  <c r="AR337" i="66" s="1"/>
  <c r="AP337" i="66"/>
  <c r="AK337" i="66"/>
  <c r="AX336" i="66"/>
  <c r="AR336" i="66"/>
  <c r="AP336" i="66"/>
  <c r="AQ336" i="66" s="1"/>
  <c r="AM336" i="66"/>
  <c r="AL336" i="66"/>
  <c r="AK336" i="66"/>
  <c r="AX335" i="66"/>
  <c r="AP335" i="66"/>
  <c r="AL335" i="66"/>
  <c r="AK335" i="66"/>
  <c r="AM335" i="66" s="1"/>
  <c r="AX334" i="66"/>
  <c r="AP334" i="66"/>
  <c r="AQ334" i="66" s="1"/>
  <c r="AR334" i="66" s="1"/>
  <c r="AK334" i="66"/>
  <c r="AX333" i="66"/>
  <c r="AQ333" i="66"/>
  <c r="AR333" i="66" s="1"/>
  <c r="AP333" i="66"/>
  <c r="AL333" i="66"/>
  <c r="AK333" i="66"/>
  <c r="AX332" i="66"/>
  <c r="AP332" i="66"/>
  <c r="AQ332" i="66" s="1"/>
  <c r="AR332" i="66" s="1"/>
  <c r="AM332" i="66"/>
  <c r="AK332" i="66"/>
  <c r="AL332" i="66" s="1"/>
  <c r="AX331" i="66"/>
  <c r="AW331" i="66"/>
  <c r="AP331" i="66"/>
  <c r="AQ331" i="66" s="1"/>
  <c r="AR331" i="66" s="1"/>
  <c r="AM331" i="66"/>
  <c r="AL331" i="66"/>
  <c r="AK331" i="66"/>
  <c r="AV331" i="66" s="1"/>
  <c r="AX330" i="66"/>
  <c r="AP330" i="66"/>
  <c r="AK330" i="66"/>
  <c r="AX329" i="66"/>
  <c r="AQ329" i="66"/>
  <c r="AR329" i="66" s="1"/>
  <c r="AP329" i="66"/>
  <c r="AK329" i="66"/>
  <c r="AX328" i="66"/>
  <c r="AR328" i="66"/>
  <c r="AQ328" i="66"/>
  <c r="AP328" i="66"/>
  <c r="AL328" i="66"/>
  <c r="AV328" i="66" s="1"/>
  <c r="AK328" i="66"/>
  <c r="AM328" i="66" s="1"/>
  <c r="AX327" i="66"/>
  <c r="AP327" i="66"/>
  <c r="AM327" i="66"/>
  <c r="AL327" i="66"/>
  <c r="AK327" i="66"/>
  <c r="AX326" i="66"/>
  <c r="AP326" i="66"/>
  <c r="AQ326" i="66" s="1"/>
  <c r="AR326" i="66" s="1"/>
  <c r="AK326" i="66"/>
  <c r="AX325" i="66"/>
  <c r="AP325" i="66"/>
  <c r="AK325" i="66"/>
  <c r="AX324" i="66"/>
  <c r="AP324" i="66"/>
  <c r="AK324" i="66"/>
  <c r="AL324" i="66" s="1"/>
  <c r="AX323" i="66"/>
  <c r="AY323" i="66" s="1"/>
  <c r="AP323" i="66"/>
  <c r="AQ323" i="66" s="1"/>
  <c r="AR323" i="66" s="1"/>
  <c r="AK323" i="66"/>
  <c r="AX322" i="66"/>
  <c r="AP322" i="66"/>
  <c r="AM322" i="66"/>
  <c r="AL322" i="66"/>
  <c r="AK322" i="66"/>
  <c r="AX321" i="66"/>
  <c r="AP321" i="66"/>
  <c r="AK321" i="66"/>
  <c r="AL321" i="66" s="1"/>
  <c r="AX320" i="66"/>
  <c r="AP320" i="66"/>
  <c r="AL320" i="66"/>
  <c r="AK320" i="66"/>
  <c r="AX319" i="66"/>
  <c r="AQ319" i="66"/>
  <c r="AR319" i="66" s="1"/>
  <c r="AP319" i="66"/>
  <c r="AM319" i="66"/>
  <c r="AV319" i="66" s="1"/>
  <c r="AK319" i="66"/>
  <c r="AL319" i="66" s="1"/>
  <c r="AX318" i="66"/>
  <c r="AW318" i="66"/>
  <c r="AP318" i="66"/>
  <c r="AQ318" i="66" s="1"/>
  <c r="AR318" i="66" s="1"/>
  <c r="AL318" i="66"/>
  <c r="AK318" i="66"/>
  <c r="AM318" i="66" s="1"/>
  <c r="AX317" i="66"/>
  <c r="AP317" i="66"/>
  <c r="AQ317" i="66" s="1"/>
  <c r="AK317" i="66"/>
  <c r="AL317" i="66" s="1"/>
  <c r="AX316" i="66"/>
  <c r="AQ316" i="66"/>
  <c r="AR316" i="66" s="1"/>
  <c r="AP316" i="66"/>
  <c r="AK316" i="66"/>
  <c r="AX315" i="66"/>
  <c r="AQ315" i="66"/>
  <c r="AR315" i="66" s="1"/>
  <c r="AP315" i="66"/>
  <c r="AK315" i="66"/>
  <c r="AX314" i="66"/>
  <c r="AP314" i="66"/>
  <c r="AM314" i="66"/>
  <c r="AL314" i="66"/>
  <c r="AV314" i="66" s="1"/>
  <c r="AK314" i="66"/>
  <c r="AX313" i="66"/>
  <c r="AP313" i="66"/>
  <c r="AK313" i="66"/>
  <c r="AL313" i="66" s="1"/>
  <c r="AX312" i="66"/>
  <c r="AP312" i="66"/>
  <c r="AQ312" i="66" s="1"/>
  <c r="AR312" i="66" s="1"/>
  <c r="AK312" i="66"/>
  <c r="AL312" i="66" s="1"/>
  <c r="AX311" i="66"/>
  <c r="AP311" i="66"/>
  <c r="AQ311" i="66" s="1"/>
  <c r="AR311" i="66" s="1"/>
  <c r="AL311" i="66"/>
  <c r="AK311" i="66"/>
  <c r="AM311" i="66" s="1"/>
  <c r="AX310" i="66"/>
  <c r="AP310" i="66"/>
  <c r="AM310" i="66"/>
  <c r="AL310" i="66"/>
  <c r="AK310" i="66"/>
  <c r="AX309" i="66"/>
  <c r="AW309" i="66"/>
  <c r="AP309" i="66"/>
  <c r="AQ309" i="66" s="1"/>
  <c r="AR309" i="66" s="1"/>
  <c r="AK309" i="66"/>
  <c r="AX308" i="66"/>
  <c r="AQ308" i="66"/>
  <c r="AP308" i="66"/>
  <c r="AK308" i="66"/>
  <c r="AY307" i="66"/>
  <c r="AX307" i="66"/>
  <c r="AR307" i="66"/>
  <c r="AW307" i="66" s="1"/>
  <c r="AP307" i="66"/>
  <c r="AQ307" i="66" s="1"/>
  <c r="AM307" i="66"/>
  <c r="AL307" i="66"/>
  <c r="AK307" i="66"/>
  <c r="AX306" i="66"/>
  <c r="AY306" i="66" s="1"/>
  <c r="AP306" i="66"/>
  <c r="AQ306" i="66" s="1"/>
  <c r="AK306" i="66"/>
  <c r="AX305" i="66"/>
  <c r="AP305" i="66"/>
  <c r="AQ305" i="66" s="1"/>
  <c r="AR305" i="66" s="1"/>
  <c r="AL305" i="66"/>
  <c r="AK305" i="66"/>
  <c r="AX304" i="66"/>
  <c r="AY304" i="66" s="1"/>
  <c r="AQ304" i="66"/>
  <c r="AP304" i="66"/>
  <c r="AK304" i="66"/>
  <c r="AX303" i="66"/>
  <c r="AY303" i="66" s="1"/>
  <c r="AR303" i="66"/>
  <c r="AP303" i="66"/>
  <c r="AQ303" i="66" s="1"/>
  <c r="AK303" i="66"/>
  <c r="AX302" i="66"/>
  <c r="AY302" i="66" s="1"/>
  <c r="AP302" i="66"/>
  <c r="AQ302" i="66" s="1"/>
  <c r="AK302" i="66"/>
  <c r="AY301" i="66"/>
  <c r="AX301" i="66"/>
  <c r="AR301" i="66"/>
  <c r="AQ301" i="66"/>
  <c r="AP301" i="66"/>
  <c r="AK301" i="66"/>
  <c r="AL301" i="66" s="1"/>
  <c r="AX300" i="66"/>
  <c r="AY300" i="66" s="1"/>
  <c r="AQ300" i="66"/>
  <c r="AP300" i="66"/>
  <c r="AK300" i="66"/>
  <c r="AY299" i="66"/>
  <c r="AX299" i="66"/>
  <c r="AP299" i="66"/>
  <c r="AQ299" i="66" s="1"/>
  <c r="AR299" i="66" s="1"/>
  <c r="AK299" i="66"/>
  <c r="AX298" i="66"/>
  <c r="AP298" i="66"/>
  <c r="AQ298" i="66" s="1"/>
  <c r="AR298" i="66" s="1"/>
  <c r="AW298" i="66" s="1"/>
  <c r="AK298" i="66"/>
  <c r="AX297" i="66"/>
  <c r="AP297" i="66"/>
  <c r="AM297" i="66"/>
  <c r="AL297" i="66"/>
  <c r="AK297" i="66"/>
  <c r="AX296" i="66"/>
  <c r="AP296" i="66"/>
  <c r="AK296" i="66"/>
  <c r="AL296" i="66" s="1"/>
  <c r="AX295" i="66"/>
  <c r="AP295" i="66"/>
  <c r="AQ295" i="66" s="1"/>
  <c r="AR295" i="66" s="1"/>
  <c r="AL295" i="66"/>
  <c r="AK295" i="66"/>
  <c r="AX294" i="66"/>
  <c r="AQ294" i="66"/>
  <c r="AR294" i="66" s="1"/>
  <c r="AP294" i="66"/>
  <c r="AL294" i="66"/>
  <c r="AV294" i="66" s="1"/>
  <c r="AK294" i="66"/>
  <c r="AM294" i="66" s="1"/>
  <c r="AX293" i="66"/>
  <c r="AP293" i="66"/>
  <c r="AQ293" i="66" s="1"/>
  <c r="AR293" i="66" s="1"/>
  <c r="AW293" i="66" s="1"/>
  <c r="AM293" i="66"/>
  <c r="AL293" i="66"/>
  <c r="AK293" i="66"/>
  <c r="AV293" i="66" s="1"/>
  <c r="AX292" i="66"/>
  <c r="AP292" i="66"/>
  <c r="AQ292" i="66" s="1"/>
  <c r="AM292" i="66"/>
  <c r="AV292" i="66" s="1"/>
  <c r="AK292" i="66"/>
  <c r="AL292" i="66" s="1"/>
  <c r="AX291" i="66"/>
  <c r="AQ291" i="66"/>
  <c r="AP291" i="66"/>
  <c r="AK291" i="66"/>
  <c r="AY290" i="66"/>
  <c r="AX290" i="66"/>
  <c r="AR290" i="66"/>
  <c r="AW290" i="66" s="1"/>
  <c r="AP290" i="66"/>
  <c r="AQ290" i="66" s="1"/>
  <c r="AM290" i="66"/>
  <c r="AL290" i="66"/>
  <c r="AK290" i="66"/>
  <c r="AX289" i="66"/>
  <c r="AQ289" i="66"/>
  <c r="AP289" i="66"/>
  <c r="AK289" i="66"/>
  <c r="AX288" i="66"/>
  <c r="AP288" i="66"/>
  <c r="AK288" i="66"/>
  <c r="AX287" i="66"/>
  <c r="AP287" i="66"/>
  <c r="AM287" i="66"/>
  <c r="AK287" i="66"/>
  <c r="AL287" i="66" s="1"/>
  <c r="AX286" i="66"/>
  <c r="AW286" i="66"/>
  <c r="AP286" i="66"/>
  <c r="AQ286" i="66" s="1"/>
  <c r="AR286" i="66" s="1"/>
  <c r="AM286" i="66"/>
  <c r="AK286" i="66"/>
  <c r="AL286" i="66" s="1"/>
  <c r="AX285" i="66"/>
  <c r="AP285" i="66"/>
  <c r="AQ285" i="66" s="1"/>
  <c r="AR285" i="66" s="1"/>
  <c r="AK285" i="66"/>
  <c r="AX284" i="66"/>
  <c r="AP284" i="66"/>
  <c r="AQ284" i="66" s="1"/>
  <c r="AR284" i="66" s="1"/>
  <c r="AK284" i="66"/>
  <c r="AX283" i="66"/>
  <c r="AQ283" i="66"/>
  <c r="AR283" i="66" s="1"/>
  <c r="AP283" i="66"/>
  <c r="AK283" i="66"/>
  <c r="AX282" i="66"/>
  <c r="AR282" i="66"/>
  <c r="AW282" i="66" s="1"/>
  <c r="AP282" i="66"/>
  <c r="AQ282" i="66" s="1"/>
  <c r="AK282" i="66"/>
  <c r="AM282" i="66" s="1"/>
  <c r="AX281" i="66"/>
  <c r="AQ281" i="66"/>
  <c r="AP281" i="66"/>
  <c r="AK281" i="66"/>
  <c r="AX280" i="66"/>
  <c r="AP280" i="66"/>
  <c r="AK280" i="66"/>
  <c r="AX279" i="66"/>
  <c r="AP279" i="66"/>
  <c r="AM279" i="66"/>
  <c r="AK279" i="66"/>
  <c r="AL279" i="66" s="1"/>
  <c r="AX278" i="66"/>
  <c r="AW278" i="66"/>
  <c r="AP278" i="66"/>
  <c r="AQ278" i="66" s="1"/>
  <c r="AR278" i="66" s="1"/>
  <c r="AK278" i="66"/>
  <c r="AL278" i="66" s="1"/>
  <c r="AX277" i="66"/>
  <c r="AP277" i="66"/>
  <c r="AK277" i="66"/>
  <c r="AX276" i="66"/>
  <c r="AW276" i="66"/>
  <c r="AP276" i="66"/>
  <c r="AQ276" i="66" s="1"/>
  <c r="AR276" i="66" s="1"/>
  <c r="AK276" i="66"/>
  <c r="AX275" i="66"/>
  <c r="AP275" i="66"/>
  <c r="AQ275" i="66" s="1"/>
  <c r="AR275" i="66" s="1"/>
  <c r="AL275" i="66"/>
  <c r="AK275" i="66"/>
  <c r="AX274" i="66"/>
  <c r="AR274" i="66"/>
  <c r="AW274" i="66" s="1"/>
  <c r="AP274" i="66"/>
  <c r="AQ274" i="66" s="1"/>
  <c r="AK274" i="66"/>
  <c r="AL274" i="66" s="1"/>
  <c r="AX273" i="66"/>
  <c r="AQ273" i="66"/>
  <c r="AP273" i="66"/>
  <c r="AK273" i="66"/>
  <c r="AX272" i="66"/>
  <c r="AP272" i="66"/>
  <c r="AK272" i="66"/>
  <c r="AX271" i="66"/>
  <c r="AQ271" i="66"/>
  <c r="AR271" i="66" s="1"/>
  <c r="AP271" i="66"/>
  <c r="AK271" i="66"/>
  <c r="AX270" i="66"/>
  <c r="AP270" i="66"/>
  <c r="AQ270" i="66" s="1"/>
  <c r="AR270" i="66" s="1"/>
  <c r="AL270" i="66"/>
  <c r="AK270" i="66"/>
  <c r="AM270" i="66" s="1"/>
  <c r="AX269" i="66"/>
  <c r="AP269" i="66"/>
  <c r="AM269" i="66"/>
  <c r="AK269" i="66"/>
  <c r="AL269" i="66" s="1"/>
  <c r="AX268" i="66"/>
  <c r="AP268" i="66"/>
  <c r="AQ268" i="66" s="1"/>
  <c r="AR268" i="66" s="1"/>
  <c r="AW268" i="66" s="1"/>
  <c r="AK268" i="66"/>
  <c r="AX267" i="66"/>
  <c r="AP267" i="66"/>
  <c r="AQ267" i="66" s="1"/>
  <c r="AR267" i="66" s="1"/>
  <c r="AK267" i="66"/>
  <c r="AX266" i="66"/>
  <c r="AP266" i="66"/>
  <c r="AQ266" i="66" s="1"/>
  <c r="AR266" i="66" s="1"/>
  <c r="AW266" i="66" s="1"/>
  <c r="AM266" i="66"/>
  <c r="AL266" i="66"/>
  <c r="AK266" i="66"/>
  <c r="AX265" i="66"/>
  <c r="AQ265" i="66"/>
  <c r="AP265" i="66"/>
  <c r="AK265" i="66"/>
  <c r="AX264" i="66"/>
  <c r="AQ264" i="66"/>
  <c r="AR264" i="66" s="1"/>
  <c r="AP264" i="66"/>
  <c r="AK264" i="66"/>
  <c r="AX263" i="66"/>
  <c r="AQ263" i="66"/>
  <c r="AR263" i="66" s="1"/>
  <c r="AP263" i="66"/>
  <c r="AK263" i="66"/>
  <c r="AX262" i="66"/>
  <c r="AP262" i="66"/>
  <c r="AL262" i="66"/>
  <c r="AK262" i="66"/>
  <c r="AM262" i="66" s="1"/>
  <c r="AX261" i="66"/>
  <c r="AP261" i="66"/>
  <c r="AM261" i="66"/>
  <c r="AK261" i="66"/>
  <c r="AL261" i="66" s="1"/>
  <c r="AX260" i="66"/>
  <c r="AP260" i="66"/>
  <c r="AQ260" i="66" s="1"/>
  <c r="AL260" i="66"/>
  <c r="AK260" i="66"/>
  <c r="AX259" i="66"/>
  <c r="AQ259" i="66"/>
  <c r="AR259" i="66" s="1"/>
  <c r="AP259" i="66"/>
  <c r="AK259" i="66"/>
  <c r="AX258" i="66"/>
  <c r="AR258" i="66"/>
  <c r="AW258" i="66" s="1"/>
  <c r="AP258" i="66"/>
  <c r="AQ258" i="66" s="1"/>
  <c r="AM258" i="66"/>
  <c r="AK258" i="66"/>
  <c r="AL258" i="66" s="1"/>
  <c r="AX257" i="66"/>
  <c r="AQ257" i="66"/>
  <c r="AP257" i="66"/>
  <c r="AK257" i="66"/>
  <c r="AX256" i="66"/>
  <c r="AP256" i="66"/>
  <c r="AK256" i="66"/>
  <c r="AX255" i="66"/>
  <c r="AQ255" i="66"/>
  <c r="AR255" i="66" s="1"/>
  <c r="AP255" i="66"/>
  <c r="AK255" i="66"/>
  <c r="AX254" i="66"/>
  <c r="AP254" i="66"/>
  <c r="AQ254" i="66" s="1"/>
  <c r="AR254" i="66" s="1"/>
  <c r="AL254" i="66"/>
  <c r="AV254" i="66" s="1"/>
  <c r="AK254" i="66"/>
  <c r="AM254" i="66" s="1"/>
  <c r="AX253" i="66"/>
  <c r="AP253" i="66"/>
  <c r="AQ253" i="66" s="1"/>
  <c r="AR253" i="66" s="1"/>
  <c r="AM253" i="66"/>
  <c r="AK253" i="66"/>
  <c r="AL253" i="66" s="1"/>
  <c r="AX252" i="66"/>
  <c r="AP252" i="66"/>
  <c r="AQ252" i="66" s="1"/>
  <c r="AR252" i="66" s="1"/>
  <c r="AK252" i="66"/>
  <c r="AY251" i="66"/>
  <c r="AX251" i="66"/>
  <c r="AP251" i="66"/>
  <c r="AQ251" i="66" s="1"/>
  <c r="AR251" i="66" s="1"/>
  <c r="AW251" i="66" s="1"/>
  <c r="AM251" i="66"/>
  <c r="AV251" i="66" s="1"/>
  <c r="AL251" i="66"/>
  <c r="AK251" i="66"/>
  <c r="AX250" i="66"/>
  <c r="AW250" i="66"/>
  <c r="AP250" i="66"/>
  <c r="AQ250" i="66" s="1"/>
  <c r="AR250" i="66" s="1"/>
  <c r="AK250" i="66"/>
  <c r="AM250" i="66" s="1"/>
  <c r="AX249" i="66"/>
  <c r="AQ249" i="66"/>
  <c r="AP249" i="66"/>
  <c r="AK249" i="66"/>
  <c r="AX248" i="66"/>
  <c r="AQ248" i="66"/>
  <c r="AR248" i="66" s="1"/>
  <c r="AP248" i="66"/>
  <c r="AK248" i="66"/>
  <c r="AX247" i="66"/>
  <c r="AP247" i="66"/>
  <c r="AL247" i="66"/>
  <c r="AV247" i="66" s="1"/>
  <c r="AK247" i="66"/>
  <c r="AM247" i="66" s="1"/>
  <c r="AX246" i="66"/>
  <c r="AP246" i="66"/>
  <c r="AK246" i="66"/>
  <c r="AL246" i="66" s="1"/>
  <c r="AX245" i="66"/>
  <c r="AP245" i="66"/>
  <c r="AK245" i="66"/>
  <c r="AM245" i="66" s="1"/>
  <c r="AX244" i="66"/>
  <c r="AP244" i="66"/>
  <c r="AQ244" i="66" s="1"/>
  <c r="AR244" i="66" s="1"/>
  <c r="AW244" i="66" s="1"/>
  <c r="AK244" i="66"/>
  <c r="AX243" i="66"/>
  <c r="AQ243" i="66"/>
  <c r="AR243" i="66" s="1"/>
  <c r="AP243" i="66"/>
  <c r="AK243" i="66"/>
  <c r="AX242" i="66"/>
  <c r="AR242" i="66"/>
  <c r="AW242" i="66" s="1"/>
  <c r="AP242" i="66"/>
  <c r="AQ242" i="66" s="1"/>
  <c r="AL242" i="66"/>
  <c r="AV242" i="66" s="1"/>
  <c r="AK242" i="66"/>
  <c r="AM242" i="66" s="1"/>
  <c r="AX241" i="66"/>
  <c r="AP241" i="66"/>
  <c r="AQ241" i="66" s="1"/>
  <c r="AK241" i="66"/>
  <c r="AX240" i="66"/>
  <c r="AP240" i="66"/>
  <c r="AQ240" i="66" s="1"/>
  <c r="AR240" i="66" s="1"/>
  <c r="AK240" i="66"/>
  <c r="AX239" i="66"/>
  <c r="AP239" i="66"/>
  <c r="AM239" i="66"/>
  <c r="AK239" i="66"/>
  <c r="AL239" i="66" s="1"/>
  <c r="AX238" i="66"/>
  <c r="AP238" i="66"/>
  <c r="AQ238" i="66" s="1"/>
  <c r="AR238" i="66" s="1"/>
  <c r="AM238" i="66"/>
  <c r="AL238" i="66"/>
  <c r="AK238" i="66"/>
  <c r="AX237" i="66"/>
  <c r="AW237" i="66"/>
  <c r="AP237" i="66"/>
  <c r="AQ237" i="66" s="1"/>
  <c r="AR237" i="66" s="1"/>
  <c r="AK237" i="66"/>
  <c r="AX236" i="66"/>
  <c r="AP236" i="66"/>
  <c r="AQ236" i="66" s="1"/>
  <c r="AK236" i="66"/>
  <c r="AL236" i="66" s="1"/>
  <c r="AX235" i="66"/>
  <c r="AQ235" i="66"/>
  <c r="AR235" i="66" s="1"/>
  <c r="AP235" i="66"/>
  <c r="AK235" i="66"/>
  <c r="AX234" i="66"/>
  <c r="AR234" i="66"/>
  <c r="AW234" i="66" s="1"/>
  <c r="AP234" i="66"/>
  <c r="AQ234" i="66" s="1"/>
  <c r="AL234" i="66"/>
  <c r="AK234" i="66"/>
  <c r="AM234" i="66" s="1"/>
  <c r="AX233" i="66"/>
  <c r="AP233" i="66"/>
  <c r="AQ233" i="66" s="1"/>
  <c r="AK233" i="66"/>
  <c r="AX232" i="66"/>
  <c r="AP232" i="66"/>
  <c r="AK232" i="66"/>
  <c r="AX231" i="66"/>
  <c r="AP231" i="66"/>
  <c r="AK231" i="66"/>
  <c r="AL231" i="66" s="1"/>
  <c r="AX230" i="66"/>
  <c r="AP230" i="66"/>
  <c r="AM230" i="66"/>
  <c r="AL230" i="66"/>
  <c r="AV230" i="66" s="1"/>
  <c r="AK230" i="66"/>
  <c r="AX229" i="66"/>
  <c r="AP229" i="66"/>
  <c r="AQ229" i="66" s="1"/>
  <c r="AR229" i="66" s="1"/>
  <c r="AM229" i="66"/>
  <c r="AK229" i="66"/>
  <c r="AL229" i="66" s="1"/>
  <c r="AX228" i="66"/>
  <c r="AP228" i="66"/>
  <c r="AQ228" i="66" s="1"/>
  <c r="AK228" i="66"/>
  <c r="AX227" i="66"/>
  <c r="AP227" i="66"/>
  <c r="AQ227" i="66" s="1"/>
  <c r="AR227" i="66" s="1"/>
  <c r="AK227" i="66"/>
  <c r="AX226" i="66"/>
  <c r="AP226" i="66"/>
  <c r="AQ226" i="66" s="1"/>
  <c r="AR226" i="66" s="1"/>
  <c r="AW226" i="66" s="1"/>
  <c r="AL226" i="66"/>
  <c r="AV226" i="66" s="1"/>
  <c r="AK226" i="66"/>
  <c r="AM226" i="66" s="1"/>
  <c r="AX225" i="66"/>
  <c r="AP225" i="66"/>
  <c r="AQ225" i="66" s="1"/>
  <c r="AK225" i="66"/>
  <c r="AX224" i="66"/>
  <c r="AP224" i="66"/>
  <c r="AK224" i="66"/>
  <c r="AX223" i="66"/>
  <c r="AQ223" i="66"/>
  <c r="AR223" i="66" s="1"/>
  <c r="AP223" i="66"/>
  <c r="AM223" i="66"/>
  <c r="AK223" i="66"/>
  <c r="AL223" i="66" s="1"/>
  <c r="AX222" i="66"/>
  <c r="AP222" i="66"/>
  <c r="AM222" i="66"/>
  <c r="AL222" i="66"/>
  <c r="AK222" i="66"/>
  <c r="AX221" i="66"/>
  <c r="AP221" i="66"/>
  <c r="AQ221" i="66" s="1"/>
  <c r="AR221" i="66" s="1"/>
  <c r="AM221" i="66"/>
  <c r="AK221" i="66"/>
  <c r="AL221" i="66" s="1"/>
  <c r="AX220" i="66"/>
  <c r="AR220" i="66"/>
  <c r="AW220" i="66" s="1"/>
  <c r="AP220" i="66"/>
  <c r="AQ220" i="66" s="1"/>
  <c r="AK220" i="66"/>
  <c r="AX219" i="66"/>
  <c r="AQ219" i="66"/>
  <c r="AR219" i="66" s="1"/>
  <c r="AP219" i="66"/>
  <c r="AK219" i="66"/>
  <c r="AL219" i="66" s="1"/>
  <c r="AX218" i="66"/>
  <c r="AR218" i="66"/>
  <c r="AW218" i="66" s="1"/>
  <c r="AP218" i="66"/>
  <c r="AQ218" i="66" s="1"/>
  <c r="AK218" i="66"/>
  <c r="AM218" i="66" s="1"/>
  <c r="AX217" i="66"/>
  <c r="AQ217" i="66"/>
  <c r="AP217" i="66"/>
  <c r="AK217" i="66"/>
  <c r="AX216" i="66"/>
  <c r="AP216" i="66"/>
  <c r="AK216" i="66"/>
  <c r="AX215" i="66"/>
  <c r="AP215" i="66"/>
  <c r="AQ215" i="66" s="1"/>
  <c r="AR215" i="66" s="1"/>
  <c r="AM215" i="66"/>
  <c r="AK215" i="66"/>
  <c r="AL215" i="66" s="1"/>
  <c r="AX214" i="66"/>
  <c r="AP214" i="66"/>
  <c r="AQ214" i="66" s="1"/>
  <c r="AR214" i="66" s="1"/>
  <c r="AM214" i="66"/>
  <c r="AL214" i="66"/>
  <c r="AK214" i="66"/>
  <c r="AX213" i="66"/>
  <c r="AP213" i="66"/>
  <c r="AM213" i="66"/>
  <c r="AK213" i="66"/>
  <c r="AL213" i="66" s="1"/>
  <c r="AX212" i="66"/>
  <c r="AW212" i="66"/>
  <c r="AP212" i="66"/>
  <c r="AQ212" i="66" s="1"/>
  <c r="AR212" i="66" s="1"/>
  <c r="AK212" i="66"/>
  <c r="AY211" i="66"/>
  <c r="AX211" i="66"/>
  <c r="AP211" i="66"/>
  <c r="AQ211" i="66" s="1"/>
  <c r="AR211" i="66" s="1"/>
  <c r="AM211" i="66"/>
  <c r="AL211" i="66"/>
  <c r="AK211" i="66"/>
  <c r="AX210" i="66"/>
  <c r="AP210" i="66"/>
  <c r="AQ210" i="66" s="1"/>
  <c r="AK210" i="66"/>
  <c r="AL210" i="66" s="1"/>
  <c r="AX209" i="66"/>
  <c r="AR209" i="66"/>
  <c r="AQ209" i="66"/>
  <c r="AP209" i="66"/>
  <c r="AK209" i="66"/>
  <c r="AX208" i="66"/>
  <c r="AQ208" i="66"/>
  <c r="AR208" i="66" s="1"/>
  <c r="AP208" i="66"/>
  <c r="AK208" i="66"/>
  <c r="AX207" i="66"/>
  <c r="AP207" i="66"/>
  <c r="AM207" i="66"/>
  <c r="AK207" i="66"/>
  <c r="AL207" i="66" s="1"/>
  <c r="AX206" i="66"/>
  <c r="AP206" i="66"/>
  <c r="AK206" i="66"/>
  <c r="AL206" i="66" s="1"/>
  <c r="AX205" i="66"/>
  <c r="AQ205" i="66"/>
  <c r="AP205" i="66"/>
  <c r="AK205" i="66"/>
  <c r="AX204" i="66"/>
  <c r="AR204" i="66"/>
  <c r="AQ204" i="66"/>
  <c r="AP204" i="66"/>
  <c r="AK204" i="66"/>
  <c r="AX203" i="66"/>
  <c r="AP203" i="66"/>
  <c r="AQ203" i="66" s="1"/>
  <c r="AR203" i="66" s="1"/>
  <c r="AL203" i="66"/>
  <c r="AV203" i="66" s="1"/>
  <c r="AK203" i="66"/>
  <c r="AM203" i="66" s="1"/>
  <c r="AX202" i="66"/>
  <c r="AP202" i="66"/>
  <c r="AQ202" i="66" s="1"/>
  <c r="AR202" i="66" s="1"/>
  <c r="AM202" i="66"/>
  <c r="AV202" i="66" s="1"/>
  <c r="AK202" i="66"/>
  <c r="AL202" i="66" s="1"/>
  <c r="AX201" i="66"/>
  <c r="AP201" i="66"/>
  <c r="AQ201" i="66" s="1"/>
  <c r="AK201" i="66"/>
  <c r="AX200" i="66"/>
  <c r="AQ200" i="66"/>
  <c r="AR200" i="66" s="1"/>
  <c r="AP200" i="66"/>
  <c r="AK200" i="66"/>
  <c r="AX199" i="66"/>
  <c r="AP199" i="66"/>
  <c r="AQ199" i="66" s="1"/>
  <c r="AR199" i="66" s="1"/>
  <c r="AM199" i="66"/>
  <c r="AL199" i="66"/>
  <c r="AK199" i="66"/>
  <c r="AX198" i="66"/>
  <c r="AP198" i="66"/>
  <c r="AQ198" i="66" s="1"/>
  <c r="AR198" i="66" s="1"/>
  <c r="AM198" i="66"/>
  <c r="AV198" i="66" s="1"/>
  <c r="AK198" i="66"/>
  <c r="AL198" i="66" s="1"/>
  <c r="AX197" i="66"/>
  <c r="AQ197" i="66"/>
  <c r="AP197" i="66"/>
  <c r="AK197" i="66"/>
  <c r="AX196" i="66"/>
  <c r="AR196" i="66"/>
  <c r="AQ196" i="66"/>
  <c r="AP196" i="66"/>
  <c r="AK196" i="66"/>
  <c r="AX195" i="66"/>
  <c r="AP195" i="66"/>
  <c r="AQ195" i="66" s="1"/>
  <c r="AR195" i="66" s="1"/>
  <c r="AK195" i="66"/>
  <c r="AM195" i="66" s="1"/>
  <c r="AX194" i="66"/>
  <c r="AP194" i="66"/>
  <c r="AQ194" i="66" s="1"/>
  <c r="AR194" i="66" s="1"/>
  <c r="AK194" i="66"/>
  <c r="AL194" i="66" s="1"/>
  <c r="AX193" i="66"/>
  <c r="AP193" i="66"/>
  <c r="AQ193" i="66" s="1"/>
  <c r="AK193" i="66"/>
  <c r="AX192" i="66"/>
  <c r="AQ192" i="66"/>
  <c r="AR192" i="66" s="1"/>
  <c r="AP192" i="66"/>
  <c r="AK192" i="66"/>
  <c r="AX191" i="66"/>
  <c r="AP191" i="66"/>
  <c r="AQ191" i="66" s="1"/>
  <c r="AR191" i="66" s="1"/>
  <c r="AM191" i="66"/>
  <c r="AL191" i="66"/>
  <c r="AK191" i="66"/>
  <c r="AX190" i="66"/>
  <c r="AP190" i="66"/>
  <c r="AQ190" i="66" s="1"/>
  <c r="AR190" i="66" s="1"/>
  <c r="AM190" i="66"/>
  <c r="AV190" i="66" s="1"/>
  <c r="AK190" i="66"/>
  <c r="AL190" i="66" s="1"/>
  <c r="AX189" i="66"/>
  <c r="AQ189" i="66"/>
  <c r="AP189" i="66"/>
  <c r="AK189" i="66"/>
  <c r="AX188" i="66"/>
  <c r="AR188" i="66"/>
  <c r="AQ188" i="66"/>
  <c r="AP188" i="66"/>
  <c r="AK188" i="66"/>
  <c r="AX187" i="66"/>
  <c r="AP187" i="66"/>
  <c r="AQ187" i="66" s="1"/>
  <c r="AR187" i="66" s="1"/>
  <c r="AL187" i="66"/>
  <c r="AV187" i="66" s="1"/>
  <c r="AK187" i="66"/>
  <c r="AM187" i="66" s="1"/>
  <c r="AX186" i="66"/>
  <c r="AP186" i="66"/>
  <c r="AQ186" i="66" s="1"/>
  <c r="AR186" i="66" s="1"/>
  <c r="AM186" i="66"/>
  <c r="AV186" i="66" s="1"/>
  <c r="AK186" i="66"/>
  <c r="AL186" i="66" s="1"/>
  <c r="AX185" i="66"/>
  <c r="AP185" i="66"/>
  <c r="AQ185" i="66" s="1"/>
  <c r="AK185" i="66"/>
  <c r="AX184" i="66"/>
  <c r="AQ184" i="66"/>
  <c r="AR184" i="66" s="1"/>
  <c r="AP184" i="66"/>
  <c r="AK184" i="66"/>
  <c r="AX183" i="66"/>
  <c r="AP183" i="66"/>
  <c r="AQ183" i="66" s="1"/>
  <c r="AR183" i="66" s="1"/>
  <c r="AM183" i="66"/>
  <c r="AL183" i="66"/>
  <c r="AV183" i="66" s="1"/>
  <c r="AK183" i="66"/>
  <c r="AX182" i="66"/>
  <c r="AP182" i="66"/>
  <c r="AQ182" i="66" s="1"/>
  <c r="AR182" i="66" s="1"/>
  <c r="AM182" i="66"/>
  <c r="AV182" i="66" s="1"/>
  <c r="AK182" i="66"/>
  <c r="AL182" i="66" s="1"/>
  <c r="AX181" i="66"/>
  <c r="AP181" i="66"/>
  <c r="AQ181" i="66" s="1"/>
  <c r="AK181" i="66"/>
  <c r="AX180" i="66"/>
  <c r="AQ180" i="66"/>
  <c r="AR180" i="66" s="1"/>
  <c r="AP180" i="66"/>
  <c r="AK180" i="66"/>
  <c r="AX179" i="66"/>
  <c r="AP179" i="66"/>
  <c r="AQ179" i="66" s="1"/>
  <c r="AR179" i="66" s="1"/>
  <c r="AL179" i="66"/>
  <c r="AV179" i="66" s="1"/>
  <c r="AK179" i="66"/>
  <c r="AM179" i="66" s="1"/>
  <c r="AX178" i="66"/>
  <c r="AP178" i="66"/>
  <c r="AQ178" i="66" s="1"/>
  <c r="AR178" i="66" s="1"/>
  <c r="AM178" i="66"/>
  <c r="AV178" i="66" s="1"/>
  <c r="AL178" i="66"/>
  <c r="AK178" i="66"/>
  <c r="AX177" i="66"/>
  <c r="AW177" i="66"/>
  <c r="AP177" i="66"/>
  <c r="AQ177" i="66" s="1"/>
  <c r="AR177" i="66" s="1"/>
  <c r="AK177" i="66"/>
  <c r="AX176" i="66"/>
  <c r="AQ176" i="66"/>
  <c r="AR176" i="66" s="1"/>
  <c r="AP176" i="66"/>
  <c r="AL176" i="66"/>
  <c r="AK176" i="66"/>
  <c r="AX175" i="66"/>
  <c r="AR175" i="66"/>
  <c r="AQ175" i="66"/>
  <c r="AP175" i="66"/>
  <c r="AM175" i="66"/>
  <c r="AL175" i="66"/>
  <c r="AK175" i="66"/>
  <c r="AX174" i="66"/>
  <c r="AW174" i="66"/>
  <c r="AP174" i="66"/>
  <c r="AQ174" i="66" s="1"/>
  <c r="AR174" i="66" s="1"/>
  <c r="AL174" i="66"/>
  <c r="AK174" i="66"/>
  <c r="AM174" i="66" s="1"/>
  <c r="AX173" i="66"/>
  <c r="AP173" i="66"/>
  <c r="AK173" i="66"/>
  <c r="AX172" i="66"/>
  <c r="AQ172" i="66"/>
  <c r="AR172" i="66" s="1"/>
  <c r="AP172" i="66"/>
  <c r="AK172" i="66"/>
  <c r="AX171" i="66"/>
  <c r="AP171" i="66"/>
  <c r="AM171" i="66"/>
  <c r="AL171" i="66"/>
  <c r="AK171" i="66"/>
  <c r="AX170" i="66"/>
  <c r="AP170" i="66"/>
  <c r="AQ170" i="66" s="1"/>
  <c r="AR170" i="66" s="1"/>
  <c r="AM170" i="66"/>
  <c r="AV170" i="66" s="1"/>
  <c r="AK170" i="66"/>
  <c r="AL170" i="66" s="1"/>
  <c r="AX169" i="66"/>
  <c r="AP169" i="66"/>
  <c r="AQ169" i="66" s="1"/>
  <c r="AR169" i="66" s="1"/>
  <c r="AK169" i="66"/>
  <c r="AX168" i="66"/>
  <c r="AP168" i="66"/>
  <c r="AQ168" i="66" s="1"/>
  <c r="AR168" i="66" s="1"/>
  <c r="AK168" i="66"/>
  <c r="AL168" i="66" s="1"/>
  <c r="AX167" i="66"/>
  <c r="AP167" i="66"/>
  <c r="AQ167" i="66" s="1"/>
  <c r="AR167" i="66" s="1"/>
  <c r="AM167" i="66"/>
  <c r="AL167" i="66"/>
  <c r="AK167" i="66"/>
  <c r="AX166" i="66"/>
  <c r="AW166" i="66"/>
  <c r="AP166" i="66"/>
  <c r="AQ166" i="66" s="1"/>
  <c r="AR166" i="66" s="1"/>
  <c r="AM166" i="66"/>
  <c r="AL166" i="66"/>
  <c r="AK166" i="66"/>
  <c r="AV166" i="66" s="1"/>
  <c r="AX165" i="66"/>
  <c r="AP165" i="66"/>
  <c r="AK165" i="66"/>
  <c r="AX164" i="66"/>
  <c r="AP164" i="66"/>
  <c r="AQ164" i="66" s="1"/>
  <c r="AR164" i="66" s="1"/>
  <c r="AK164" i="66"/>
  <c r="AX163" i="66"/>
  <c r="AQ163" i="66"/>
  <c r="AR163" i="66" s="1"/>
  <c r="AP163" i="66"/>
  <c r="AM163" i="66"/>
  <c r="AK163" i="66"/>
  <c r="AL163" i="66" s="1"/>
  <c r="AX162" i="66"/>
  <c r="AP162" i="66"/>
  <c r="AQ162" i="66" s="1"/>
  <c r="AR162" i="66" s="1"/>
  <c r="AL162" i="66"/>
  <c r="AK162" i="66"/>
  <c r="AM162" i="66" s="1"/>
  <c r="AX161" i="66"/>
  <c r="AP161" i="66"/>
  <c r="AK161" i="66"/>
  <c r="AX160" i="66"/>
  <c r="AP160" i="66"/>
  <c r="AQ160" i="66" s="1"/>
  <c r="AR160" i="66" s="1"/>
  <c r="AK160" i="66"/>
  <c r="AL160" i="66" s="1"/>
  <c r="AX159" i="66"/>
  <c r="AP159" i="66"/>
  <c r="AQ159" i="66" s="1"/>
  <c r="AR159" i="66" s="1"/>
  <c r="AL159" i="66"/>
  <c r="AV159" i="66" s="1"/>
  <c r="AK159" i="66"/>
  <c r="AM159" i="66" s="1"/>
  <c r="AX158" i="66"/>
  <c r="AV158" i="66"/>
  <c r="AP158" i="66"/>
  <c r="AM158" i="66"/>
  <c r="AK158" i="66"/>
  <c r="AL158" i="66" s="1"/>
  <c r="AX157" i="66"/>
  <c r="AP157" i="66"/>
  <c r="AK157" i="66"/>
  <c r="AX156" i="66"/>
  <c r="AQ156" i="66"/>
  <c r="AR156" i="66" s="1"/>
  <c r="AP156" i="66"/>
  <c r="AK156" i="66"/>
  <c r="AX155" i="66"/>
  <c r="AR155" i="66"/>
  <c r="AQ155" i="66"/>
  <c r="AP155" i="66"/>
  <c r="AL155" i="66"/>
  <c r="AK155" i="66"/>
  <c r="AM155" i="66" s="1"/>
  <c r="AX154" i="66"/>
  <c r="AP154" i="66"/>
  <c r="AQ154" i="66" s="1"/>
  <c r="AR154" i="66" s="1"/>
  <c r="AM154" i="66"/>
  <c r="AV154" i="66" s="1"/>
  <c r="AL154" i="66"/>
  <c r="AK154" i="66"/>
  <c r="AX153" i="66"/>
  <c r="AP153" i="66"/>
  <c r="AQ153" i="66" s="1"/>
  <c r="AR153" i="66" s="1"/>
  <c r="AK153" i="66"/>
  <c r="AX152" i="66"/>
  <c r="AP152" i="66"/>
  <c r="AQ152" i="66" s="1"/>
  <c r="AR152" i="66" s="1"/>
  <c r="AL152" i="66"/>
  <c r="AK152" i="66"/>
  <c r="AX151" i="66"/>
  <c r="AR151" i="66"/>
  <c r="AQ151" i="66"/>
  <c r="AP151" i="66"/>
  <c r="AL151" i="66"/>
  <c r="AK151" i="66"/>
  <c r="AM151" i="66" s="1"/>
  <c r="AX150" i="66"/>
  <c r="AP150" i="66"/>
  <c r="AQ150" i="66" s="1"/>
  <c r="AR150" i="66" s="1"/>
  <c r="AK150" i="66"/>
  <c r="AM150" i="66" s="1"/>
  <c r="AX149" i="66"/>
  <c r="AP149" i="66"/>
  <c r="AK149" i="66"/>
  <c r="AX148" i="66"/>
  <c r="AQ148" i="66"/>
  <c r="AR148" i="66" s="1"/>
  <c r="AP148" i="66"/>
  <c r="AK148" i="66"/>
  <c r="AX147" i="66"/>
  <c r="AP147" i="66"/>
  <c r="AM147" i="66"/>
  <c r="AL147" i="66"/>
  <c r="AV147" i="66" s="1"/>
  <c r="AK147" i="66"/>
  <c r="AX146" i="66"/>
  <c r="AP146" i="66"/>
  <c r="AQ146" i="66" s="1"/>
  <c r="AR146" i="66" s="1"/>
  <c r="AK146" i="66"/>
  <c r="AL146" i="66" s="1"/>
  <c r="AX145" i="66"/>
  <c r="AW145" i="66"/>
  <c r="AP145" i="66"/>
  <c r="AQ145" i="66" s="1"/>
  <c r="AR145" i="66" s="1"/>
  <c r="AK145" i="66"/>
  <c r="AX144" i="66"/>
  <c r="AQ144" i="66"/>
  <c r="AR144" i="66" s="1"/>
  <c r="AP144" i="66"/>
  <c r="AL144" i="66"/>
  <c r="AK144" i="66"/>
  <c r="AX143" i="66"/>
  <c r="AP143" i="66"/>
  <c r="AQ143" i="66" s="1"/>
  <c r="AR143" i="66" s="1"/>
  <c r="AM143" i="66"/>
  <c r="AK143" i="66"/>
  <c r="AL143" i="66" s="1"/>
  <c r="AX142" i="66"/>
  <c r="AW142" i="66"/>
  <c r="AP142" i="66"/>
  <c r="AQ142" i="66" s="1"/>
  <c r="AR142" i="66" s="1"/>
  <c r="AM142" i="66"/>
  <c r="AL142" i="66"/>
  <c r="AK142" i="66"/>
  <c r="AV142" i="66" s="1"/>
  <c r="AX141" i="66"/>
  <c r="AQ141" i="66"/>
  <c r="AP141" i="66"/>
  <c r="AK141" i="66"/>
  <c r="AL141" i="66" s="1"/>
  <c r="AX140" i="66"/>
  <c r="AP140" i="66"/>
  <c r="AK140" i="66"/>
  <c r="AX139" i="66"/>
  <c r="AQ139" i="66"/>
  <c r="AR139" i="66" s="1"/>
  <c r="AP139" i="66"/>
  <c r="AM139" i="66"/>
  <c r="AK139" i="66"/>
  <c r="AL139" i="66" s="1"/>
  <c r="AX138" i="66"/>
  <c r="AW138" i="66"/>
  <c r="AP138" i="66"/>
  <c r="AQ138" i="66" s="1"/>
  <c r="AR138" i="66" s="1"/>
  <c r="AL138" i="66"/>
  <c r="AV138" i="66" s="1"/>
  <c r="AK138" i="66"/>
  <c r="AM138" i="66" s="1"/>
  <c r="AX137" i="66"/>
  <c r="AP137" i="66"/>
  <c r="AQ137" i="66" s="1"/>
  <c r="AR137" i="66" s="1"/>
  <c r="AM137" i="66"/>
  <c r="AK137" i="66"/>
  <c r="AL137" i="66" s="1"/>
  <c r="AX136" i="66"/>
  <c r="AY136" i="66" s="1"/>
  <c r="AP136" i="66"/>
  <c r="AQ136" i="66" s="1"/>
  <c r="AR136" i="66" s="1"/>
  <c r="AL136" i="66"/>
  <c r="AK136" i="66"/>
  <c r="AX135" i="66"/>
  <c r="AR135" i="66"/>
  <c r="AQ135" i="66"/>
  <c r="AP135" i="66"/>
  <c r="AM135" i="66"/>
  <c r="AL135" i="66"/>
  <c r="AV135" i="66" s="1"/>
  <c r="AK135" i="66"/>
  <c r="AX134" i="66"/>
  <c r="AV134" i="66"/>
  <c r="AP134" i="66"/>
  <c r="AQ134" i="66" s="1"/>
  <c r="AR134" i="66" s="1"/>
  <c r="AW134" i="66" s="1"/>
  <c r="AM134" i="66"/>
  <c r="AK134" i="66"/>
  <c r="AL134" i="66" s="1"/>
  <c r="AX133" i="66"/>
  <c r="AP133" i="66"/>
  <c r="AQ133" i="66" s="1"/>
  <c r="AK133" i="66"/>
  <c r="AX132" i="66"/>
  <c r="AP132" i="66"/>
  <c r="AQ132" i="66" s="1"/>
  <c r="AK132" i="66"/>
  <c r="AX131" i="66"/>
  <c r="AP131" i="66"/>
  <c r="AK131" i="66"/>
  <c r="AX130" i="66"/>
  <c r="AP130" i="66"/>
  <c r="AM130" i="66"/>
  <c r="AK130" i="66"/>
  <c r="AL130" i="66" s="1"/>
  <c r="AX129" i="66"/>
  <c r="AP129" i="66"/>
  <c r="AK129" i="66"/>
  <c r="AL129" i="66" s="1"/>
  <c r="AX128" i="66"/>
  <c r="AP128" i="66"/>
  <c r="AQ128" i="66" s="1"/>
  <c r="AR128" i="66" s="1"/>
  <c r="AL128" i="66"/>
  <c r="AK128" i="66"/>
  <c r="AX127" i="66"/>
  <c r="AQ127" i="66"/>
  <c r="AR127" i="66" s="1"/>
  <c r="AP127" i="66"/>
  <c r="AK127" i="66"/>
  <c r="AM127" i="66" s="1"/>
  <c r="AX126" i="66"/>
  <c r="AP126" i="66"/>
  <c r="AQ126" i="66" s="1"/>
  <c r="AR126" i="66" s="1"/>
  <c r="AW126" i="66" s="1"/>
  <c r="AM126" i="66"/>
  <c r="AL126" i="66"/>
  <c r="AV126" i="66" s="1"/>
  <c r="AK126" i="66"/>
  <c r="AX125" i="66"/>
  <c r="AP125" i="66"/>
  <c r="AQ125" i="66" s="1"/>
  <c r="AK125" i="66"/>
  <c r="AX124" i="66"/>
  <c r="AQ124" i="66"/>
  <c r="AP124" i="66"/>
  <c r="AK124" i="66"/>
  <c r="AX123" i="66"/>
  <c r="AQ123" i="66"/>
  <c r="AR123" i="66" s="1"/>
  <c r="AP123" i="66"/>
  <c r="AK123" i="66"/>
  <c r="AX122" i="66"/>
  <c r="AP122" i="66"/>
  <c r="AM122" i="66"/>
  <c r="AL122" i="66"/>
  <c r="AV122" i="66" s="1"/>
  <c r="AK122" i="66"/>
  <c r="AY121" i="66"/>
  <c r="AX121" i="66"/>
  <c r="AQ121" i="66"/>
  <c r="AP121" i="66"/>
  <c r="AK121" i="66"/>
  <c r="AX120" i="66"/>
  <c r="AQ120" i="66"/>
  <c r="AR120" i="66" s="1"/>
  <c r="AP120" i="66"/>
  <c r="AK120" i="66"/>
  <c r="AX119" i="66"/>
  <c r="AP119" i="66"/>
  <c r="AM119" i="66"/>
  <c r="AL119" i="66"/>
  <c r="AK119" i="66"/>
  <c r="AX118" i="66"/>
  <c r="AP118" i="66"/>
  <c r="AK118" i="66"/>
  <c r="AL118" i="66" s="1"/>
  <c r="AX117" i="66"/>
  <c r="AP117" i="66"/>
  <c r="AQ117" i="66" s="1"/>
  <c r="AR117" i="66" s="1"/>
  <c r="AL117" i="66"/>
  <c r="AK117" i="66"/>
  <c r="AX116" i="66"/>
  <c r="AQ116" i="66"/>
  <c r="AR116" i="66" s="1"/>
  <c r="AP116" i="66"/>
  <c r="AK116" i="66"/>
  <c r="AL116" i="66" s="1"/>
  <c r="AX115" i="66"/>
  <c r="AP115" i="66"/>
  <c r="AQ115" i="66" s="1"/>
  <c r="AR115" i="66" s="1"/>
  <c r="AW115" i="66" s="1"/>
  <c r="AM115" i="66"/>
  <c r="AL115" i="66"/>
  <c r="AV115" i="66" s="1"/>
  <c r="AK115" i="66"/>
  <c r="AX114" i="66"/>
  <c r="AP114" i="66"/>
  <c r="AQ114" i="66" s="1"/>
  <c r="AK114" i="66"/>
  <c r="AX113" i="66"/>
  <c r="AP113" i="66"/>
  <c r="AQ113" i="66" s="1"/>
  <c r="AK113" i="66"/>
  <c r="AX112" i="66"/>
  <c r="AP112" i="66"/>
  <c r="AQ112" i="66" s="1"/>
  <c r="AR112" i="66" s="1"/>
  <c r="AK112" i="66"/>
  <c r="AX111" i="66"/>
  <c r="AP111" i="66"/>
  <c r="AM111" i="66"/>
  <c r="AL111" i="66"/>
  <c r="AV111" i="66" s="1"/>
  <c r="AK111" i="66"/>
  <c r="AX110" i="66"/>
  <c r="AP110" i="66"/>
  <c r="AK110" i="66"/>
  <c r="AL110" i="66" s="1"/>
  <c r="AX109" i="66"/>
  <c r="AP109" i="66"/>
  <c r="AQ109" i="66" s="1"/>
  <c r="AR109" i="66" s="1"/>
  <c r="AL109" i="66"/>
  <c r="AK109" i="66"/>
  <c r="AX108" i="66"/>
  <c r="AQ108" i="66"/>
  <c r="AR108" i="66" s="1"/>
  <c r="AP108" i="66"/>
  <c r="AK108" i="66"/>
  <c r="AL108" i="66" s="1"/>
  <c r="AX107" i="66"/>
  <c r="AP107" i="66"/>
  <c r="AQ107" i="66" s="1"/>
  <c r="AR107" i="66" s="1"/>
  <c r="AW107" i="66" s="1"/>
  <c r="AM107" i="66"/>
  <c r="AL107" i="66"/>
  <c r="AK107" i="66"/>
  <c r="AV107" i="66" s="1"/>
  <c r="AX106" i="66"/>
  <c r="AP106" i="66"/>
  <c r="AQ106" i="66" s="1"/>
  <c r="AK106" i="66"/>
  <c r="AX105" i="66"/>
  <c r="AP105" i="66"/>
  <c r="AQ105" i="66" s="1"/>
  <c r="AK105" i="66"/>
  <c r="AX104" i="66"/>
  <c r="AP104" i="66"/>
  <c r="AK104" i="66"/>
  <c r="AX103" i="66"/>
  <c r="AP103" i="66"/>
  <c r="AM103" i="66"/>
  <c r="AL103" i="66"/>
  <c r="AK103" i="66"/>
  <c r="AX102" i="66"/>
  <c r="AY102" i="66" s="1"/>
  <c r="AQ102" i="66"/>
  <c r="AP102" i="66"/>
  <c r="AK102" i="66"/>
  <c r="AX101" i="66"/>
  <c r="AQ101" i="66"/>
  <c r="AR101" i="66" s="1"/>
  <c r="AP101" i="66"/>
  <c r="AK101" i="66"/>
  <c r="AX100" i="66"/>
  <c r="AP100" i="66"/>
  <c r="AK100" i="66"/>
  <c r="AL100" i="66" s="1"/>
  <c r="AX99" i="66"/>
  <c r="AP99" i="66"/>
  <c r="AK99" i="66"/>
  <c r="AL99" i="66" s="1"/>
  <c r="AX98" i="66"/>
  <c r="AW98" i="66"/>
  <c r="AP98" i="66"/>
  <c r="AQ98" i="66" s="1"/>
  <c r="AR98" i="66" s="1"/>
  <c r="AK98" i="66"/>
  <c r="AL98" i="66" s="1"/>
  <c r="AX97" i="66"/>
  <c r="AP97" i="66"/>
  <c r="AQ97" i="66" s="1"/>
  <c r="AR97" i="66" s="1"/>
  <c r="AK97" i="66"/>
  <c r="AM97" i="66" s="1"/>
  <c r="AX96" i="66"/>
  <c r="AP96" i="66"/>
  <c r="AQ96" i="66" s="1"/>
  <c r="AR96" i="66" s="1"/>
  <c r="AW96" i="66" s="1"/>
  <c r="AM96" i="66"/>
  <c r="AL96" i="66"/>
  <c r="AK96" i="66"/>
  <c r="AV96" i="66" s="1"/>
  <c r="AX95" i="66"/>
  <c r="AP95" i="66"/>
  <c r="AQ95" i="66" s="1"/>
  <c r="AK95" i="66"/>
  <c r="AX94" i="66"/>
  <c r="AP94" i="66"/>
  <c r="AQ94" i="66" s="1"/>
  <c r="AK94" i="66"/>
  <c r="AL94" i="66" s="1"/>
  <c r="AX93" i="66"/>
  <c r="AP93" i="66"/>
  <c r="AQ93" i="66" s="1"/>
  <c r="AR93" i="66" s="1"/>
  <c r="AK93" i="66"/>
  <c r="AX92" i="66"/>
  <c r="AP92" i="66"/>
  <c r="AM92" i="66"/>
  <c r="AL92" i="66"/>
  <c r="AV92" i="66" s="1"/>
  <c r="AK92" i="66"/>
  <c r="AX91" i="66"/>
  <c r="AP91" i="66"/>
  <c r="AK91" i="66"/>
  <c r="AL91" i="66" s="1"/>
  <c r="AX90" i="66"/>
  <c r="AY90" i="66" s="1"/>
  <c r="AP90" i="66"/>
  <c r="AQ90" i="66" s="1"/>
  <c r="AR90" i="66" s="1"/>
  <c r="AK90" i="66"/>
  <c r="AX89" i="66"/>
  <c r="AP89" i="66"/>
  <c r="AM89" i="66"/>
  <c r="AL89" i="66"/>
  <c r="AV89" i="66" s="1"/>
  <c r="AK89" i="66"/>
  <c r="AX88" i="66"/>
  <c r="AP88" i="66"/>
  <c r="AK88" i="66"/>
  <c r="AL88" i="66" s="1"/>
  <c r="AX87" i="66"/>
  <c r="AP87" i="66"/>
  <c r="AQ87" i="66" s="1"/>
  <c r="AR87" i="66" s="1"/>
  <c r="AK87" i="66"/>
  <c r="AL87" i="66" s="1"/>
  <c r="AX86" i="66"/>
  <c r="AP86" i="66"/>
  <c r="AQ86" i="66" s="1"/>
  <c r="AR86" i="66" s="1"/>
  <c r="AK86" i="66"/>
  <c r="AM86" i="66" s="1"/>
  <c r="AX85" i="66"/>
  <c r="AP85" i="66"/>
  <c r="AQ85" i="66" s="1"/>
  <c r="AR85" i="66" s="1"/>
  <c r="AW85" i="66" s="1"/>
  <c r="AK85" i="66"/>
  <c r="AM85" i="66" s="1"/>
  <c r="AX84" i="66"/>
  <c r="AP84" i="66"/>
  <c r="AQ84" i="66" s="1"/>
  <c r="AK84" i="66"/>
  <c r="AX83" i="66"/>
  <c r="AQ83" i="66"/>
  <c r="AP83" i="66"/>
  <c r="AK83" i="66"/>
  <c r="AX82" i="66"/>
  <c r="AQ82" i="66"/>
  <c r="AR82" i="66" s="1"/>
  <c r="AP82" i="66"/>
  <c r="AK82" i="66"/>
  <c r="AX81" i="66"/>
  <c r="AP81" i="66"/>
  <c r="AK81" i="66"/>
  <c r="AM81" i="66" s="1"/>
  <c r="AX80" i="66"/>
  <c r="AP80" i="66"/>
  <c r="AK80" i="66"/>
  <c r="AL80" i="66" s="1"/>
  <c r="AX79" i="66"/>
  <c r="AW79" i="66"/>
  <c r="AP79" i="66"/>
  <c r="AQ79" i="66" s="1"/>
  <c r="AR79" i="66" s="1"/>
  <c r="AK79" i="66"/>
  <c r="AL79" i="66" s="1"/>
  <c r="AX78" i="66"/>
  <c r="AP78" i="66"/>
  <c r="AQ78" i="66" s="1"/>
  <c r="AR78" i="66" s="1"/>
  <c r="AK78" i="66"/>
  <c r="AM78" i="66" s="1"/>
  <c r="AX77" i="66"/>
  <c r="AP77" i="66"/>
  <c r="AQ77" i="66" s="1"/>
  <c r="AR77" i="66" s="1"/>
  <c r="AW77" i="66" s="1"/>
  <c r="AM77" i="66"/>
  <c r="AL77" i="66"/>
  <c r="AK77" i="66"/>
  <c r="AV77" i="66" s="1"/>
  <c r="AX76" i="66"/>
  <c r="AP76" i="66"/>
  <c r="AQ76" i="66" s="1"/>
  <c r="AK76" i="66"/>
  <c r="AX75" i="66"/>
  <c r="AP75" i="66"/>
  <c r="AQ75" i="66" s="1"/>
  <c r="AK75" i="66"/>
  <c r="AX74" i="66"/>
  <c r="AP74" i="66"/>
  <c r="AK74" i="66"/>
  <c r="AX73" i="66"/>
  <c r="AP73" i="66"/>
  <c r="AM73" i="66"/>
  <c r="AL73" i="66"/>
  <c r="AV73" i="66" s="1"/>
  <c r="AK73" i="66"/>
  <c r="AX72" i="66"/>
  <c r="AP72" i="66"/>
  <c r="AK72" i="66"/>
  <c r="AL72" i="66" s="1"/>
  <c r="AX71" i="66"/>
  <c r="AP71" i="66"/>
  <c r="AQ71" i="66" s="1"/>
  <c r="AR71" i="66" s="1"/>
  <c r="AK71" i="66"/>
  <c r="AL71" i="66" s="1"/>
  <c r="AX70" i="66"/>
  <c r="AP70" i="66"/>
  <c r="AQ70" i="66" s="1"/>
  <c r="AR70" i="66" s="1"/>
  <c r="AK70" i="66"/>
  <c r="AM70" i="66" s="1"/>
  <c r="AX69" i="66"/>
  <c r="AP69" i="66"/>
  <c r="AQ69" i="66" s="1"/>
  <c r="AR69" i="66" s="1"/>
  <c r="AW69" i="66" s="1"/>
  <c r="AK69" i="66"/>
  <c r="AM69" i="66" s="1"/>
  <c r="AX68" i="66"/>
  <c r="AP68" i="66"/>
  <c r="AQ68" i="66" s="1"/>
  <c r="AK68" i="66"/>
  <c r="AX67" i="66"/>
  <c r="AQ67" i="66"/>
  <c r="AP67" i="66"/>
  <c r="AK67" i="66"/>
  <c r="AX66" i="66"/>
  <c r="AQ66" i="66"/>
  <c r="AR66" i="66" s="1"/>
  <c r="AP66" i="66"/>
  <c r="AK66" i="66"/>
  <c r="AX65" i="66"/>
  <c r="AP65" i="66"/>
  <c r="AK65" i="66"/>
  <c r="AL65" i="66" s="1"/>
  <c r="AX64" i="66"/>
  <c r="AP64" i="66"/>
  <c r="AK64" i="66"/>
  <c r="AL64" i="66" s="1"/>
  <c r="AX63" i="66"/>
  <c r="AW63" i="66"/>
  <c r="AP63" i="66"/>
  <c r="AQ63" i="66" s="1"/>
  <c r="AR63" i="66" s="1"/>
  <c r="AK63" i="66"/>
  <c r="AL63" i="66" s="1"/>
  <c r="AX62" i="66"/>
  <c r="AP62" i="66"/>
  <c r="AQ62" i="66" s="1"/>
  <c r="AR62" i="66" s="1"/>
  <c r="AK62" i="66"/>
  <c r="AM62" i="66" s="1"/>
  <c r="AX61" i="66"/>
  <c r="AP61" i="66"/>
  <c r="AQ61" i="66" s="1"/>
  <c r="AR61" i="66" s="1"/>
  <c r="AW61" i="66" s="1"/>
  <c r="AM61" i="66"/>
  <c r="AL61" i="66"/>
  <c r="AK61" i="66"/>
  <c r="AV61" i="66" s="1"/>
  <c r="AX60" i="66"/>
  <c r="AY60" i="66" s="1"/>
  <c r="AP60" i="66"/>
  <c r="AQ60" i="66" s="1"/>
  <c r="AR60" i="66" s="1"/>
  <c r="AL60" i="66"/>
  <c r="AK60" i="66"/>
  <c r="AX59" i="66"/>
  <c r="AQ59" i="66"/>
  <c r="AR59" i="66" s="1"/>
  <c r="AP59" i="66"/>
  <c r="AK59" i="66"/>
  <c r="AL59" i="66" s="1"/>
  <c r="AX58" i="66"/>
  <c r="AP58" i="66"/>
  <c r="AQ58" i="66" s="1"/>
  <c r="AR58" i="66" s="1"/>
  <c r="AW58" i="66" s="1"/>
  <c r="AM58" i="66"/>
  <c r="AL58" i="66"/>
  <c r="AV58" i="66" s="1"/>
  <c r="AK58" i="66"/>
  <c r="AX57" i="66"/>
  <c r="AP57" i="66"/>
  <c r="AQ57" i="66" s="1"/>
  <c r="AK57" i="66"/>
  <c r="AX56" i="66"/>
  <c r="AP56" i="66"/>
  <c r="AQ56" i="66" s="1"/>
  <c r="AK56" i="66"/>
  <c r="AX55" i="66"/>
  <c r="AP55" i="66"/>
  <c r="AQ55" i="66" s="1"/>
  <c r="AR55" i="66" s="1"/>
  <c r="AK55" i="66"/>
  <c r="AX54" i="66"/>
  <c r="AP54" i="66"/>
  <c r="AM54" i="66"/>
  <c r="AL54" i="66"/>
  <c r="AV54" i="66" s="1"/>
  <c r="AK54" i="66"/>
  <c r="AX53" i="66"/>
  <c r="AP53" i="66"/>
  <c r="AK53" i="66"/>
  <c r="AL53" i="66" s="1"/>
  <c r="AX52" i="66"/>
  <c r="AP52" i="66"/>
  <c r="AQ52" i="66" s="1"/>
  <c r="AR52" i="66" s="1"/>
  <c r="AL52" i="66"/>
  <c r="AK52" i="66"/>
  <c r="AX51" i="66"/>
  <c r="AQ51" i="66"/>
  <c r="AR51" i="66" s="1"/>
  <c r="AP51" i="66"/>
  <c r="AK51" i="66"/>
  <c r="AL51" i="66" s="1"/>
  <c r="AX50" i="66"/>
  <c r="AP50" i="66"/>
  <c r="AQ50" i="66" s="1"/>
  <c r="AR50" i="66" s="1"/>
  <c r="AW50" i="66" s="1"/>
  <c r="AM50" i="66"/>
  <c r="AL50" i="66"/>
  <c r="AK50" i="66"/>
  <c r="AV50" i="66" s="1"/>
  <c r="AX49" i="66"/>
  <c r="AP49" i="66"/>
  <c r="AQ49" i="66" s="1"/>
  <c r="AK49" i="66"/>
  <c r="AX48" i="66"/>
  <c r="AP48" i="66"/>
  <c r="AQ48" i="66" s="1"/>
  <c r="AK48" i="66"/>
  <c r="AX47" i="66"/>
  <c r="AP47" i="66"/>
  <c r="AK47" i="66"/>
  <c r="AX46" i="66"/>
  <c r="AP46" i="66"/>
  <c r="AM46" i="66"/>
  <c r="AL46" i="66"/>
  <c r="AK46" i="66"/>
  <c r="AX45" i="66"/>
  <c r="AP45" i="66"/>
  <c r="AK45" i="66"/>
  <c r="AL45" i="66" s="1"/>
  <c r="AX44" i="66"/>
  <c r="AP44" i="66"/>
  <c r="AQ44" i="66" s="1"/>
  <c r="AR44" i="66" s="1"/>
  <c r="AL44" i="66"/>
  <c r="AK44" i="66"/>
  <c r="AX43" i="66"/>
  <c r="AQ43" i="66"/>
  <c r="AR43" i="66" s="1"/>
  <c r="AP43" i="66"/>
  <c r="AK43" i="66"/>
  <c r="AL43" i="66" s="1"/>
  <c r="AX42" i="66"/>
  <c r="AP42" i="66"/>
  <c r="AQ42" i="66" s="1"/>
  <c r="AR42" i="66" s="1"/>
  <c r="AM42" i="66"/>
  <c r="AL42" i="66"/>
  <c r="AK42" i="66"/>
  <c r="AX41" i="66"/>
  <c r="AW41" i="66"/>
  <c r="AP41" i="66"/>
  <c r="AQ41" i="66" s="1"/>
  <c r="AR41" i="66" s="1"/>
  <c r="AK41" i="66"/>
  <c r="AL41" i="66" s="1"/>
  <c r="AX40" i="66"/>
  <c r="AR40" i="66"/>
  <c r="AQ40" i="66"/>
  <c r="AP40" i="66"/>
  <c r="AK40" i="66"/>
  <c r="AX39" i="66"/>
  <c r="AQ39" i="66"/>
  <c r="AR39" i="66" s="1"/>
  <c r="AP39" i="66"/>
  <c r="AK39" i="66"/>
  <c r="AX38" i="66"/>
  <c r="AY38" i="66" s="1"/>
  <c r="AP38" i="66"/>
  <c r="AK38" i="66"/>
  <c r="AL38" i="66" s="1"/>
  <c r="AX37" i="66"/>
  <c r="AP37" i="66"/>
  <c r="AQ37" i="66" s="1"/>
  <c r="AR37" i="66" s="1"/>
  <c r="AL37" i="66"/>
  <c r="AK37" i="66"/>
  <c r="AX36" i="66"/>
  <c r="AR36" i="66"/>
  <c r="AQ36" i="66"/>
  <c r="AP36" i="66"/>
  <c r="AM36" i="66"/>
  <c r="AL36" i="66"/>
  <c r="AV36" i="66" s="1"/>
  <c r="AK36" i="66"/>
  <c r="AX35" i="66"/>
  <c r="AW35" i="66"/>
  <c r="AP35" i="66"/>
  <c r="AQ35" i="66" s="1"/>
  <c r="AR35" i="66" s="1"/>
  <c r="AK35" i="66"/>
  <c r="AL35" i="66" s="1"/>
  <c r="AX34" i="66"/>
  <c r="AP34" i="66"/>
  <c r="AQ34" i="66" s="1"/>
  <c r="AR34" i="66" s="1"/>
  <c r="AM34" i="66"/>
  <c r="AK34" i="66"/>
  <c r="AL34" i="66" s="1"/>
  <c r="AX33" i="66"/>
  <c r="AQ33" i="66"/>
  <c r="AR33" i="66" s="1"/>
  <c r="AP33" i="66"/>
  <c r="AK33" i="66"/>
  <c r="AL33" i="66" s="1"/>
  <c r="AX32" i="66"/>
  <c r="AP32" i="66"/>
  <c r="AQ32" i="66" s="1"/>
  <c r="AR32" i="66" s="1"/>
  <c r="AK32" i="66"/>
  <c r="AM32" i="66" s="1"/>
  <c r="AX31" i="66"/>
  <c r="AP31" i="66"/>
  <c r="AQ31" i="66" s="1"/>
  <c r="AR31" i="66" s="1"/>
  <c r="AK31" i="66"/>
  <c r="AL31" i="66" s="1"/>
  <c r="AX30" i="66"/>
  <c r="AY30" i="66" s="1"/>
  <c r="AP30" i="66"/>
  <c r="AQ30" i="66" s="1"/>
  <c r="AR30" i="66" s="1"/>
  <c r="AK30" i="66"/>
  <c r="AX29" i="66"/>
  <c r="AP29" i="66"/>
  <c r="AQ29" i="66" s="1"/>
  <c r="AR29" i="66" s="1"/>
  <c r="AM29" i="66"/>
  <c r="AL29" i="66"/>
  <c r="AV29" i="66" s="1"/>
  <c r="AK29" i="66"/>
  <c r="AX28" i="66"/>
  <c r="AP28" i="66"/>
  <c r="AQ28" i="66" s="1"/>
  <c r="AR28" i="66" s="1"/>
  <c r="AM28" i="66"/>
  <c r="AK28" i="66"/>
  <c r="AL28" i="66" s="1"/>
  <c r="AX27" i="66"/>
  <c r="AP27" i="66"/>
  <c r="AQ27" i="66" s="1"/>
  <c r="AR27" i="66" s="1"/>
  <c r="AK27" i="66"/>
  <c r="AX26" i="66"/>
  <c r="AQ26" i="66"/>
  <c r="AR26" i="66" s="1"/>
  <c r="AP26" i="66"/>
  <c r="AK26" i="66"/>
  <c r="AX25" i="66"/>
  <c r="AP25" i="66"/>
  <c r="AQ25" i="66" s="1"/>
  <c r="AR25" i="66" s="1"/>
  <c r="AK25" i="66"/>
  <c r="AM25" i="66" s="1"/>
  <c r="AX24" i="66"/>
  <c r="AP24" i="66"/>
  <c r="AQ24" i="66" s="1"/>
  <c r="AR24" i="66" s="1"/>
  <c r="AK24" i="66"/>
  <c r="AL24" i="66" s="1"/>
  <c r="AX23" i="66"/>
  <c r="AQ23" i="66"/>
  <c r="AR23" i="66" s="1"/>
  <c r="AP23" i="66"/>
  <c r="AK23" i="66"/>
  <c r="AX22" i="66"/>
  <c r="AP22" i="66"/>
  <c r="AQ22" i="66" s="1"/>
  <c r="AR22" i="66" s="1"/>
  <c r="AK22" i="66"/>
  <c r="AX21" i="66"/>
  <c r="AY21" i="66" s="1"/>
  <c r="AP21" i="66"/>
  <c r="AQ21" i="66" s="1"/>
  <c r="AR21" i="66" s="1"/>
  <c r="AL21" i="66"/>
  <c r="AK21" i="66"/>
  <c r="AV21" i="66" s="1"/>
  <c r="AX20" i="66"/>
  <c r="AP20" i="66"/>
  <c r="AQ20" i="66" s="1"/>
  <c r="AR20" i="66" s="1"/>
  <c r="AM20" i="66"/>
  <c r="AK20" i="66"/>
  <c r="AL20" i="66" s="1"/>
  <c r="AX19" i="66"/>
  <c r="AP19" i="66"/>
  <c r="AQ19" i="66" s="1"/>
  <c r="AR19" i="66" s="1"/>
  <c r="AK19" i="66"/>
  <c r="AX18" i="66"/>
  <c r="AP18" i="66"/>
  <c r="AQ18" i="66" s="1"/>
  <c r="AR18" i="66" s="1"/>
  <c r="AK18" i="66"/>
  <c r="AX17" i="66"/>
  <c r="AP17" i="66"/>
  <c r="AQ17" i="66" s="1"/>
  <c r="AR17" i="66" s="1"/>
  <c r="AM17" i="66"/>
  <c r="AL17" i="66"/>
  <c r="AK17" i="66"/>
  <c r="AX16" i="66"/>
  <c r="AW16" i="66"/>
  <c r="AP16" i="66"/>
  <c r="AQ16" i="66" s="1"/>
  <c r="AR16" i="66" s="1"/>
  <c r="AK16" i="66"/>
  <c r="AL16" i="66" s="1"/>
  <c r="AX15" i="66"/>
  <c r="AP15" i="66"/>
  <c r="AQ15" i="66" s="1"/>
  <c r="AR15" i="66" s="1"/>
  <c r="AK15" i="66"/>
  <c r="AX14" i="66"/>
  <c r="AQ14" i="66"/>
  <c r="AR14" i="66" s="1"/>
  <c r="AP14" i="66"/>
  <c r="AK14" i="66"/>
  <c r="AL14" i="66" s="1"/>
  <c r="AX13" i="66"/>
  <c r="AP13" i="66"/>
  <c r="AQ13" i="66" s="1"/>
  <c r="AR13" i="66" s="1"/>
  <c r="AK13" i="66"/>
  <c r="AM13" i="66" s="1"/>
  <c r="AX12" i="66"/>
  <c r="AW12" i="66"/>
  <c r="AP12" i="66"/>
  <c r="AQ12" i="66" s="1"/>
  <c r="AR12" i="66" s="1"/>
  <c r="AK12" i="66"/>
  <c r="AL12" i="66" s="1"/>
  <c r="AX11" i="66"/>
  <c r="AP11" i="66"/>
  <c r="AQ11" i="66" s="1"/>
  <c r="AR11" i="66" s="1"/>
  <c r="AK11" i="66"/>
  <c r="AX10" i="66"/>
  <c r="AQ10" i="66"/>
  <c r="AR10" i="66" s="1"/>
  <c r="AP10" i="66"/>
  <c r="AK10" i="66"/>
  <c r="AL10" i="66" s="1"/>
  <c r="AX9" i="66"/>
  <c r="AP9" i="66"/>
  <c r="AQ9" i="66" s="1"/>
  <c r="AR9" i="66" s="1"/>
  <c r="AK9" i="66"/>
  <c r="AM9" i="66" s="1"/>
  <c r="AX8" i="66"/>
  <c r="AP8" i="66"/>
  <c r="AQ8" i="66" s="1"/>
  <c r="AR8" i="66" s="1"/>
  <c r="AM8" i="66"/>
  <c r="AK8" i="66"/>
  <c r="AL8" i="66" s="1"/>
  <c r="AX7" i="66"/>
  <c r="AP7" i="66"/>
  <c r="AQ7" i="66" s="1"/>
  <c r="AR7" i="66" s="1"/>
  <c r="AK7" i="66"/>
  <c r="AX6" i="66"/>
  <c r="AP6" i="66"/>
  <c r="AQ6" i="66" s="1"/>
  <c r="AR6" i="66" s="1"/>
  <c r="AK6" i="66"/>
  <c r="AL6" i="66" s="1"/>
  <c r="AV51" i="66" l="1"/>
  <c r="AV108" i="66"/>
  <c r="AV65" i="66"/>
  <c r="AV155" i="66"/>
  <c r="AL237" i="66"/>
  <c r="AV237" i="66" s="1"/>
  <c r="AM237" i="66"/>
  <c r="AQ261" i="66"/>
  <c r="AR261" i="66" s="1"/>
  <c r="AW261" i="66"/>
  <c r="AM146" i="66"/>
  <c r="AV146" i="66" s="1"/>
  <c r="AW150" i="66"/>
  <c r="AQ161" i="66"/>
  <c r="AR161" i="66" s="1"/>
  <c r="AW161" i="66"/>
  <c r="AW163" i="66"/>
  <c r="AQ171" i="66"/>
  <c r="AR171" i="66" s="1"/>
  <c r="AV191" i="66"/>
  <c r="AM194" i="66"/>
  <c r="AV194" i="66" s="1"/>
  <c r="AL195" i="66"/>
  <c r="AV195" i="66" s="1"/>
  <c r="AV207" i="66"/>
  <c r="AV211" i="66"/>
  <c r="AW211" i="66"/>
  <c r="AV214" i="66"/>
  <c r="AV215" i="66"/>
  <c r="AL218" i="66"/>
  <c r="AV218" i="66" s="1"/>
  <c r="AQ222" i="66"/>
  <c r="AR222" i="66" s="1"/>
  <c r="AM231" i="66"/>
  <c r="AV239" i="66"/>
  <c r="AV258" i="66"/>
  <c r="AL271" i="66"/>
  <c r="AM271" i="66"/>
  <c r="AM274" i="66"/>
  <c r="AV274" i="66" s="1"/>
  <c r="AL277" i="66"/>
  <c r="AM277" i="66"/>
  <c r="AM278" i="66"/>
  <c r="AV279" i="66"/>
  <c r="AL282" i="66"/>
  <c r="AV282" i="66" s="1"/>
  <c r="AV286" i="66"/>
  <c r="AW315" i="66"/>
  <c r="AV336" i="66"/>
  <c r="AW339" i="66"/>
  <c r="AV351" i="66"/>
  <c r="AV354" i="66"/>
  <c r="AL355" i="66"/>
  <c r="AV355" i="66" s="1"/>
  <c r="AV358" i="66"/>
  <c r="AQ362" i="66"/>
  <c r="AR362" i="66" s="1"/>
  <c r="AW362" i="66"/>
  <c r="AQ368" i="66"/>
  <c r="AR368" i="66" s="1"/>
  <c r="AW386" i="66"/>
  <c r="AV400" i="66"/>
  <c r="AV405" i="66"/>
  <c r="AL413" i="66"/>
  <c r="AV413" i="66" s="1"/>
  <c r="AM415" i="66"/>
  <c r="AL415" i="66"/>
  <c r="AV421" i="66"/>
  <c r="AV431" i="66"/>
  <c r="AL432" i="66"/>
  <c r="AV151" i="66"/>
  <c r="AQ287" i="66"/>
  <c r="AR287" i="66" s="1"/>
  <c r="AL9" i="66"/>
  <c r="AV9" i="66" s="1"/>
  <c r="AQ47" i="66"/>
  <c r="AR47" i="66" s="1"/>
  <c r="AL69" i="66"/>
  <c r="AV69" i="66" s="1"/>
  <c r="AL81" i="66"/>
  <c r="AV81" i="66" s="1"/>
  <c r="AL85" i="66"/>
  <c r="AV85" i="66" s="1"/>
  <c r="AQ131" i="66"/>
  <c r="AR131" i="66" s="1"/>
  <c r="AW8" i="66"/>
  <c r="AL13" i="66"/>
  <c r="AV13" i="66" s="1"/>
  <c r="AM16" i="66"/>
  <c r="AV16" i="66" s="1"/>
  <c r="AV20" i="66"/>
  <c r="AM24" i="66"/>
  <c r="AL25" i="66"/>
  <c r="AV25" i="66" s="1"/>
  <c r="AM31" i="66"/>
  <c r="AL32" i="66"/>
  <c r="AV32" i="66" s="1"/>
  <c r="AV34" i="66"/>
  <c r="AM35" i="66"/>
  <c r="AV35" i="66" s="1"/>
  <c r="AW39" i="66"/>
  <c r="AW42" i="66"/>
  <c r="AM43" i="66"/>
  <c r="AV43" i="66" s="1"/>
  <c r="AM51" i="66"/>
  <c r="AW52" i="66"/>
  <c r="AM59" i="66"/>
  <c r="AV59" i="66" s="1"/>
  <c r="AL62" i="66"/>
  <c r="AV62" i="66" s="1"/>
  <c r="AM65" i="66"/>
  <c r="AL70" i="66"/>
  <c r="AV70" i="66" s="1"/>
  <c r="AQ74" i="66"/>
  <c r="AR74" i="66" s="1"/>
  <c r="AL78" i="66"/>
  <c r="AV78" i="66" s="1"/>
  <c r="AL86" i="66"/>
  <c r="AV86" i="66" s="1"/>
  <c r="AL97" i="66"/>
  <c r="AV97" i="66" s="1"/>
  <c r="AM100" i="66"/>
  <c r="AV100" i="66" s="1"/>
  <c r="AM108" i="66"/>
  <c r="AW109" i="66"/>
  <c r="AM116" i="66"/>
  <c r="AV116" i="66" s="1"/>
  <c r="AL127" i="66"/>
  <c r="AV127" i="66" s="1"/>
  <c r="AV136" i="66"/>
  <c r="AV143" i="66"/>
  <c r="AL150" i="66"/>
  <c r="AV150" i="66" s="1"/>
  <c r="AV167" i="66"/>
  <c r="AV174" i="66"/>
  <c r="AV175" i="66"/>
  <c r="AV199" i="66"/>
  <c r="AW208" i="66"/>
  <c r="AW231" i="66"/>
  <c r="AQ231" i="66"/>
  <c r="AR231" i="66" s="1"/>
  <c r="AL255" i="66"/>
  <c r="AM255" i="66"/>
  <c r="AL263" i="66"/>
  <c r="AV263" i="66" s="1"/>
  <c r="AM263" i="66"/>
  <c r="AL285" i="66"/>
  <c r="AM285" i="66"/>
  <c r="AV285" i="66" s="1"/>
  <c r="AV287" i="66"/>
  <c r="AV290" i="66"/>
  <c r="AV311" i="66"/>
  <c r="AV322" i="66"/>
  <c r="AW324" i="66"/>
  <c r="AQ324" i="66"/>
  <c r="AR324" i="66" s="1"/>
  <c r="AV327" i="66"/>
  <c r="AV332" i="66"/>
  <c r="AV335" i="66"/>
  <c r="AV343" i="66"/>
  <c r="AV348" i="66"/>
  <c r="AV350" i="66"/>
  <c r="AQ366" i="66"/>
  <c r="AR366" i="66" s="1"/>
  <c r="AM370" i="66"/>
  <c r="AL370" i="66"/>
  <c r="AV374" i="66"/>
  <c r="AV375" i="66"/>
  <c r="AM378" i="66"/>
  <c r="AL378" i="66"/>
  <c r="AM384" i="66"/>
  <c r="AL384" i="66"/>
  <c r="AM409" i="66"/>
  <c r="AV409" i="66" s="1"/>
  <c r="AL409" i="66"/>
  <c r="AV411" i="66"/>
  <c r="AV418" i="66"/>
  <c r="AQ431" i="66"/>
  <c r="AR431" i="66" s="1"/>
  <c r="AW104" i="66"/>
  <c r="AV234" i="66"/>
  <c r="AV278" i="66"/>
  <c r="AQ310" i="66"/>
  <c r="AR310" i="66" s="1"/>
  <c r="AW310" i="66"/>
  <c r="AV318" i="66"/>
  <c r="AV340" i="66"/>
  <c r="AW341" i="66"/>
  <c r="AM367" i="66"/>
  <c r="AV367" i="66" s="1"/>
  <c r="AL367" i="66"/>
  <c r="AW376" i="66"/>
  <c r="AQ377" i="66"/>
  <c r="AR377" i="66" s="1"/>
  <c r="AQ388" i="66"/>
  <c r="AR388" i="66" s="1"/>
  <c r="AW388" i="66" s="1"/>
  <c r="AQ408" i="66"/>
  <c r="AR408" i="66" s="1"/>
  <c r="AW408" i="66"/>
  <c r="AW423" i="66"/>
  <c r="AQ425" i="66"/>
  <c r="AR425" i="66" s="1"/>
  <c r="AW429" i="66"/>
  <c r="AV432" i="66"/>
  <c r="AQ433" i="66"/>
  <c r="AR433" i="66" s="1"/>
  <c r="AM12" i="66"/>
  <c r="AV12" i="66" s="1"/>
  <c r="AW20" i="66"/>
  <c r="AV24" i="66"/>
  <c r="AV31" i="66"/>
  <c r="AW90" i="66"/>
  <c r="AW93" i="66"/>
  <c r="AQ104" i="66"/>
  <c r="AR104" i="66" s="1"/>
  <c r="AV8" i="66"/>
  <c r="AV17" i="66"/>
  <c r="AV28" i="66"/>
  <c r="AV42" i="66"/>
  <c r="AV46" i="66"/>
  <c r="AV103" i="66"/>
  <c r="AV119" i="66"/>
  <c r="AV130" i="66"/>
  <c r="AQ147" i="66"/>
  <c r="AR147" i="66" s="1"/>
  <c r="AQ158" i="66"/>
  <c r="AR158" i="66" s="1"/>
  <c r="AV162" i="66"/>
  <c r="AV163" i="66"/>
  <c r="AV171" i="66"/>
  <c r="AV222" i="66"/>
  <c r="AV223" i="66"/>
  <c r="AW239" i="66"/>
  <c r="AQ239" i="66"/>
  <c r="AR239" i="66" s="1"/>
  <c r="AW255" i="66"/>
  <c r="AW263" i="66"/>
  <c r="AV266" i="66"/>
  <c r="AQ269" i="66"/>
  <c r="AR269" i="66" s="1"/>
  <c r="AW269" i="66" s="1"/>
  <c r="AQ279" i="66"/>
  <c r="AR279" i="66" s="1"/>
  <c r="AV297" i="66"/>
  <c r="AL298" i="66"/>
  <c r="AV298" i="66"/>
  <c r="AV307" i="66"/>
  <c r="AV359" i="66"/>
  <c r="AV363" i="66"/>
  <c r="AQ371" i="66"/>
  <c r="AR371" i="66" s="1"/>
  <c r="AQ379" i="66"/>
  <c r="AR379" i="66" s="1"/>
  <c r="AL389" i="66"/>
  <c r="AV389" i="66" s="1"/>
  <c r="AW394" i="66"/>
  <c r="AV427" i="66"/>
  <c r="AM429" i="66"/>
  <c r="AL429" i="66"/>
  <c r="F2438" i="67"/>
  <c r="AV366" i="66"/>
  <c r="AW380" i="66"/>
  <c r="AV408" i="66"/>
  <c r="AW416" i="66"/>
  <c r="AW120" i="66"/>
  <c r="AV139" i="66"/>
  <c r="AW155" i="66"/>
  <c r="AW223" i="66"/>
  <c r="AW248" i="66"/>
  <c r="AW333" i="66"/>
  <c r="AW355" i="66"/>
  <c r="AW363" i="66"/>
  <c r="AQ372" i="66"/>
  <c r="AR372" i="66" s="1"/>
  <c r="AQ380" i="66"/>
  <c r="AR380" i="66" s="1"/>
  <c r="AM387" i="66"/>
  <c r="AW389" i="66"/>
  <c r="AM395" i="66"/>
  <c r="AV395" i="66" s="1"/>
  <c r="AQ397" i="66"/>
  <c r="AR397" i="66" s="1"/>
  <c r="AW399" i="66"/>
  <c r="AM403" i="66"/>
  <c r="AW405" i="66"/>
  <c r="AW411" i="66"/>
  <c r="AQ416" i="66"/>
  <c r="AR416" i="66" s="1"/>
  <c r="AW421" i="66"/>
  <c r="AW432" i="66"/>
  <c r="AM22" i="66"/>
  <c r="AM26" i="66"/>
  <c r="AM30" i="66"/>
  <c r="AM40" i="66"/>
  <c r="AV40" i="66" s="1"/>
  <c r="AL40" i="66"/>
  <c r="AQ54" i="66"/>
  <c r="AR54" i="66" s="1"/>
  <c r="AW54" i="66"/>
  <c r="AQ65" i="66"/>
  <c r="AR65" i="66" s="1"/>
  <c r="AR67" i="66"/>
  <c r="AW67" i="66" s="1"/>
  <c r="AR83" i="66"/>
  <c r="AW83" i="66"/>
  <c r="AL95" i="66"/>
  <c r="AV95" i="66" s="1"/>
  <c r="AM95" i="66"/>
  <c r="AQ100" i="66"/>
  <c r="AR100" i="66" s="1"/>
  <c r="AW100" i="66"/>
  <c r="AW102" i="66"/>
  <c r="AR102" i="66"/>
  <c r="AM180" i="66"/>
  <c r="AL180" i="66"/>
  <c r="AV180" i="66" s="1"/>
  <c r="AV188" i="66"/>
  <c r="AM188" i="66"/>
  <c r="AL188" i="66"/>
  <c r="AM204" i="66"/>
  <c r="AV204" i="66" s="1"/>
  <c r="AL204" i="66"/>
  <c r="AR317" i="66"/>
  <c r="AW317" i="66"/>
  <c r="AR353" i="66"/>
  <c r="AW353" i="66" s="1"/>
  <c r="AM18" i="66"/>
  <c r="AL22" i="66"/>
  <c r="AV22" i="66" s="1"/>
  <c r="AW23" i="66"/>
  <c r="AR49" i="66"/>
  <c r="AW49" i="66" s="1"/>
  <c r="AQ72" i="66"/>
  <c r="AR72" i="66" s="1"/>
  <c r="AQ88" i="66"/>
  <c r="AR88" i="66" s="1"/>
  <c r="AW91" i="66"/>
  <c r="AQ91" i="66"/>
  <c r="AR91" i="66" s="1"/>
  <c r="AR95" i="66"/>
  <c r="AW95" i="66"/>
  <c r="AW129" i="66"/>
  <c r="AQ129" i="66"/>
  <c r="AR129" i="66" s="1"/>
  <c r="AR141" i="66"/>
  <c r="AW141" i="66"/>
  <c r="AW173" i="66"/>
  <c r="AQ173" i="66"/>
  <c r="AR173" i="66" s="1"/>
  <c r="AR185" i="66"/>
  <c r="AW185" i="66"/>
  <c r="AR193" i="66"/>
  <c r="AW193" i="66" s="1"/>
  <c r="AM212" i="66"/>
  <c r="AL212" i="66"/>
  <c r="AM227" i="66"/>
  <c r="AL227" i="66"/>
  <c r="AQ327" i="66"/>
  <c r="AR327" i="66" s="1"/>
  <c r="AQ343" i="66"/>
  <c r="AR343" i="66" s="1"/>
  <c r="AW343" i="66"/>
  <c r="AM39" i="66"/>
  <c r="AL39" i="66"/>
  <c r="AL49" i="66"/>
  <c r="AV49" i="66" s="1"/>
  <c r="AM49" i="66"/>
  <c r="AR56" i="66"/>
  <c r="AW56" i="66" s="1"/>
  <c r="AL106" i="66"/>
  <c r="AM106" i="66"/>
  <c r="AV106" i="66" s="1"/>
  <c r="AR113" i="66"/>
  <c r="AW113" i="66" s="1"/>
  <c r="AR124" i="66"/>
  <c r="AW124" i="66" s="1"/>
  <c r="AQ230" i="66"/>
  <c r="AR230" i="66" s="1"/>
  <c r="AL26" i="66"/>
  <c r="AW27" i="66"/>
  <c r="AQ118" i="66"/>
  <c r="AR118" i="66" s="1"/>
  <c r="AR133" i="66"/>
  <c r="AW133" i="66" s="1"/>
  <c r="AQ140" i="66"/>
  <c r="AR140" i="66" s="1"/>
  <c r="AQ157" i="66"/>
  <c r="AR157" i="66" s="1"/>
  <c r="AR201" i="66"/>
  <c r="AW201" i="66" s="1"/>
  <c r="AQ325" i="66"/>
  <c r="AR325" i="66" s="1"/>
  <c r="AM334" i="66"/>
  <c r="AL334" i="66"/>
  <c r="AM349" i="66"/>
  <c r="AL349" i="66"/>
  <c r="AM352" i="66"/>
  <c r="AL352" i="66"/>
  <c r="AV352" i="66" s="1"/>
  <c r="AW373" i="66"/>
  <c r="AQ373" i="66"/>
  <c r="AR373" i="66" s="1"/>
  <c r="AW7" i="66"/>
  <c r="AW11" i="66"/>
  <c r="AW15" i="66"/>
  <c r="AL18" i="66"/>
  <c r="AW19" i="66"/>
  <c r="AW21" i="66"/>
  <c r="AW22" i="66"/>
  <c r="AM23" i="66"/>
  <c r="AL23" i="66"/>
  <c r="AV23" i="66" s="1"/>
  <c r="AW26" i="66"/>
  <c r="AM27" i="66"/>
  <c r="AL27" i="66"/>
  <c r="AW30" i="66"/>
  <c r="AW34" i="66"/>
  <c r="AW37" i="66"/>
  <c r="AQ38" i="66"/>
  <c r="AR38" i="66" s="1"/>
  <c r="AW40" i="66"/>
  <c r="AM41" i="66"/>
  <c r="AV41" i="66" s="1"/>
  <c r="AQ46" i="66"/>
  <c r="AR46" i="66" s="1"/>
  <c r="AR48" i="66"/>
  <c r="AW48" i="66" s="1"/>
  <c r="AL57" i="66"/>
  <c r="AM57" i="66"/>
  <c r="AW60" i="66"/>
  <c r="AL68" i="66"/>
  <c r="AV68" i="66" s="1"/>
  <c r="AM68" i="66"/>
  <c r="AW71" i="66"/>
  <c r="AQ73" i="66"/>
  <c r="AR73" i="66" s="1"/>
  <c r="AR75" i="66"/>
  <c r="AW75" i="66" s="1"/>
  <c r="AL84" i="66"/>
  <c r="AM84" i="66"/>
  <c r="AW87" i="66"/>
  <c r="AQ89" i="66"/>
  <c r="AR89" i="66" s="1"/>
  <c r="AW89" i="66"/>
  <c r="AQ92" i="66"/>
  <c r="AR92" i="66" s="1"/>
  <c r="AR94" i="66"/>
  <c r="AW94" i="66" s="1"/>
  <c r="AQ103" i="66"/>
  <c r="AR103" i="66" s="1"/>
  <c r="AW103" i="66"/>
  <c r="AW105" i="66"/>
  <c r="AR105" i="66"/>
  <c r="AL114" i="66"/>
  <c r="AV114" i="66" s="1"/>
  <c r="AM114" i="66"/>
  <c r="AW117" i="66"/>
  <c r="AQ119" i="66"/>
  <c r="AR119" i="66" s="1"/>
  <c r="AR121" i="66"/>
  <c r="AW121" i="66" s="1"/>
  <c r="AL125" i="66"/>
  <c r="AM125" i="66"/>
  <c r="AW128" i="66"/>
  <c r="AQ130" i="66"/>
  <c r="AR130" i="66" s="1"/>
  <c r="AR132" i="66"/>
  <c r="AW132" i="66" s="1"/>
  <c r="AW137" i="66"/>
  <c r="AW153" i="66"/>
  <c r="AW169" i="66"/>
  <c r="AM184" i="66"/>
  <c r="AL184" i="66"/>
  <c r="AM192" i="66"/>
  <c r="AL192" i="66"/>
  <c r="AM200" i="66"/>
  <c r="AL200" i="66"/>
  <c r="AV200" i="66" s="1"/>
  <c r="AW206" i="66"/>
  <c r="AQ206" i="66"/>
  <c r="AR206" i="66" s="1"/>
  <c r="AV231" i="66"/>
  <c r="AQ245" i="66"/>
  <c r="AR245" i="66" s="1"/>
  <c r="AQ247" i="66"/>
  <c r="AR247" i="66" s="1"/>
  <c r="AQ262" i="66"/>
  <c r="AR262" i="66" s="1"/>
  <c r="AW262" i="66"/>
  <c r="AQ277" i="66"/>
  <c r="AR277" i="66" s="1"/>
  <c r="AL281" i="66"/>
  <c r="AM281" i="66"/>
  <c r="AQ320" i="66"/>
  <c r="AR320" i="66" s="1"/>
  <c r="AM33" i="66"/>
  <c r="AV33" i="66" s="1"/>
  <c r="AL76" i="66"/>
  <c r="AV76" i="66" s="1"/>
  <c r="AM76" i="66"/>
  <c r="AQ81" i="66"/>
  <c r="AR81" i="66" s="1"/>
  <c r="AQ111" i="66"/>
  <c r="AR111" i="66" s="1"/>
  <c r="AQ122" i="66"/>
  <c r="AR122" i="66" s="1"/>
  <c r="AL133" i="66"/>
  <c r="AM133" i="66"/>
  <c r="AM196" i="66"/>
  <c r="AV196" i="66" s="1"/>
  <c r="AL196" i="66"/>
  <c r="AQ216" i="66"/>
  <c r="AR216" i="66" s="1"/>
  <c r="AM244" i="66"/>
  <c r="AL244" i="66"/>
  <c r="AV244" i="66" s="1"/>
  <c r="AL257" i="66"/>
  <c r="AM257" i="66"/>
  <c r="AK434" i="66"/>
  <c r="AM6" i="66"/>
  <c r="AM10" i="66"/>
  <c r="AV10" i="66" s="1"/>
  <c r="AM14" i="66"/>
  <c r="AV14" i="66" s="1"/>
  <c r="AL30" i="66"/>
  <c r="AV30" i="66" s="1"/>
  <c r="AW44" i="66"/>
  <c r="AQ45" i="66"/>
  <c r="AR45" i="66" s="1"/>
  <c r="AR76" i="66"/>
  <c r="AW76" i="66" s="1"/>
  <c r="AR106" i="66"/>
  <c r="AW106" i="66" s="1"/>
  <c r="AV7" i="66"/>
  <c r="AM7" i="66"/>
  <c r="AL7" i="66"/>
  <c r="AW10" i="66"/>
  <c r="AV11" i="66"/>
  <c r="AM11" i="66"/>
  <c r="AL11" i="66"/>
  <c r="AW14" i="66"/>
  <c r="AV15" i="66"/>
  <c r="AM15" i="66"/>
  <c r="AL15" i="66"/>
  <c r="AW18" i="66"/>
  <c r="AV19" i="66"/>
  <c r="AM19" i="66"/>
  <c r="AL19" i="66"/>
  <c r="AW24" i="66"/>
  <c r="AW28" i="66"/>
  <c r="AW31" i="66"/>
  <c r="AW33" i="66"/>
  <c r="AQ53" i="66"/>
  <c r="AR53" i="66" s="1"/>
  <c r="AW55" i="66"/>
  <c r="AR57" i="66"/>
  <c r="AW57" i="66" s="1"/>
  <c r="AQ64" i="66"/>
  <c r="AR64" i="66" s="1"/>
  <c r="AW66" i="66"/>
  <c r="AR68" i="66"/>
  <c r="AW68" i="66"/>
  <c r="AQ80" i="66"/>
  <c r="AR80" i="66" s="1"/>
  <c r="AW82" i="66"/>
  <c r="AR84" i="66"/>
  <c r="AW84" i="66" s="1"/>
  <c r="AQ99" i="66"/>
  <c r="AR99" i="66" s="1"/>
  <c r="AW101" i="66"/>
  <c r="AQ110" i="66"/>
  <c r="AR110" i="66" s="1"/>
  <c r="AW112" i="66"/>
  <c r="AR114" i="66"/>
  <c r="AW114" i="66" s="1"/>
  <c r="AW123" i="66"/>
  <c r="AR125" i="66"/>
  <c r="AW125" i="66"/>
  <c r="AQ149" i="66"/>
  <c r="AR149" i="66" s="1"/>
  <c r="AQ165" i="66"/>
  <c r="AR165" i="66" s="1"/>
  <c r="AR181" i="66"/>
  <c r="AW181" i="66"/>
  <c r="AR189" i="66"/>
  <c r="AW189" i="66" s="1"/>
  <c r="AR197" i="66"/>
  <c r="AW197" i="66"/>
  <c r="AR205" i="66"/>
  <c r="AW205" i="66" s="1"/>
  <c r="AR210" i="66"/>
  <c r="AW210" i="66"/>
  <c r="AQ213" i="66"/>
  <c r="AR213" i="66" s="1"/>
  <c r="AL225" i="66"/>
  <c r="AM225" i="66"/>
  <c r="AV225" i="66" s="1"/>
  <c r="AW228" i="66"/>
  <c r="AR228" i="66"/>
  <c r="AR241" i="66"/>
  <c r="AW241" i="66"/>
  <c r="AM268" i="66"/>
  <c r="AL268" i="66"/>
  <c r="AR291" i="66"/>
  <c r="AW291" i="66" s="1"/>
  <c r="AM303" i="66"/>
  <c r="AL303" i="66"/>
  <c r="AR361" i="66"/>
  <c r="AW361" i="66"/>
  <c r="AQ370" i="66"/>
  <c r="AR370" i="66" s="1"/>
  <c r="AM75" i="66"/>
  <c r="AM83" i="66"/>
  <c r="AM102" i="66"/>
  <c r="AM105" i="66"/>
  <c r="AM113" i="66"/>
  <c r="AM121" i="66"/>
  <c r="AM124" i="66"/>
  <c r="AM132" i="66"/>
  <c r="AW136" i="66"/>
  <c r="AW139" i="66"/>
  <c r="AW144" i="66"/>
  <c r="AM145" i="66"/>
  <c r="AL145" i="66"/>
  <c r="AM148" i="66"/>
  <c r="AW152" i="66"/>
  <c r="AM153" i="66"/>
  <c r="AV153" i="66" s="1"/>
  <c r="AL153" i="66"/>
  <c r="AM156" i="66"/>
  <c r="AW160" i="66"/>
  <c r="AM161" i="66"/>
  <c r="AL161" i="66"/>
  <c r="AM164" i="66"/>
  <c r="AW168" i="66"/>
  <c r="AM169" i="66"/>
  <c r="AV169" i="66" s="1"/>
  <c r="AL169" i="66"/>
  <c r="AM172" i="66"/>
  <c r="AW176" i="66"/>
  <c r="AM177" i="66"/>
  <c r="AL177" i="66"/>
  <c r="AM208" i="66"/>
  <c r="AL208" i="66"/>
  <c r="AV208" i="66" s="1"/>
  <c r="AM209" i="66"/>
  <c r="AL209" i="66"/>
  <c r="AR217" i="66"/>
  <c r="AW217" i="66" s="1"/>
  <c r="AM220" i="66"/>
  <c r="AL233" i="66"/>
  <c r="AM233" i="66"/>
  <c r="AM235" i="66"/>
  <c r="AR249" i="66"/>
  <c r="AW249" i="66" s="1"/>
  <c r="AM276" i="66"/>
  <c r="AL276" i="66"/>
  <c r="AV276" i="66" s="1"/>
  <c r="AV308" i="66"/>
  <c r="AM308" i="66"/>
  <c r="AL308" i="66"/>
  <c r="AL74" i="66"/>
  <c r="AV74" i="66" s="1"/>
  <c r="AL75" i="66"/>
  <c r="AV75" i="66" s="1"/>
  <c r="AW78" i="66"/>
  <c r="AL82" i="66"/>
  <c r="AL83" i="66"/>
  <c r="AW86" i="66"/>
  <c r="AL90" i="66"/>
  <c r="AL93" i="66"/>
  <c r="AW97" i="66"/>
  <c r="AL101" i="66"/>
  <c r="AL102" i="66"/>
  <c r="AL104" i="66"/>
  <c r="AL105" i="66"/>
  <c r="AV105" i="66" s="1"/>
  <c r="AW108" i="66"/>
  <c r="AL112" i="66"/>
  <c r="AL113" i="66"/>
  <c r="AV113" i="66" s="1"/>
  <c r="AW116" i="66"/>
  <c r="AL120" i="66"/>
  <c r="AV120" i="66" s="1"/>
  <c r="AL121" i="66"/>
  <c r="AL123" i="66"/>
  <c r="AV123" i="66" s="1"/>
  <c r="AL124" i="66"/>
  <c r="AV124" i="66" s="1"/>
  <c r="AW127" i="66"/>
  <c r="AL131" i="66"/>
  <c r="AL132" i="66"/>
  <c r="AV132" i="66" s="1"/>
  <c r="AW135" i="66"/>
  <c r="AM140" i="66"/>
  <c r="AM141" i="66"/>
  <c r="AV141" i="66" s="1"/>
  <c r="AW143" i="66"/>
  <c r="AL148" i="66"/>
  <c r="AW151" i="66"/>
  <c r="AL156" i="66"/>
  <c r="AV156" i="66" s="1"/>
  <c r="AW159" i="66"/>
  <c r="AL164" i="66"/>
  <c r="AW167" i="66"/>
  <c r="AL172" i="66"/>
  <c r="AV172" i="66" s="1"/>
  <c r="AW175" i="66"/>
  <c r="AW180" i="66"/>
  <c r="AM181" i="66"/>
  <c r="AL181" i="66"/>
  <c r="AV181" i="66" s="1"/>
  <c r="AW184" i="66"/>
  <c r="AM185" i="66"/>
  <c r="AL185" i="66"/>
  <c r="AV185" i="66" s="1"/>
  <c r="AW188" i="66"/>
  <c r="AM189" i="66"/>
  <c r="AL189" i="66"/>
  <c r="AW192" i="66"/>
  <c r="AM193" i="66"/>
  <c r="AL193" i="66"/>
  <c r="AW196" i="66"/>
  <c r="AM197" i="66"/>
  <c r="AL197" i="66"/>
  <c r="AV197" i="66" s="1"/>
  <c r="AW200" i="66"/>
  <c r="AM201" i="66"/>
  <c r="AL201" i="66"/>
  <c r="AV201" i="66" s="1"/>
  <c r="AW204" i="66"/>
  <c r="AM205" i="66"/>
  <c r="AL205" i="66"/>
  <c r="AQ207" i="66"/>
  <c r="AR207" i="66" s="1"/>
  <c r="AL220" i="66"/>
  <c r="AV220" i="66" s="1"/>
  <c r="AW221" i="66"/>
  <c r="AQ224" i="66"/>
  <c r="AR224" i="66" s="1"/>
  <c r="AR225" i="66"/>
  <c r="AW225" i="66"/>
  <c r="AM228" i="66"/>
  <c r="AL235" i="66"/>
  <c r="AR236" i="66"/>
  <c r="AW236" i="66" s="1"/>
  <c r="AW238" i="66"/>
  <c r="AL241" i="66"/>
  <c r="AM241" i="66"/>
  <c r="AM243" i="66"/>
  <c r="AW254" i="66"/>
  <c r="AW260" i="66"/>
  <c r="AR260" i="66"/>
  <c r="AR265" i="66"/>
  <c r="AW265" i="66" s="1"/>
  <c r="AQ280" i="66"/>
  <c r="AR280" i="66" s="1"/>
  <c r="AM283" i="66"/>
  <c r="AL289" i="66"/>
  <c r="AM289" i="66"/>
  <c r="AQ297" i="66"/>
  <c r="AR297" i="66" s="1"/>
  <c r="AM299" i="66"/>
  <c r="AR302" i="66"/>
  <c r="AW302" i="66"/>
  <c r="AM315" i="66"/>
  <c r="AL315" i="66"/>
  <c r="AV315" i="66" s="1"/>
  <c r="AV316" i="66"/>
  <c r="AM316" i="66"/>
  <c r="AL316" i="66"/>
  <c r="AM406" i="66"/>
  <c r="AV406" i="66" s="1"/>
  <c r="AL406" i="66"/>
  <c r="AM48" i="66"/>
  <c r="AM56" i="66"/>
  <c r="AM67" i="66"/>
  <c r="AM94" i="66"/>
  <c r="AV94" i="66" s="1"/>
  <c r="AW284" i="66"/>
  <c r="AR292" i="66"/>
  <c r="AW292" i="66" s="1"/>
  <c r="AM301" i="66"/>
  <c r="AV301" i="66" s="1"/>
  <c r="AR304" i="66"/>
  <c r="AW304" i="66" s="1"/>
  <c r="AL309" i="66"/>
  <c r="AM309" i="66"/>
  <c r="AQ338" i="66"/>
  <c r="AR338" i="66" s="1"/>
  <c r="AM360" i="66"/>
  <c r="AL360" i="66"/>
  <c r="AM369" i="66"/>
  <c r="AL369" i="66"/>
  <c r="AV369" i="66" s="1"/>
  <c r="AW9" i="66"/>
  <c r="AW13" i="66"/>
  <c r="AW17" i="66"/>
  <c r="AW25" i="66"/>
  <c r="AW29" i="66"/>
  <c r="AW32" i="66"/>
  <c r="AW36" i="66"/>
  <c r="AW43" i="66"/>
  <c r="AL47" i="66"/>
  <c r="AL48" i="66"/>
  <c r="AV48" i="66" s="1"/>
  <c r="AW51" i="66"/>
  <c r="AL55" i="66"/>
  <c r="AL56" i="66"/>
  <c r="AV56" i="66" s="1"/>
  <c r="AW59" i="66"/>
  <c r="AW62" i="66"/>
  <c r="AL66" i="66"/>
  <c r="AL67" i="66"/>
  <c r="AW70" i="66"/>
  <c r="AP434" i="66"/>
  <c r="BA31" i="66" s="1"/>
  <c r="AW6" i="66"/>
  <c r="AM37" i="66"/>
  <c r="AV37" i="66" s="1"/>
  <c r="AM38" i="66"/>
  <c r="AV38" i="66" s="1"/>
  <c r="AM44" i="66"/>
  <c r="AV44" i="66" s="1"/>
  <c r="AM45" i="66"/>
  <c r="AV45" i="66" s="1"/>
  <c r="AM47" i="66"/>
  <c r="AM52" i="66"/>
  <c r="AV52" i="66" s="1"/>
  <c r="AM53" i="66"/>
  <c r="AV53" i="66" s="1"/>
  <c r="AM55" i="66"/>
  <c r="AM60" i="66"/>
  <c r="AV60" i="66" s="1"/>
  <c r="AV63" i="66"/>
  <c r="AM63" i="66"/>
  <c r="AM64" i="66"/>
  <c r="AV64" i="66" s="1"/>
  <c r="AM66" i="66"/>
  <c r="AV71" i="66"/>
  <c r="AM71" i="66"/>
  <c r="AM72" i="66"/>
  <c r="AV72" i="66" s="1"/>
  <c r="AM74" i="66"/>
  <c r="AV79" i="66"/>
  <c r="AM79" i="66"/>
  <c r="AM80" i="66"/>
  <c r="AV80" i="66" s="1"/>
  <c r="AM82" i="66"/>
  <c r="AV87" i="66"/>
  <c r="AM87" i="66"/>
  <c r="AM88" i="66"/>
  <c r="AV88" i="66" s="1"/>
  <c r="AM90" i="66"/>
  <c r="AM91" i="66"/>
  <c r="AV91" i="66" s="1"/>
  <c r="AM93" i="66"/>
  <c r="AM98" i="66"/>
  <c r="AV98" i="66" s="1"/>
  <c r="AM99" i="66"/>
  <c r="AV99" i="66" s="1"/>
  <c r="AM101" i="66"/>
  <c r="AM104" i="66"/>
  <c r="AM109" i="66"/>
  <c r="AV109" i="66" s="1"/>
  <c r="AM110" i="66"/>
  <c r="AV110" i="66" s="1"/>
  <c r="AM112" i="66"/>
  <c r="AV112" i="66" s="1"/>
  <c r="AM117" i="66"/>
  <c r="AV117" i="66" s="1"/>
  <c r="AM118" i="66"/>
  <c r="AV118" i="66" s="1"/>
  <c r="AM120" i="66"/>
  <c r="AM123" i="66"/>
  <c r="AV128" i="66"/>
  <c r="AM128" i="66"/>
  <c r="AM129" i="66"/>
  <c r="AV129" i="66" s="1"/>
  <c r="AM131" i="66"/>
  <c r="AV131" i="66" s="1"/>
  <c r="AV137" i="66"/>
  <c r="AL140" i="66"/>
  <c r="AV140" i="66" s="1"/>
  <c r="AM144" i="66"/>
  <c r="AV144" i="66" s="1"/>
  <c r="AW146" i="66"/>
  <c r="AW148" i="66"/>
  <c r="AM149" i="66"/>
  <c r="AL149" i="66"/>
  <c r="AV149" i="66" s="1"/>
  <c r="AM152" i="66"/>
  <c r="AV152" i="66" s="1"/>
  <c r="AW154" i="66"/>
  <c r="AW156" i="66"/>
  <c r="AM157" i="66"/>
  <c r="AL157" i="66"/>
  <c r="AV157" i="66" s="1"/>
  <c r="AV160" i="66"/>
  <c r="AM160" i="66"/>
  <c r="AW162" i="66"/>
  <c r="AW164" i="66"/>
  <c r="AV165" i="66"/>
  <c r="AM165" i="66"/>
  <c r="AL165" i="66"/>
  <c r="AM168" i="66"/>
  <c r="AV168" i="66" s="1"/>
  <c r="AW170" i="66"/>
  <c r="AW172" i="66"/>
  <c r="AM173" i="66"/>
  <c r="AL173" i="66"/>
  <c r="AM176" i="66"/>
  <c r="AV176" i="66" s="1"/>
  <c r="AW178" i="66"/>
  <c r="AW182" i="66"/>
  <c r="AW186" i="66"/>
  <c r="AW190" i="66"/>
  <c r="AW194" i="66"/>
  <c r="AW198" i="66"/>
  <c r="AW202" i="66"/>
  <c r="AW209" i="66"/>
  <c r="AM210" i="66"/>
  <c r="AV210" i="66" s="1"/>
  <c r="AW214" i="66"/>
  <c r="AW215" i="66"/>
  <c r="AL217" i="66"/>
  <c r="AM217" i="66"/>
  <c r="AM219" i="66"/>
  <c r="AV219" i="66" s="1"/>
  <c r="AL228" i="66"/>
  <c r="AV228" i="66" s="1"/>
  <c r="AW229" i="66"/>
  <c r="AQ232" i="66"/>
  <c r="AR232" i="66" s="1"/>
  <c r="AR233" i="66"/>
  <c r="AW233" i="66"/>
  <c r="AV236" i="66"/>
  <c r="AM236" i="66"/>
  <c r="AV238" i="66"/>
  <c r="AW240" i="66"/>
  <c r="AL243" i="66"/>
  <c r="AV243" i="66" s="1"/>
  <c r="AL250" i="66"/>
  <c r="AV250" i="66" s="1"/>
  <c r="AW252" i="66"/>
  <c r="AV259" i="66"/>
  <c r="AM259" i="66"/>
  <c r="AL259" i="66"/>
  <c r="AV270" i="66"/>
  <c r="AQ272" i="66"/>
  <c r="AR272" i="66" s="1"/>
  <c r="AR273" i="66"/>
  <c r="AW273" i="66" s="1"/>
  <c r="AL283" i="66"/>
  <c r="AL299" i="66"/>
  <c r="AV299" i="66" s="1"/>
  <c r="AR300" i="66"/>
  <c r="AW300" i="66" s="1"/>
  <c r="AM305" i="66"/>
  <c r="AV305" i="66" s="1"/>
  <c r="AR306" i="66"/>
  <c r="AW306" i="66" s="1"/>
  <c r="AV309" i="66"/>
  <c r="AV310" i="66"/>
  <c r="AW312" i="66"/>
  <c r="AQ313" i="66"/>
  <c r="AR313" i="66" s="1"/>
  <c r="AQ321" i="66"/>
  <c r="AR321" i="66" s="1"/>
  <c r="AM380" i="66"/>
  <c r="AL380" i="66"/>
  <c r="AV380" i="66" s="1"/>
  <c r="AM381" i="66"/>
  <c r="AV381" i="66" s="1"/>
  <c r="AL381" i="66"/>
  <c r="AQ395" i="66"/>
  <c r="AR395" i="66" s="1"/>
  <c r="AW395" i="66"/>
  <c r="AV401" i="66"/>
  <c r="AM401" i="66"/>
  <c r="AL401" i="66"/>
  <c r="AW179" i="66"/>
  <c r="AW183" i="66"/>
  <c r="AW187" i="66"/>
  <c r="AW191" i="66"/>
  <c r="AW195" i="66"/>
  <c r="AW199" i="66"/>
  <c r="AW203" i="66"/>
  <c r="AM216" i="66"/>
  <c r="AV216" i="66" s="1"/>
  <c r="AM224" i="66"/>
  <c r="AM232" i="66"/>
  <c r="AM240" i="66"/>
  <c r="AM252" i="66"/>
  <c r="AL265" i="66"/>
  <c r="AM265" i="66"/>
  <c r="AM267" i="66"/>
  <c r="AR281" i="66"/>
  <c r="AW281" i="66" s="1"/>
  <c r="AM284" i="66"/>
  <c r="AV291" i="66"/>
  <c r="AM291" i="66"/>
  <c r="AL291" i="66"/>
  <c r="AM306" i="66"/>
  <c r="AQ314" i="66"/>
  <c r="AR314" i="66" s="1"/>
  <c r="AM323" i="66"/>
  <c r="AL323" i="66"/>
  <c r="AV323" i="66" s="1"/>
  <c r="AV326" i="66"/>
  <c r="AM326" i="66"/>
  <c r="AL326" i="66"/>
  <c r="AQ335" i="66"/>
  <c r="AR335" i="66" s="1"/>
  <c r="AM342" i="66"/>
  <c r="AL342" i="66"/>
  <c r="AV342" i="66" s="1"/>
  <c r="AQ350" i="66"/>
  <c r="AR350" i="66" s="1"/>
  <c r="AQ396" i="66"/>
  <c r="AR396" i="66" s="1"/>
  <c r="AM422" i="66"/>
  <c r="AL422" i="66"/>
  <c r="AV422" i="66" s="1"/>
  <c r="AV424" i="66"/>
  <c r="AM424" i="66"/>
  <c r="AL424" i="66"/>
  <c r="AM206" i="66"/>
  <c r="AV206" i="66" s="1"/>
  <c r="AV213" i="66"/>
  <c r="AL216" i="66"/>
  <c r="AW219" i="66"/>
  <c r="AV221" i="66"/>
  <c r="AL224" i="66"/>
  <c r="AW227" i="66"/>
  <c r="AV229" i="66"/>
  <c r="AL232" i="66"/>
  <c r="AV232" i="66" s="1"/>
  <c r="AW235" i="66"/>
  <c r="AL240" i="66"/>
  <c r="AV240" i="66" s="1"/>
  <c r="AW243" i="66"/>
  <c r="AV245" i="66"/>
  <c r="AL245" i="66"/>
  <c r="AQ246" i="66"/>
  <c r="AR246" i="66" s="1"/>
  <c r="AM248" i="66"/>
  <c r="AV248" i="66" s="1"/>
  <c r="AL248" i="66"/>
  <c r="AM249" i="66"/>
  <c r="AL249" i="66"/>
  <c r="AV249" i="66" s="1"/>
  <c r="AL252" i="66"/>
  <c r="AV252" i="66" s="1"/>
  <c r="AW253" i="66"/>
  <c r="AQ256" i="66"/>
  <c r="AR256" i="66" s="1"/>
  <c r="AR257" i="66"/>
  <c r="AW257" i="66" s="1"/>
  <c r="AM260" i="66"/>
  <c r="AV260" i="66" s="1"/>
  <c r="AV262" i="66"/>
  <c r="AW264" i="66"/>
  <c r="AL267" i="66"/>
  <c r="AW270" i="66"/>
  <c r="AW271" i="66"/>
  <c r="AL273" i="66"/>
  <c r="AM273" i="66"/>
  <c r="AM275" i="66"/>
  <c r="AV275" i="66" s="1"/>
  <c r="AL284" i="66"/>
  <c r="AV284" i="66" s="1"/>
  <c r="AW285" i="66"/>
  <c r="AQ288" i="66"/>
  <c r="AR288" i="66" s="1"/>
  <c r="AR289" i="66"/>
  <c r="AW289" i="66" s="1"/>
  <c r="AW295" i="66"/>
  <c r="AQ296" i="66"/>
  <c r="AR296" i="66" s="1"/>
  <c r="AL300" i="66"/>
  <c r="AM300" i="66"/>
  <c r="AL302" i="66"/>
  <c r="AM302" i="66"/>
  <c r="AL304" i="66"/>
  <c r="AM304" i="66"/>
  <c r="AL306" i="66"/>
  <c r="AV306" i="66" s="1"/>
  <c r="AR308" i="66"/>
  <c r="AW308" i="66" s="1"/>
  <c r="AW316" i="66"/>
  <c r="AM317" i="66"/>
  <c r="AV317" i="66" s="1"/>
  <c r="AQ322" i="66"/>
  <c r="AR322" i="66" s="1"/>
  <c r="AW323" i="66"/>
  <c r="AM325" i="66"/>
  <c r="AL325" i="66"/>
  <c r="AQ330" i="66"/>
  <c r="AR330" i="66" s="1"/>
  <c r="AQ346" i="66"/>
  <c r="AR346" i="66" s="1"/>
  <c r="AV356" i="66"/>
  <c r="AM356" i="66"/>
  <c r="AL356" i="66"/>
  <c r="AQ358" i="66"/>
  <c r="AR358" i="66" s="1"/>
  <c r="AQ365" i="66"/>
  <c r="AR365" i="66" s="1"/>
  <c r="AM373" i="66"/>
  <c r="AL373" i="66"/>
  <c r="AV373" i="66" s="1"/>
  <c r="AM377" i="66"/>
  <c r="AL377" i="66"/>
  <c r="AQ378" i="66"/>
  <c r="AR378" i="66" s="1"/>
  <c r="AW387" i="66"/>
  <c r="AL399" i="66"/>
  <c r="AV399" i="66" s="1"/>
  <c r="AM399" i="66"/>
  <c r="AQ417" i="66"/>
  <c r="AR417" i="66" s="1"/>
  <c r="AV246" i="66"/>
  <c r="AM256" i="66"/>
  <c r="AM264" i="66"/>
  <c r="AM272" i="66"/>
  <c r="AM280" i="66"/>
  <c r="AV280" i="66" s="1"/>
  <c r="AM288" i="66"/>
  <c r="AW294" i="66"/>
  <c r="AV296" i="66"/>
  <c r="AW311" i="66"/>
  <c r="AW319" i="66"/>
  <c r="AW328" i="66"/>
  <c r="AM329" i="66"/>
  <c r="AW336" i="66"/>
  <c r="AM337" i="66"/>
  <c r="AW344" i="66"/>
  <c r="AM345" i="66"/>
  <c r="AW352" i="66"/>
  <c r="AM353" i="66"/>
  <c r="AL353" i="66"/>
  <c r="AV353" i="66" s="1"/>
  <c r="AW356" i="66"/>
  <c r="AM357" i="66"/>
  <c r="AL357" i="66"/>
  <c r="AM364" i="66"/>
  <c r="AL364" i="66"/>
  <c r="AV364" i="66" s="1"/>
  <c r="AM368" i="66"/>
  <c r="AL383" i="66"/>
  <c r="AM383" i="66"/>
  <c r="AV385" i="66"/>
  <c r="AM385" i="66"/>
  <c r="AL385" i="66"/>
  <c r="AV402" i="66"/>
  <c r="AM402" i="66"/>
  <c r="AL402" i="66"/>
  <c r="AW410" i="66"/>
  <c r="AQ410" i="66"/>
  <c r="AR410" i="66" s="1"/>
  <c r="AM246" i="66"/>
  <c r="AV253" i="66"/>
  <c r="AL256" i="66"/>
  <c r="AV256" i="66" s="1"/>
  <c r="AW259" i="66"/>
  <c r="AV261" i="66"/>
  <c r="AL264" i="66"/>
  <c r="AV264" i="66" s="1"/>
  <c r="AW267" i="66"/>
  <c r="AV269" i="66"/>
  <c r="AL272" i="66"/>
  <c r="AW275" i="66"/>
  <c r="AV277" i="66"/>
  <c r="AL280" i="66"/>
  <c r="AW283" i="66"/>
  <c r="AL288" i="66"/>
  <c r="AV288" i="66" s="1"/>
  <c r="AM295" i="66"/>
  <c r="AV295" i="66" s="1"/>
  <c r="AM296" i="66"/>
  <c r="AW299" i="66"/>
  <c r="AW301" i="66"/>
  <c r="AW303" i="66"/>
  <c r="AW305" i="66"/>
  <c r="AM312" i="66"/>
  <c r="AV312" i="66" s="1"/>
  <c r="AM313" i="66"/>
  <c r="AV313" i="66" s="1"/>
  <c r="AM320" i="66"/>
  <c r="AV320" i="66" s="1"/>
  <c r="AM321" i="66"/>
  <c r="AV321" i="66" s="1"/>
  <c r="AM324" i="66"/>
  <c r="AV324" i="66" s="1"/>
  <c r="AW326" i="66"/>
  <c r="AL329" i="66"/>
  <c r="AW332" i="66"/>
  <c r="AW334" i="66"/>
  <c r="AL337" i="66"/>
  <c r="AV337" i="66" s="1"/>
  <c r="AW340" i="66"/>
  <c r="AW342" i="66"/>
  <c r="AL345" i="66"/>
  <c r="AV345" i="66" s="1"/>
  <c r="AW348" i="66"/>
  <c r="AQ349" i="66"/>
  <c r="AR349" i="66" s="1"/>
  <c r="AW354" i="66"/>
  <c r="AW357" i="66"/>
  <c r="AW360" i="66"/>
  <c r="AM361" i="66"/>
  <c r="AL361" i="66"/>
  <c r="AV361" i="66" s="1"/>
  <c r="AW364" i="66"/>
  <c r="AM365" i="66"/>
  <c r="AL365" i="66"/>
  <c r="AV365" i="66" s="1"/>
  <c r="AL368" i="66"/>
  <c r="AV368" i="66" s="1"/>
  <c r="AW369" i="66"/>
  <c r="AM372" i="66"/>
  <c r="AL372" i="66"/>
  <c r="AV372" i="66" s="1"/>
  <c r="AV376" i="66"/>
  <c r="AM376" i="66"/>
  <c r="AQ381" i="66"/>
  <c r="AR381" i="66" s="1"/>
  <c r="AM386" i="66"/>
  <c r="AV386" i="66" s="1"/>
  <c r="AW390" i="66"/>
  <c r="AW391" i="66"/>
  <c r="AM394" i="66"/>
  <c r="AV394" i="66" s="1"/>
  <c r="AQ398" i="66"/>
  <c r="AR398" i="66" s="1"/>
  <c r="AQ404" i="66"/>
  <c r="AR404" i="66" s="1"/>
  <c r="AQ407" i="66"/>
  <c r="AR407" i="66" s="1"/>
  <c r="AM412" i="66"/>
  <c r="AL412" i="66"/>
  <c r="AW329" i="66"/>
  <c r="AM330" i="66"/>
  <c r="AL330" i="66"/>
  <c r="AV330" i="66" s="1"/>
  <c r="AV333" i="66"/>
  <c r="AM333" i="66"/>
  <c r="AW337" i="66"/>
  <c r="AM338" i="66"/>
  <c r="AV338" i="66" s="1"/>
  <c r="AL338" i="66"/>
  <c r="AM341" i="66"/>
  <c r="AV341" i="66" s="1"/>
  <c r="AW345" i="66"/>
  <c r="AM346" i="66"/>
  <c r="AL346" i="66"/>
  <c r="AW351" i="66"/>
  <c r="AW359" i="66"/>
  <c r="AW367" i="66"/>
  <c r="AW375" i="66"/>
  <c r="AW382" i="66"/>
  <c r="AW383" i="66"/>
  <c r="AL391" i="66"/>
  <c r="AM391" i="66"/>
  <c r="AM393" i="66"/>
  <c r="AV393" i="66" s="1"/>
  <c r="AV404" i="66"/>
  <c r="AM410" i="66"/>
  <c r="AV410" i="66" s="1"/>
  <c r="AL410" i="66"/>
  <c r="AM414" i="66"/>
  <c r="AW424" i="66"/>
  <c r="AQ424" i="66"/>
  <c r="AR424" i="66" s="1"/>
  <c r="AM428" i="66"/>
  <c r="AL428" i="66"/>
  <c r="AV428" i="66" s="1"/>
  <c r="AL414" i="66"/>
  <c r="AV414" i="66" s="1"/>
  <c r="AM419" i="66"/>
  <c r="AL419" i="66"/>
  <c r="AQ420" i="66"/>
  <c r="AR420" i="66" s="1"/>
  <c r="AW420" i="66"/>
  <c r="AW426" i="66"/>
  <c r="AQ428" i="66"/>
  <c r="AR428" i="66" s="1"/>
  <c r="AM382" i="66"/>
  <c r="AV382" i="66" s="1"/>
  <c r="AW384" i="66"/>
  <c r="AM390" i="66"/>
  <c r="AV390" i="66" s="1"/>
  <c r="AW392" i="66"/>
  <c r="AV398" i="66"/>
  <c r="AM398" i="66"/>
  <c r="AW400" i="66"/>
  <c r="AW409" i="66"/>
  <c r="AW414" i="66"/>
  <c r="AM426" i="66"/>
  <c r="AL426" i="66"/>
  <c r="AW427" i="66"/>
  <c r="AM430" i="66"/>
  <c r="AL430" i="66"/>
  <c r="AM433" i="66"/>
  <c r="AV433" i="66" s="1"/>
  <c r="AW385" i="66"/>
  <c r="AV387" i="66"/>
  <c r="AW393" i="66"/>
  <c r="AW401" i="66"/>
  <c r="AV403" i="66"/>
  <c r="AW406" i="66"/>
  <c r="AM407" i="66"/>
  <c r="AL407" i="66"/>
  <c r="AV407" i="66" s="1"/>
  <c r="AW412" i="66"/>
  <c r="AM417" i="66"/>
  <c r="AL417" i="66"/>
  <c r="AV417" i="66" s="1"/>
  <c r="AW418" i="66"/>
  <c r="AW422" i="66"/>
  <c r="AL423" i="66"/>
  <c r="AV423" i="66" s="1"/>
  <c r="AV304" i="66" l="1"/>
  <c r="AV300" i="66"/>
  <c r="AV267" i="66"/>
  <c r="AW246" i="66"/>
  <c r="AV283" i="66"/>
  <c r="AV173" i="66"/>
  <c r="AV67" i="66"/>
  <c r="AV47" i="66"/>
  <c r="AV104" i="66"/>
  <c r="AV93" i="66"/>
  <c r="AV82" i="66"/>
  <c r="AV83" i="66"/>
  <c r="AW99" i="66"/>
  <c r="AW64" i="66"/>
  <c r="AV184" i="66"/>
  <c r="AV125" i="66"/>
  <c r="AV84" i="66"/>
  <c r="AV334" i="66"/>
  <c r="AW45" i="66"/>
  <c r="AW372" i="66"/>
  <c r="AV429" i="66"/>
  <c r="AW371" i="66"/>
  <c r="AW279" i="66"/>
  <c r="AW147" i="66"/>
  <c r="AW377" i="66"/>
  <c r="AV378" i="66"/>
  <c r="AV370" i="66"/>
  <c r="AV255" i="66"/>
  <c r="AW287" i="66"/>
  <c r="AW368" i="66"/>
  <c r="AV426" i="66"/>
  <c r="AW428" i="66"/>
  <c r="AV419" i="66"/>
  <c r="AW404" i="66"/>
  <c r="AV329" i="66"/>
  <c r="AV272" i="66"/>
  <c r="AV357" i="66"/>
  <c r="AV377" i="66"/>
  <c r="AW330" i="66"/>
  <c r="AW322" i="66"/>
  <c r="AV273" i="66"/>
  <c r="AW396" i="66"/>
  <c r="AW314" i="66"/>
  <c r="AV66" i="66"/>
  <c r="AV55" i="66"/>
  <c r="AV360" i="66"/>
  <c r="AW313" i="66"/>
  <c r="AV235" i="66"/>
  <c r="AV205" i="66"/>
  <c r="AV189" i="66"/>
  <c r="AV164" i="66"/>
  <c r="AV148" i="66"/>
  <c r="AV121" i="66"/>
  <c r="AV102" i="66"/>
  <c r="AV90" i="66"/>
  <c r="AV209" i="66"/>
  <c r="AV177" i="66"/>
  <c r="AV161" i="66"/>
  <c r="AV145" i="66"/>
  <c r="AV257" i="66"/>
  <c r="AV133" i="66"/>
  <c r="AV281" i="66"/>
  <c r="AW247" i="66"/>
  <c r="AV192" i="66"/>
  <c r="AV57" i="66"/>
  <c r="AW46" i="66"/>
  <c r="AR434" i="66"/>
  <c r="BC31" i="66" s="1"/>
  <c r="AV27" i="66"/>
  <c r="AV18" i="66"/>
  <c r="AV349" i="66"/>
  <c r="AV26" i="66"/>
  <c r="AV39" i="66"/>
  <c r="AV212" i="66"/>
  <c r="AW72" i="66"/>
  <c r="AW158" i="66"/>
  <c r="AW433" i="66"/>
  <c r="AW425" i="66"/>
  <c r="AV384" i="66"/>
  <c r="AW366" i="66"/>
  <c r="AW131" i="66"/>
  <c r="AW398" i="66"/>
  <c r="AV430" i="66"/>
  <c r="AV346" i="66"/>
  <c r="AV412" i="66"/>
  <c r="AW358" i="66"/>
  <c r="AV325" i="66"/>
  <c r="AV224" i="66"/>
  <c r="AW335" i="66"/>
  <c r="AW297" i="66"/>
  <c r="AV193" i="66"/>
  <c r="AV101" i="66"/>
  <c r="AW370" i="66"/>
  <c r="AV303" i="66"/>
  <c r="AV268" i="66"/>
  <c r="AW213" i="66"/>
  <c r="AW122" i="66"/>
  <c r="AW320" i="66"/>
  <c r="AW73" i="66"/>
  <c r="AW230" i="66"/>
  <c r="AV227" i="66"/>
  <c r="AW397" i="66"/>
  <c r="BB30" i="66"/>
  <c r="BA30" i="66"/>
  <c r="BA32" i="66" s="1"/>
  <c r="C69" i="46" s="1"/>
  <c r="E9" i="27" s="1"/>
  <c r="BC30" i="66"/>
  <c r="BC32" i="66" s="1"/>
  <c r="E69" i="46" s="1"/>
  <c r="AW379" i="66"/>
  <c r="AW431" i="66"/>
  <c r="AW74" i="66"/>
  <c r="AV415" i="66"/>
  <c r="AV271" i="66"/>
  <c r="AW222" i="66"/>
  <c r="AW171" i="66"/>
  <c r="AW47" i="66"/>
  <c r="AM434" i="66"/>
  <c r="AQ434" i="66"/>
  <c r="BB31" i="66" s="1"/>
  <c r="AL434" i="66"/>
  <c r="AW349" i="66"/>
  <c r="AW296" i="66"/>
  <c r="AV217" i="66"/>
  <c r="AW338" i="66"/>
  <c r="AV289" i="66"/>
  <c r="AW280" i="66"/>
  <c r="AV233" i="66"/>
  <c r="AW165" i="66"/>
  <c r="AW53" i="66"/>
  <c r="AV6" i="66"/>
  <c r="AW245" i="66"/>
  <c r="AW140" i="66"/>
  <c r="AW118" i="66"/>
  <c r="AW88" i="66"/>
  <c r="AW288" i="66"/>
  <c r="AV391" i="66"/>
  <c r="AV383" i="66"/>
  <c r="AW417" i="66"/>
  <c r="AW346" i="66"/>
  <c r="AV302" i="66"/>
  <c r="AW365" i="66"/>
  <c r="AW256" i="66"/>
  <c r="AW321" i="66"/>
  <c r="AW272" i="66"/>
  <c r="AW224" i="66"/>
  <c r="AW216" i="66"/>
  <c r="AW81" i="66"/>
  <c r="AW277" i="66"/>
  <c r="AW92" i="66"/>
  <c r="AW327" i="66"/>
  <c r="AW38" i="66"/>
  <c r="AW65" i="66"/>
  <c r="AW407" i="66"/>
  <c r="AV265" i="66"/>
  <c r="AW381" i="66"/>
  <c r="AW378" i="66"/>
  <c r="AW350" i="66"/>
  <c r="AV241" i="66"/>
  <c r="AW232" i="66"/>
  <c r="AW207" i="66"/>
  <c r="AW149" i="66"/>
  <c r="AW110" i="66"/>
  <c r="AW80" i="66"/>
  <c r="AW111" i="66"/>
  <c r="AW130" i="66"/>
  <c r="AW119" i="66"/>
  <c r="AW325" i="66"/>
  <c r="AW157" i="66"/>
  <c r="BB32" i="66" l="1"/>
  <c r="D69" i="46" s="1"/>
  <c r="F9" i="27" s="1"/>
  <c r="G9" i="27" s="1"/>
  <c r="H9" i="27" s="1"/>
  <c r="I9" i="27" s="1"/>
  <c r="J9" i="27" s="1"/>
  <c r="K9" i="27" s="1"/>
  <c r="L9" i="27" s="1"/>
  <c r="M9" i="27" s="1"/>
  <c r="N9" i="27" s="1"/>
  <c r="E10" i="60"/>
  <c r="E11" i="60" s="1"/>
  <c r="F6" i="60"/>
  <c r="G6" i="60" s="1"/>
  <c r="F5" i="58"/>
  <c r="G5" i="58" s="1"/>
  <c r="H5" i="58" s="1"/>
  <c r="I5" i="58" s="1"/>
  <c r="J5" i="58" s="1"/>
  <c r="K5" i="58" s="1"/>
  <c r="L5" i="58" s="1"/>
  <c r="M5" i="58" s="1"/>
  <c r="N5" i="58" s="1"/>
  <c r="F5" i="59"/>
  <c r="G5" i="59" s="1"/>
  <c r="H5" i="59" s="1"/>
  <c r="I5" i="59" s="1"/>
  <c r="F6" i="59"/>
  <c r="G6" i="59" s="1"/>
  <c r="H6" i="59" s="1"/>
  <c r="I6" i="59" s="1"/>
  <c r="C56" i="46"/>
  <c r="F5" i="65"/>
  <c r="G5" i="65" s="1"/>
  <c r="H5" i="65" s="1"/>
  <c r="I5" i="65" s="1"/>
  <c r="B9" i="63"/>
  <c r="D8" i="63"/>
  <c r="D7" i="63"/>
  <c r="D6" i="63"/>
  <c r="D5" i="63"/>
  <c r="D4" i="63"/>
  <c r="D3" i="63"/>
  <c r="C1" i="63"/>
  <c r="D1" i="63" s="1"/>
  <c r="B1" i="63"/>
  <c r="G9" i="63" s="1"/>
  <c r="E1" i="63" l="1"/>
  <c r="D9" i="63"/>
  <c r="C52" i="46"/>
  <c r="J6" i="59"/>
  <c r="J5" i="59"/>
  <c r="H6" i="60"/>
  <c r="G10" i="60"/>
  <c r="F10" i="60"/>
  <c r="C75" i="62"/>
  <c r="D73" i="62"/>
  <c r="D75" i="62" s="1"/>
  <c r="C71" i="62"/>
  <c r="D69" i="62"/>
  <c r="D71" i="62" s="1"/>
  <c r="C67" i="62"/>
  <c r="D65" i="62"/>
  <c r="D67" i="62" s="1"/>
  <c r="C63" i="62"/>
  <c r="D61" i="62"/>
  <c r="E61" i="62" s="1"/>
  <c r="E63" i="62" s="1"/>
  <c r="C59" i="62"/>
  <c r="D57" i="62"/>
  <c r="D59" i="62" s="1"/>
  <c r="C55" i="62"/>
  <c r="D53" i="62"/>
  <c r="D55" i="62" s="1"/>
  <c r="C51" i="62"/>
  <c r="D49" i="62"/>
  <c r="D51" i="62" s="1"/>
  <c r="C47" i="62"/>
  <c r="D45" i="62"/>
  <c r="E45" i="62" s="1"/>
  <c r="E47" i="62" s="1"/>
  <c r="C43" i="62"/>
  <c r="D41" i="62"/>
  <c r="D43" i="62" s="1"/>
  <c r="C39" i="62"/>
  <c r="D37" i="62"/>
  <c r="D39" i="62" s="1"/>
  <c r="C35" i="62"/>
  <c r="D33" i="62"/>
  <c r="D35" i="62" s="1"/>
  <c r="C31" i="62"/>
  <c r="D29" i="62"/>
  <c r="E29" i="62" s="1"/>
  <c r="E31" i="62" s="1"/>
  <c r="C27" i="62"/>
  <c r="D26" i="62"/>
  <c r="E26" i="62" s="1"/>
  <c r="F26" i="62" s="1"/>
  <c r="G26" i="62" s="1"/>
  <c r="H26" i="62" s="1"/>
  <c r="I26" i="62" s="1"/>
  <c r="J26" i="62" s="1"/>
  <c r="K26" i="62" s="1"/>
  <c r="L26" i="62" s="1"/>
  <c r="D25" i="62"/>
  <c r="E25" i="62" s="1"/>
  <c r="F25" i="62" s="1"/>
  <c r="G25" i="62" s="1"/>
  <c r="H25" i="62" s="1"/>
  <c r="I25" i="62" s="1"/>
  <c r="J25" i="62" s="1"/>
  <c r="K25" i="62" s="1"/>
  <c r="L25" i="62" s="1"/>
  <c r="E24" i="62"/>
  <c r="F24" i="62" s="1"/>
  <c r="G24" i="62" s="1"/>
  <c r="H24" i="62" s="1"/>
  <c r="I24" i="62" s="1"/>
  <c r="J24" i="62" s="1"/>
  <c r="K24" i="62" s="1"/>
  <c r="L24" i="62" s="1"/>
  <c r="D22" i="62"/>
  <c r="E22" i="62" s="1"/>
  <c r="F22" i="62" s="1"/>
  <c r="G22" i="62" s="1"/>
  <c r="H22" i="62" s="1"/>
  <c r="I22" i="62" s="1"/>
  <c r="J22" i="62" s="1"/>
  <c r="K22" i="62" s="1"/>
  <c r="L22" i="62" s="1"/>
  <c r="D21" i="62"/>
  <c r="E21" i="62" s="1"/>
  <c r="F21" i="62" s="1"/>
  <c r="G21" i="62" s="1"/>
  <c r="H21" i="62" s="1"/>
  <c r="I21" i="62" s="1"/>
  <c r="J21" i="62" s="1"/>
  <c r="K21" i="62" s="1"/>
  <c r="L21" i="62" s="1"/>
  <c r="D20" i="62"/>
  <c r="E20" i="62" s="1"/>
  <c r="F20" i="62" s="1"/>
  <c r="G20" i="62" s="1"/>
  <c r="H20" i="62" s="1"/>
  <c r="I20" i="62" s="1"/>
  <c r="J20" i="62" s="1"/>
  <c r="K20" i="62" s="1"/>
  <c r="L20" i="62" s="1"/>
  <c r="D19" i="62"/>
  <c r="E19" i="62" s="1"/>
  <c r="G18" i="62"/>
  <c r="F18" i="62"/>
  <c r="E18" i="62"/>
  <c r="D18" i="62"/>
  <c r="C18" i="62"/>
  <c r="G14" i="62"/>
  <c r="F14" i="62"/>
  <c r="E14" i="62"/>
  <c r="D14" i="62"/>
  <c r="C14" i="62"/>
  <c r="G10" i="62"/>
  <c r="F10" i="62"/>
  <c r="E10" i="62"/>
  <c r="D10" i="62"/>
  <c r="C10" i="62"/>
  <c r="J57" i="46" l="1"/>
  <c r="H57" i="46"/>
  <c r="K57" i="46"/>
  <c r="L57" i="46"/>
  <c r="I57" i="46"/>
  <c r="F57" i="46"/>
  <c r="G57" i="46"/>
  <c r="E57" i="46"/>
  <c r="D57" i="46"/>
  <c r="C57" i="46"/>
  <c r="C77" i="62"/>
  <c r="C38" i="46" s="1"/>
  <c r="K5" i="59"/>
  <c r="K6" i="59"/>
  <c r="D27" i="62"/>
  <c r="D31" i="62"/>
  <c r="E37" i="62"/>
  <c r="E39" i="62" s="1"/>
  <c r="D47" i="62"/>
  <c r="E53" i="62"/>
  <c r="E55" i="62" s="1"/>
  <c r="D63" i="62"/>
  <c r="E69" i="62"/>
  <c r="E71" i="62" s="1"/>
  <c r="E27" i="62"/>
  <c r="D52" i="46"/>
  <c r="F11" i="60"/>
  <c r="E52" i="46"/>
  <c r="G11" i="60"/>
  <c r="I6" i="60"/>
  <c r="H10" i="60"/>
  <c r="F19" i="62"/>
  <c r="F29" i="62"/>
  <c r="E33" i="62"/>
  <c r="F45" i="62"/>
  <c r="E49" i="62"/>
  <c r="F61" i="62"/>
  <c r="E65" i="62"/>
  <c r="E41" i="62"/>
  <c r="E57" i="62"/>
  <c r="E73" i="62"/>
  <c r="F37" i="62" l="1"/>
  <c r="F69" i="62"/>
  <c r="F71" i="62" s="1"/>
  <c r="D77" i="62"/>
  <c r="D38" i="46" s="1"/>
  <c r="I10" i="60"/>
  <c r="I11" i="60" s="1"/>
  <c r="J6" i="60"/>
  <c r="L6" i="59"/>
  <c r="L5" i="59"/>
  <c r="F53" i="62"/>
  <c r="F55" i="62" s="1"/>
  <c r="F52" i="46"/>
  <c r="H11" i="60"/>
  <c r="G52" i="46"/>
  <c r="E59" i="62"/>
  <c r="F57" i="62"/>
  <c r="E35" i="62"/>
  <c r="F33" i="62"/>
  <c r="G37" i="62"/>
  <c r="F39" i="62"/>
  <c r="F47" i="62"/>
  <c r="G45" i="62"/>
  <c r="E67" i="62"/>
  <c r="F65" i="62"/>
  <c r="F63" i="62"/>
  <c r="G61" i="62"/>
  <c r="F31" i="62"/>
  <c r="G29" i="62"/>
  <c r="E75" i="62"/>
  <c r="F73" i="62"/>
  <c r="E43" i="62"/>
  <c r="F41" i="62"/>
  <c r="E51" i="62"/>
  <c r="F49" i="62"/>
  <c r="G19" i="62"/>
  <c r="F27" i="62"/>
  <c r="K6" i="60" l="1"/>
  <c r="J10" i="60"/>
  <c r="G63" i="62"/>
  <c r="H61" i="62"/>
  <c r="G47" i="62"/>
  <c r="H45" i="62"/>
  <c r="G31" i="62"/>
  <c r="H29" i="62"/>
  <c r="G27" i="62"/>
  <c r="H19" i="62"/>
  <c r="G39" i="62"/>
  <c r="H37" i="62"/>
  <c r="G69" i="62"/>
  <c r="M5" i="59"/>
  <c r="M6" i="59"/>
  <c r="G53" i="62"/>
  <c r="F51" i="62"/>
  <c r="G49" i="62"/>
  <c r="F67" i="62"/>
  <c r="G65" i="62"/>
  <c r="F35" i="62"/>
  <c r="G33" i="62"/>
  <c r="E77" i="62"/>
  <c r="E38" i="46" s="1"/>
  <c r="F75" i="62"/>
  <c r="G73" i="62"/>
  <c r="F43" i="62"/>
  <c r="G41" i="62"/>
  <c r="F59" i="62"/>
  <c r="G57" i="62"/>
  <c r="H52" i="46" l="1"/>
  <c r="J11" i="60"/>
  <c r="L6" i="60"/>
  <c r="K10" i="60"/>
  <c r="G51" i="62"/>
  <c r="H49" i="62"/>
  <c r="I45" i="62"/>
  <c r="H47" i="62"/>
  <c r="G75" i="62"/>
  <c r="H73" i="62"/>
  <c r="G67" i="62"/>
  <c r="H65" i="62"/>
  <c r="I29" i="62"/>
  <c r="H31" i="62"/>
  <c r="G35" i="62"/>
  <c r="H33" i="62"/>
  <c r="I19" i="62"/>
  <c r="H27" i="62"/>
  <c r="G59" i="62"/>
  <c r="H57" i="62"/>
  <c r="G71" i="62"/>
  <c r="H69" i="62"/>
  <c r="G55" i="62"/>
  <c r="H53" i="62"/>
  <c r="I37" i="62"/>
  <c r="H39" i="62"/>
  <c r="I61" i="62"/>
  <c r="H63" i="62"/>
  <c r="G43" i="62"/>
  <c r="H41" i="62"/>
  <c r="N6" i="59"/>
  <c r="N5" i="59"/>
  <c r="F77" i="62"/>
  <c r="F38" i="46" s="1"/>
  <c r="G54" i="61"/>
  <c r="F54" i="61"/>
  <c r="E54" i="61"/>
  <c r="D54" i="61"/>
  <c r="C54" i="61"/>
  <c r="G51" i="61"/>
  <c r="F51" i="61"/>
  <c r="E51" i="61"/>
  <c r="D51" i="61"/>
  <c r="C51" i="61"/>
  <c r="D48" i="61"/>
  <c r="C48" i="61"/>
  <c r="E47" i="61"/>
  <c r="D46" i="61"/>
  <c r="C46" i="61"/>
  <c r="E45" i="61"/>
  <c r="F45" i="61" s="1"/>
  <c r="D44" i="61"/>
  <c r="C44" i="61"/>
  <c r="E43" i="61"/>
  <c r="D42" i="61"/>
  <c r="C42" i="61"/>
  <c r="E41" i="61"/>
  <c r="F41" i="61" s="1"/>
  <c r="D40" i="61"/>
  <c r="C40" i="61"/>
  <c r="E39" i="61"/>
  <c r="D38" i="61"/>
  <c r="C38" i="61"/>
  <c r="E37" i="61"/>
  <c r="D36" i="61"/>
  <c r="C36" i="61"/>
  <c r="E35" i="61"/>
  <c r="D34" i="61"/>
  <c r="C34" i="61"/>
  <c r="E33" i="61"/>
  <c r="F33" i="61" s="1"/>
  <c r="F34" i="61" s="1"/>
  <c r="D32" i="61"/>
  <c r="C32" i="61"/>
  <c r="E31" i="61"/>
  <c r="D30" i="61"/>
  <c r="C30" i="61"/>
  <c r="E29" i="61"/>
  <c r="D28" i="61"/>
  <c r="C28" i="61"/>
  <c r="E27" i="61"/>
  <c r="D26" i="61"/>
  <c r="C26" i="61"/>
  <c r="E25" i="61"/>
  <c r="E26" i="61" s="1"/>
  <c r="D24" i="61"/>
  <c r="C24" i="61"/>
  <c r="E22" i="61"/>
  <c r="E24" i="61" s="1"/>
  <c r="C21" i="61"/>
  <c r="D19" i="61"/>
  <c r="E19" i="61" s="1"/>
  <c r="E21" i="61" s="1"/>
  <c r="C18" i="61"/>
  <c r="D16" i="61"/>
  <c r="E16" i="61" s="1"/>
  <c r="E18" i="61" s="1"/>
  <c r="C15" i="61"/>
  <c r="D14" i="61"/>
  <c r="E13" i="61"/>
  <c r="G12" i="61"/>
  <c r="F12" i="61"/>
  <c r="E12" i="61"/>
  <c r="D12" i="61"/>
  <c r="C12" i="61"/>
  <c r="G9" i="61"/>
  <c r="F9" i="61"/>
  <c r="E9" i="61"/>
  <c r="D9" i="61"/>
  <c r="C9" i="61"/>
  <c r="C6" i="61"/>
  <c r="D5" i="61"/>
  <c r="E5" i="61" s="1"/>
  <c r="I52" i="46" l="1"/>
  <c r="K11" i="60"/>
  <c r="M6" i="60"/>
  <c r="L10" i="60"/>
  <c r="G77" i="62"/>
  <c r="G38" i="46" s="1"/>
  <c r="I53" i="62"/>
  <c r="H55" i="62"/>
  <c r="I33" i="62"/>
  <c r="H35" i="62"/>
  <c r="I65" i="62"/>
  <c r="H67" i="62"/>
  <c r="J61" i="62"/>
  <c r="I63" i="62"/>
  <c r="J45" i="62"/>
  <c r="I47" i="62"/>
  <c r="H43" i="62"/>
  <c r="I41" i="62"/>
  <c r="I69" i="62"/>
  <c r="H71" i="62"/>
  <c r="H75" i="62"/>
  <c r="I73" i="62"/>
  <c r="I49" i="62"/>
  <c r="H51" i="62"/>
  <c r="H59" i="62"/>
  <c r="I57" i="62"/>
  <c r="I39" i="62"/>
  <c r="J37" i="62"/>
  <c r="J19" i="62"/>
  <c r="I27" i="62"/>
  <c r="J29" i="62"/>
  <c r="I31" i="62"/>
  <c r="C56" i="61"/>
  <c r="C46" i="46" s="1"/>
  <c r="F25" i="61"/>
  <c r="F26" i="61" s="1"/>
  <c r="E34" i="61"/>
  <c r="E42" i="61"/>
  <c r="F29" i="61"/>
  <c r="E30" i="61"/>
  <c r="E46" i="61"/>
  <c r="F22" i="61"/>
  <c r="F24" i="61" s="1"/>
  <c r="G33" i="61"/>
  <c r="F37" i="61"/>
  <c r="E38" i="61"/>
  <c r="D6" i="61"/>
  <c r="G41" i="61"/>
  <c r="F42" i="61"/>
  <c r="F5" i="61"/>
  <c r="E6" i="61"/>
  <c r="G45" i="61"/>
  <c r="F46" i="61"/>
  <c r="F13" i="61"/>
  <c r="E14" i="61"/>
  <c r="F14" i="61" s="1"/>
  <c r="G14" i="61" s="1"/>
  <c r="H14" i="61" s="1"/>
  <c r="I14" i="61" s="1"/>
  <c r="J14" i="61" s="1"/>
  <c r="K14" i="61" s="1"/>
  <c r="L14" i="61" s="1"/>
  <c r="F16" i="61"/>
  <c r="F19" i="61"/>
  <c r="F27" i="61"/>
  <c r="F31" i="61"/>
  <c r="F35" i="61"/>
  <c r="F39" i="61"/>
  <c r="F43" i="61"/>
  <c r="F47" i="61"/>
  <c r="D15" i="61"/>
  <c r="D18" i="61"/>
  <c r="D21" i="61"/>
  <c r="E28" i="61"/>
  <c r="E32" i="61"/>
  <c r="E36" i="61"/>
  <c r="E40" i="61"/>
  <c r="E44" i="61"/>
  <c r="E48" i="61"/>
  <c r="J52" i="46" l="1"/>
  <c r="L11" i="60"/>
  <c r="N6" i="60"/>
  <c r="N10" i="60" s="1"/>
  <c r="M10" i="60"/>
  <c r="H77" i="62"/>
  <c r="H38" i="46" s="1"/>
  <c r="J41" i="62"/>
  <c r="I43" i="62"/>
  <c r="J33" i="62"/>
  <c r="I35" i="62"/>
  <c r="J49" i="62"/>
  <c r="I51" i="62"/>
  <c r="K19" i="62"/>
  <c r="J27" i="62"/>
  <c r="K37" i="62"/>
  <c r="J39" i="62"/>
  <c r="K61" i="62"/>
  <c r="J63" i="62"/>
  <c r="K29" i="62"/>
  <c r="J31" i="62"/>
  <c r="J57" i="62"/>
  <c r="I59" i="62"/>
  <c r="J73" i="62"/>
  <c r="I75" i="62"/>
  <c r="I71" i="62"/>
  <c r="J69" i="62"/>
  <c r="J47" i="62"/>
  <c r="K45" i="62"/>
  <c r="J65" i="62"/>
  <c r="I67" i="62"/>
  <c r="J53" i="62"/>
  <c r="I55" i="62"/>
  <c r="G46" i="61"/>
  <c r="H45" i="61"/>
  <c r="G42" i="61"/>
  <c r="H41" i="61"/>
  <c r="G34" i="61"/>
  <c r="H33" i="61"/>
  <c r="G22" i="61"/>
  <c r="G25" i="61"/>
  <c r="F38" i="61"/>
  <c r="G37" i="61"/>
  <c r="F30" i="61"/>
  <c r="G29" i="61"/>
  <c r="H29" i="61" s="1"/>
  <c r="F28" i="61"/>
  <c r="G27" i="61"/>
  <c r="D56" i="61"/>
  <c r="D46" i="46" s="1"/>
  <c r="F48" i="61"/>
  <c r="G47" i="61"/>
  <c r="F40" i="61"/>
  <c r="G39" i="61"/>
  <c r="G13" i="61"/>
  <c r="H13" i="61" s="1"/>
  <c r="F15" i="61"/>
  <c r="F36" i="61"/>
  <c r="G35" i="61"/>
  <c r="H35" i="61" s="1"/>
  <c r="G19" i="61"/>
  <c r="H19" i="61" s="1"/>
  <c r="F21" i="61"/>
  <c r="E15" i="61"/>
  <c r="E56" i="61" s="1"/>
  <c r="E46" i="46" s="1"/>
  <c r="F44" i="61"/>
  <c r="G43" i="61"/>
  <c r="H43" i="61" s="1"/>
  <c r="F32" i="61"/>
  <c r="G31" i="61"/>
  <c r="H31" i="61" s="1"/>
  <c r="G16" i="61"/>
  <c r="H16" i="61" s="1"/>
  <c r="F18" i="61"/>
  <c r="F6" i="61"/>
  <c r="G5" i="61"/>
  <c r="H5" i="61" s="1"/>
  <c r="L52" i="46" l="1"/>
  <c r="N11" i="60"/>
  <c r="M11" i="60"/>
  <c r="K52" i="46"/>
  <c r="I77" i="62"/>
  <c r="I38" i="46" s="1"/>
  <c r="J67" i="62"/>
  <c r="K65" i="62"/>
  <c r="K57" i="62"/>
  <c r="J59" i="62"/>
  <c r="K33" i="62"/>
  <c r="J35" i="62"/>
  <c r="K47" i="62"/>
  <c r="L45" i="62"/>
  <c r="L47" i="62" s="1"/>
  <c r="L61" i="62"/>
  <c r="L63" i="62" s="1"/>
  <c r="K63" i="62"/>
  <c r="K27" i="62"/>
  <c r="L19" i="62"/>
  <c r="L27" i="62" s="1"/>
  <c r="K53" i="62"/>
  <c r="J55" i="62"/>
  <c r="K73" i="62"/>
  <c r="J75" i="62"/>
  <c r="K69" i="62"/>
  <c r="J71" i="62"/>
  <c r="L29" i="62"/>
  <c r="L31" i="62" s="1"/>
  <c r="K31" i="62"/>
  <c r="L37" i="62"/>
  <c r="L39" i="62" s="1"/>
  <c r="K39" i="62"/>
  <c r="K49" i="62"/>
  <c r="J51" i="62"/>
  <c r="K41" i="62"/>
  <c r="J43" i="62"/>
  <c r="J77" i="62" s="1"/>
  <c r="J38" i="46" s="1"/>
  <c r="I19" i="61"/>
  <c r="H21" i="61"/>
  <c r="I29" i="61"/>
  <c r="H30" i="61"/>
  <c r="I41" i="61"/>
  <c r="H42" i="61"/>
  <c r="I35" i="61"/>
  <c r="H36" i="61"/>
  <c r="G40" i="61"/>
  <c r="H39" i="61"/>
  <c r="I5" i="61"/>
  <c r="H6" i="61"/>
  <c r="I31" i="61"/>
  <c r="H32" i="61"/>
  <c r="I43" i="61"/>
  <c r="H44" i="61"/>
  <c r="I13" i="61"/>
  <c r="H15" i="61"/>
  <c r="G26" i="61"/>
  <c r="H25" i="61"/>
  <c r="I16" i="61"/>
  <c r="H18" i="61"/>
  <c r="G24" i="61"/>
  <c r="H22" i="61"/>
  <c r="G28" i="61"/>
  <c r="H27" i="61"/>
  <c r="G38" i="61"/>
  <c r="H37" i="61"/>
  <c r="I33" i="61"/>
  <c r="H34" i="61"/>
  <c r="I45" i="61"/>
  <c r="H46" i="61"/>
  <c r="G48" i="61"/>
  <c r="H47" i="61"/>
  <c r="G30" i="61"/>
  <c r="G6" i="61"/>
  <c r="G18" i="61"/>
  <c r="F56" i="61"/>
  <c r="F46" i="46" s="1"/>
  <c r="G32" i="61"/>
  <c r="G21" i="61"/>
  <c r="G44" i="61"/>
  <c r="G36" i="61"/>
  <c r="G15" i="61"/>
  <c r="L49" i="62" l="1"/>
  <c r="L51" i="62" s="1"/>
  <c r="K51" i="62"/>
  <c r="L73" i="62"/>
  <c r="L75" i="62" s="1"/>
  <c r="K75" i="62"/>
  <c r="K59" i="62"/>
  <c r="L57" i="62"/>
  <c r="L59" i="62" s="1"/>
  <c r="L41" i="62"/>
  <c r="L43" i="62" s="1"/>
  <c r="K43" i="62"/>
  <c r="L69" i="62"/>
  <c r="L71" i="62" s="1"/>
  <c r="K71" i="62"/>
  <c r="L53" i="62"/>
  <c r="L55" i="62" s="1"/>
  <c r="K55" i="62"/>
  <c r="L65" i="62"/>
  <c r="L67" i="62" s="1"/>
  <c r="K67" i="62"/>
  <c r="L77" i="62"/>
  <c r="L38" i="46" s="1"/>
  <c r="K35" i="62"/>
  <c r="K77" i="62" s="1"/>
  <c r="K38" i="46" s="1"/>
  <c r="L33" i="62"/>
  <c r="L35" i="62" s="1"/>
  <c r="I37" i="61"/>
  <c r="H38" i="61"/>
  <c r="I22" i="61"/>
  <c r="H24" i="61"/>
  <c r="I25" i="61"/>
  <c r="H26" i="61"/>
  <c r="J45" i="61"/>
  <c r="I46" i="61"/>
  <c r="J43" i="61"/>
  <c r="I44" i="61"/>
  <c r="J5" i="61"/>
  <c r="I6" i="61"/>
  <c r="J35" i="61"/>
  <c r="I36" i="61"/>
  <c r="I30" i="61"/>
  <c r="J29" i="61"/>
  <c r="I47" i="61"/>
  <c r="H48" i="61"/>
  <c r="I27" i="61"/>
  <c r="H28" i="61"/>
  <c r="I39" i="61"/>
  <c r="H40" i="61"/>
  <c r="J33" i="61"/>
  <c r="I34" i="61"/>
  <c r="J16" i="61"/>
  <c r="I18" i="61"/>
  <c r="I15" i="61"/>
  <c r="J13" i="61"/>
  <c r="J31" i="61"/>
  <c r="I32" i="61"/>
  <c r="J41" i="61"/>
  <c r="I42" i="61"/>
  <c r="I21" i="61"/>
  <c r="J19" i="61"/>
  <c r="G56" i="61"/>
  <c r="H56" i="61" l="1"/>
  <c r="H46" i="46" s="1"/>
  <c r="K41" i="61"/>
  <c r="J42" i="61"/>
  <c r="K33" i="61"/>
  <c r="J34" i="61"/>
  <c r="J27" i="61"/>
  <c r="I28" i="61"/>
  <c r="K5" i="61"/>
  <c r="J6" i="61"/>
  <c r="K45" i="61"/>
  <c r="J46" i="61"/>
  <c r="K19" i="61"/>
  <c r="J21" i="61"/>
  <c r="I24" i="61"/>
  <c r="J22" i="61"/>
  <c r="J32" i="61"/>
  <c r="K31" i="61"/>
  <c r="K16" i="61"/>
  <c r="J18" i="61"/>
  <c r="J39" i="61"/>
  <c r="I40" i="61"/>
  <c r="J47" i="61"/>
  <c r="I48" i="61"/>
  <c r="K35" i="61"/>
  <c r="J36" i="61"/>
  <c r="K43" i="61"/>
  <c r="J44" i="61"/>
  <c r="J15" i="61"/>
  <c r="K13" i="61"/>
  <c r="K29" i="61"/>
  <c r="J30" i="61"/>
  <c r="J25" i="61"/>
  <c r="I26" i="61"/>
  <c r="I38" i="61"/>
  <c r="J37" i="61"/>
  <c r="G46" i="46"/>
  <c r="C53" i="46"/>
  <c r="D66" i="25"/>
  <c r="C42" i="46"/>
  <c r="C40" i="46"/>
  <c r="F5" i="57"/>
  <c r="D17" i="56"/>
  <c r="E17" i="56" s="1"/>
  <c r="F17" i="56" s="1"/>
  <c r="G17" i="56" s="1"/>
  <c r="H17" i="56" s="1"/>
  <c r="I17" i="56" s="1"/>
  <c r="J17" i="56" s="1"/>
  <c r="K17" i="56" s="1"/>
  <c r="L17" i="56" s="1"/>
  <c r="M17" i="56" s="1"/>
  <c r="E16" i="56"/>
  <c r="F16" i="56" s="1"/>
  <c r="G16" i="56" s="1"/>
  <c r="H16" i="56" s="1"/>
  <c r="I16" i="56" s="1"/>
  <c r="J16" i="56" s="1"/>
  <c r="K16" i="56" s="1"/>
  <c r="L16" i="56" s="1"/>
  <c r="M16" i="56" s="1"/>
  <c r="D16" i="56"/>
  <c r="D15" i="56"/>
  <c r="E15" i="56" s="1"/>
  <c r="F15" i="56" s="1"/>
  <c r="G15" i="56" s="1"/>
  <c r="H15" i="56" s="1"/>
  <c r="I15" i="56" s="1"/>
  <c r="J15" i="56" s="1"/>
  <c r="K15" i="56" s="1"/>
  <c r="L15" i="56" s="1"/>
  <c r="M15" i="56" s="1"/>
  <c r="E14" i="56"/>
  <c r="F14" i="56" s="1"/>
  <c r="G14" i="56" s="1"/>
  <c r="H14" i="56" s="1"/>
  <c r="I14" i="56" s="1"/>
  <c r="J14" i="56" s="1"/>
  <c r="K14" i="56" s="1"/>
  <c r="L14" i="56" s="1"/>
  <c r="M14" i="56" s="1"/>
  <c r="D14" i="56"/>
  <c r="D13" i="56"/>
  <c r="E13" i="56" s="1"/>
  <c r="F13" i="56" s="1"/>
  <c r="G13" i="56" s="1"/>
  <c r="H13" i="56" s="1"/>
  <c r="I13" i="56" s="1"/>
  <c r="J13" i="56" s="1"/>
  <c r="K13" i="56" s="1"/>
  <c r="L13" i="56" s="1"/>
  <c r="M13" i="56" s="1"/>
  <c r="D12" i="56"/>
  <c r="E12" i="56" s="1"/>
  <c r="F12" i="56" s="1"/>
  <c r="G12" i="56" s="1"/>
  <c r="H12" i="56" s="1"/>
  <c r="I12" i="56" s="1"/>
  <c r="J12" i="56" s="1"/>
  <c r="K12" i="56" s="1"/>
  <c r="L12" i="56" s="1"/>
  <c r="M12" i="56" s="1"/>
  <c r="D11" i="56"/>
  <c r="E11" i="56" s="1"/>
  <c r="F11" i="56" s="1"/>
  <c r="G11" i="56" s="1"/>
  <c r="H11" i="56" s="1"/>
  <c r="I11" i="56" s="1"/>
  <c r="J11" i="56" s="1"/>
  <c r="K11" i="56" s="1"/>
  <c r="L11" i="56" s="1"/>
  <c r="M11" i="56" s="1"/>
  <c r="D10" i="56"/>
  <c r="E10" i="56" s="1"/>
  <c r="F10" i="56" s="1"/>
  <c r="G10" i="56" s="1"/>
  <c r="H10" i="56" s="1"/>
  <c r="I10" i="56" s="1"/>
  <c r="J10" i="56" s="1"/>
  <c r="K10" i="56" s="1"/>
  <c r="L10" i="56" s="1"/>
  <c r="M10" i="56" s="1"/>
  <c r="D9" i="56"/>
  <c r="E9" i="56" s="1"/>
  <c r="F9" i="56" s="1"/>
  <c r="G9" i="56" s="1"/>
  <c r="H9" i="56" s="1"/>
  <c r="I9" i="56" s="1"/>
  <c r="J9" i="56" s="1"/>
  <c r="K9" i="56" s="1"/>
  <c r="L9" i="56" s="1"/>
  <c r="M9" i="56" s="1"/>
  <c r="E8" i="56"/>
  <c r="F8" i="56" s="1"/>
  <c r="G8" i="56" s="1"/>
  <c r="H8" i="56" s="1"/>
  <c r="I8" i="56" s="1"/>
  <c r="J8" i="56" s="1"/>
  <c r="K8" i="56" s="1"/>
  <c r="L8" i="56" s="1"/>
  <c r="M8" i="56" s="1"/>
  <c r="D8" i="56"/>
  <c r="D7" i="56"/>
  <c r="E7" i="56" s="1"/>
  <c r="F7" i="56" s="1"/>
  <c r="G7" i="56" s="1"/>
  <c r="H7" i="56" s="1"/>
  <c r="I7" i="56" s="1"/>
  <c r="J7" i="56" s="1"/>
  <c r="K7" i="56" s="1"/>
  <c r="L7" i="56" s="1"/>
  <c r="M7" i="56" s="1"/>
  <c r="E6" i="56"/>
  <c r="D6" i="56"/>
  <c r="D24" i="55"/>
  <c r="C18" i="55"/>
  <c r="D17" i="55"/>
  <c r="E17" i="55" s="1"/>
  <c r="F17" i="55" s="1"/>
  <c r="G17" i="55" s="1"/>
  <c r="H17" i="55" s="1"/>
  <c r="I17" i="55" s="1"/>
  <c r="J17" i="55" s="1"/>
  <c r="K17" i="55" s="1"/>
  <c r="L17" i="55" s="1"/>
  <c r="M17" i="55" s="1"/>
  <c r="D16" i="55"/>
  <c r="E16" i="55" s="1"/>
  <c r="F16" i="55" s="1"/>
  <c r="G16" i="55" s="1"/>
  <c r="H16" i="55" s="1"/>
  <c r="I16" i="55" s="1"/>
  <c r="J16" i="55" s="1"/>
  <c r="K16" i="55" s="1"/>
  <c r="L16" i="55" s="1"/>
  <c r="M16" i="55" s="1"/>
  <c r="D15" i="55"/>
  <c r="D14" i="55"/>
  <c r="E14" i="55" s="1"/>
  <c r="F14" i="55" s="1"/>
  <c r="G14" i="55" s="1"/>
  <c r="H14" i="55" s="1"/>
  <c r="I14" i="55" s="1"/>
  <c r="J14" i="55" s="1"/>
  <c r="K14" i="55" s="1"/>
  <c r="L14" i="55" s="1"/>
  <c r="M14" i="55" s="1"/>
  <c r="D13" i="55"/>
  <c r="E13" i="55" s="1"/>
  <c r="R12" i="55"/>
  <c r="S14" i="55" s="1"/>
  <c r="U45" i="54"/>
  <c r="T45" i="54"/>
  <c r="S45" i="54"/>
  <c r="R45" i="54"/>
  <c r="V44" i="54"/>
  <c r="V43" i="54"/>
  <c r="V42" i="54"/>
  <c r="V41" i="54"/>
  <c r="V40" i="54"/>
  <c r="V39" i="54"/>
  <c r="V38" i="54"/>
  <c r="V37" i="54"/>
  <c r="V36" i="54"/>
  <c r="V35" i="54"/>
  <c r="E54" i="54"/>
  <c r="V34" i="54"/>
  <c r="V33" i="54"/>
  <c r="V32" i="54"/>
  <c r="C31" i="54"/>
  <c r="D87" i="54"/>
  <c r="V26" i="54"/>
  <c r="D86" i="54"/>
  <c r="V25" i="54"/>
  <c r="V24" i="54"/>
  <c r="V23" i="54"/>
  <c r="D83" i="54"/>
  <c r="V22" i="54"/>
  <c r="D82" i="54"/>
  <c r="V21" i="54"/>
  <c r="V20" i="54"/>
  <c r="V19" i="54"/>
  <c r="D79" i="54"/>
  <c r="V18" i="54"/>
  <c r="D78" i="54"/>
  <c r="V17" i="54"/>
  <c r="V16" i="54"/>
  <c r="V15" i="54"/>
  <c r="V14" i="54"/>
  <c r="V13" i="54"/>
  <c r="W13" i="54" s="1"/>
  <c r="V12" i="54"/>
  <c r="V10" i="54"/>
  <c r="V9" i="54"/>
  <c r="E9" i="54"/>
  <c r="F9" i="54" s="1"/>
  <c r="G9" i="54" s="1"/>
  <c r="H9" i="54" s="1"/>
  <c r="I9" i="54" s="1"/>
  <c r="J9" i="54" s="1"/>
  <c r="K9" i="54" s="1"/>
  <c r="L9" i="54" s="1"/>
  <c r="M9" i="54" s="1"/>
  <c r="V8" i="54"/>
  <c r="V7" i="54"/>
  <c r="E66" i="54" l="1"/>
  <c r="E60" i="54"/>
  <c r="E58" i="54"/>
  <c r="E65" i="54"/>
  <c r="E64" i="54"/>
  <c r="E63" i="54"/>
  <c r="E67" i="54"/>
  <c r="E69" i="54"/>
  <c r="E57" i="54"/>
  <c r="E59" i="54"/>
  <c r="E61" i="54"/>
  <c r="E68" i="54"/>
  <c r="E62" i="54"/>
  <c r="W10" i="54"/>
  <c r="W15" i="54"/>
  <c r="W19" i="54"/>
  <c r="D18" i="56"/>
  <c r="C30" i="46" s="1"/>
  <c r="I56" i="61"/>
  <c r="I46" i="46" s="1"/>
  <c r="K25" i="61"/>
  <c r="J26" i="61"/>
  <c r="K32" i="61"/>
  <c r="L31" i="61"/>
  <c r="L32" i="61" s="1"/>
  <c r="K39" i="61"/>
  <c r="J40" i="61"/>
  <c r="L19" i="61"/>
  <c r="L21" i="61" s="1"/>
  <c r="K21" i="61"/>
  <c r="L33" i="61"/>
  <c r="L34" i="61" s="1"/>
  <c r="K34" i="61"/>
  <c r="K22" i="61"/>
  <c r="J24" i="61"/>
  <c r="L13" i="61"/>
  <c r="L15" i="61" s="1"/>
  <c r="K15" i="61"/>
  <c r="K37" i="61"/>
  <c r="J38" i="61"/>
  <c r="K36" i="61"/>
  <c r="L35" i="61"/>
  <c r="L36" i="61" s="1"/>
  <c r="L5" i="61"/>
  <c r="L6" i="61" s="1"/>
  <c r="K6" i="61"/>
  <c r="L29" i="61"/>
  <c r="L30" i="61" s="1"/>
  <c r="K30" i="61"/>
  <c r="L43" i="61"/>
  <c r="L44" i="61" s="1"/>
  <c r="K44" i="61"/>
  <c r="K47" i="61"/>
  <c r="J48" i="61"/>
  <c r="K18" i="61"/>
  <c r="L16" i="61"/>
  <c r="L18" i="61" s="1"/>
  <c r="L45" i="61"/>
  <c r="L46" i="61" s="1"/>
  <c r="K46" i="61"/>
  <c r="K27" i="61"/>
  <c r="J28" i="61"/>
  <c r="L41" i="61"/>
  <c r="L42" i="61" s="1"/>
  <c r="K42" i="61"/>
  <c r="S11" i="55"/>
  <c r="G5" i="57"/>
  <c r="E79" i="54"/>
  <c r="S7" i="55"/>
  <c r="S8" i="55"/>
  <c r="D18" i="55"/>
  <c r="D28" i="55"/>
  <c r="D39" i="55" s="1"/>
  <c r="D50" i="55" s="1"/>
  <c r="S9" i="55"/>
  <c r="S12" i="55"/>
  <c r="S10" i="55"/>
  <c r="E82" i="54"/>
  <c r="D105" i="54"/>
  <c r="W8" i="54"/>
  <c r="D84" i="54"/>
  <c r="D103" i="54" s="1"/>
  <c r="E78" i="54"/>
  <c r="E80" i="54"/>
  <c r="W22" i="54"/>
  <c r="E88" i="54"/>
  <c r="D101" i="54"/>
  <c r="D76" i="54"/>
  <c r="D95" i="54" s="1"/>
  <c r="D88" i="54"/>
  <c r="D107" i="54" s="1"/>
  <c r="E76" i="54"/>
  <c r="W18" i="54"/>
  <c r="W23" i="54"/>
  <c r="D97" i="54"/>
  <c r="E83" i="54"/>
  <c r="E86" i="54"/>
  <c r="D80" i="54"/>
  <c r="D99" i="54" s="1"/>
  <c r="E18" i="56"/>
  <c r="D30" i="46" s="1"/>
  <c r="F6" i="56"/>
  <c r="F13" i="55"/>
  <c r="D29" i="55"/>
  <c r="E15" i="55"/>
  <c r="F15" i="55" s="1"/>
  <c r="G15" i="55" s="1"/>
  <c r="H15" i="55" s="1"/>
  <c r="I15" i="55" s="1"/>
  <c r="J15" i="55" s="1"/>
  <c r="K15" i="55" s="1"/>
  <c r="L15" i="55" s="1"/>
  <c r="M15" i="55" s="1"/>
  <c r="E24" i="55"/>
  <c r="D27" i="55"/>
  <c r="D31" i="55"/>
  <c r="D30" i="55"/>
  <c r="D77" i="54"/>
  <c r="D81" i="54"/>
  <c r="D85" i="54"/>
  <c r="F54" i="54"/>
  <c r="V45" i="54"/>
  <c r="W37" i="54" s="1"/>
  <c r="W24" i="54"/>
  <c r="W20" i="54"/>
  <c r="W16" i="54"/>
  <c r="W25" i="54"/>
  <c r="W21" i="54"/>
  <c r="W17" i="54"/>
  <c r="W14" i="54"/>
  <c r="W12" i="54"/>
  <c r="W9" i="54"/>
  <c r="W7" i="54"/>
  <c r="W26" i="54"/>
  <c r="D13" i="54"/>
  <c r="E8" i="27" s="1"/>
  <c r="D106" i="54"/>
  <c r="D98" i="54"/>
  <c r="D102" i="54"/>
  <c r="F58" i="54" l="1"/>
  <c r="F60" i="54"/>
  <c r="F59" i="54"/>
  <c r="F69" i="54"/>
  <c r="F62" i="54"/>
  <c r="F66" i="54"/>
  <c r="F68" i="54"/>
  <c r="F67" i="54"/>
  <c r="F61" i="54"/>
  <c r="F63" i="54"/>
  <c r="F65" i="54"/>
  <c r="F64" i="54"/>
  <c r="F57" i="54"/>
  <c r="J56" i="61"/>
  <c r="J46" i="46" s="1"/>
  <c r="L22" i="61"/>
  <c r="L24" i="61" s="1"/>
  <c r="K24" i="61"/>
  <c r="K48" i="61"/>
  <c r="L47" i="61"/>
  <c r="L48" i="61" s="1"/>
  <c r="K28" i="61"/>
  <c r="L27" i="61"/>
  <c r="L28" i="61" s="1"/>
  <c r="L37" i="61"/>
  <c r="L38" i="61" s="1"/>
  <c r="K38" i="61"/>
  <c r="L39" i="61"/>
  <c r="L40" i="61" s="1"/>
  <c r="K40" i="61"/>
  <c r="L25" i="61"/>
  <c r="L26" i="61" s="1"/>
  <c r="K26" i="61"/>
  <c r="F78" i="54"/>
  <c r="E9" i="58"/>
  <c r="E10" i="59"/>
  <c r="E15" i="59" s="1"/>
  <c r="E10" i="57"/>
  <c r="E101" i="54"/>
  <c r="E9" i="59"/>
  <c r="E9" i="57"/>
  <c r="E84" i="54"/>
  <c r="E103" i="54" s="1"/>
  <c r="E98" i="54"/>
  <c r="W35" i="54"/>
  <c r="E105" i="54"/>
  <c r="D100" i="54"/>
  <c r="W33" i="54"/>
  <c r="H5" i="57"/>
  <c r="F88" i="54"/>
  <c r="E107" i="54"/>
  <c r="F87" i="54"/>
  <c r="E87" i="54"/>
  <c r="E106" i="54" s="1"/>
  <c r="W41" i="54"/>
  <c r="E13" i="54"/>
  <c r="F8" i="27" s="1"/>
  <c r="W44" i="54"/>
  <c r="E97" i="54"/>
  <c r="D89" i="54"/>
  <c r="E95" i="54"/>
  <c r="E99" i="54"/>
  <c r="D104" i="54"/>
  <c r="E102" i="54"/>
  <c r="C18" i="46"/>
  <c r="G6" i="56"/>
  <c r="F18" i="56"/>
  <c r="E30" i="46" s="1"/>
  <c r="D32" i="55"/>
  <c r="D38" i="55"/>
  <c r="D49" i="55" s="1"/>
  <c r="E31" i="55"/>
  <c r="E27" i="55"/>
  <c r="F24" i="55"/>
  <c r="E28" i="55"/>
  <c r="E30" i="55"/>
  <c r="E29" i="55"/>
  <c r="D41" i="55"/>
  <c r="D52" i="55" s="1"/>
  <c r="E18" i="55"/>
  <c r="D42" i="55"/>
  <c r="D53" i="55" s="1"/>
  <c r="D40" i="55"/>
  <c r="D51" i="55" s="1"/>
  <c r="F18" i="55"/>
  <c r="G13" i="55"/>
  <c r="W39" i="54"/>
  <c r="W36" i="54"/>
  <c r="W34" i="54"/>
  <c r="W32" i="54"/>
  <c r="W45" i="54"/>
  <c r="W38" i="54"/>
  <c r="W42" i="54"/>
  <c r="G54" i="54"/>
  <c r="E85" i="54"/>
  <c r="F79" i="54"/>
  <c r="E77" i="54"/>
  <c r="E81" i="54"/>
  <c r="D96" i="54"/>
  <c r="W40" i="54"/>
  <c r="W43" i="54"/>
  <c r="G69" i="54" l="1"/>
  <c r="G58" i="54"/>
  <c r="G64" i="54"/>
  <c r="G61" i="54"/>
  <c r="G62" i="54"/>
  <c r="G68" i="54"/>
  <c r="G66" i="54"/>
  <c r="G63" i="54"/>
  <c r="G57" i="54"/>
  <c r="G59" i="54"/>
  <c r="G65" i="54"/>
  <c r="G67" i="54"/>
  <c r="G60" i="54"/>
  <c r="F82" i="54"/>
  <c r="F101" i="54" s="1"/>
  <c r="L56" i="61"/>
  <c r="L46" i="46" s="1"/>
  <c r="K56" i="61"/>
  <c r="K46" i="46" s="1"/>
  <c r="E11" i="57"/>
  <c r="E13" i="57" s="1"/>
  <c r="C50" i="46" s="1"/>
  <c r="F98" i="54"/>
  <c r="F10" i="57"/>
  <c r="F10" i="59"/>
  <c r="F15" i="59" s="1"/>
  <c r="F9" i="58"/>
  <c r="F10" i="58" s="1"/>
  <c r="F12" i="58" s="1"/>
  <c r="D49" i="46" s="1"/>
  <c r="G9" i="57"/>
  <c r="G9" i="59"/>
  <c r="E14" i="59"/>
  <c r="E16" i="59" s="1"/>
  <c r="C51" i="46" s="1"/>
  <c r="E11" i="59"/>
  <c r="E10" i="58"/>
  <c r="E12" i="58" s="1"/>
  <c r="F9" i="59"/>
  <c r="F9" i="57"/>
  <c r="F84" i="54"/>
  <c r="F86" i="54"/>
  <c r="F105" i="54" s="1"/>
  <c r="F107" i="54"/>
  <c r="F106" i="54"/>
  <c r="I5" i="57"/>
  <c r="E104" i="54"/>
  <c r="C27" i="46"/>
  <c r="C8" i="70"/>
  <c r="C14" i="70" s="1"/>
  <c r="C21" i="46" s="1"/>
  <c r="E9" i="65"/>
  <c r="C19" i="46"/>
  <c r="F97" i="54"/>
  <c r="E89" i="54"/>
  <c r="D108" i="54"/>
  <c r="F80" i="54"/>
  <c r="G79" i="54"/>
  <c r="G98" i="54" s="1"/>
  <c r="F83" i="54"/>
  <c r="F102" i="54" s="1"/>
  <c r="E100" i="54"/>
  <c r="F76" i="54"/>
  <c r="F95" i="54" s="1"/>
  <c r="H6" i="56"/>
  <c r="G18" i="56"/>
  <c r="F30" i="46" s="1"/>
  <c r="E42" i="55"/>
  <c r="E53" i="55" s="1"/>
  <c r="E39" i="55"/>
  <c r="E50" i="55" s="1"/>
  <c r="G18" i="55"/>
  <c r="H13" i="55"/>
  <c r="I13" i="55" s="1"/>
  <c r="J13" i="55" s="1"/>
  <c r="K13" i="55" s="1"/>
  <c r="L13" i="55" s="1"/>
  <c r="M13" i="55" s="1"/>
  <c r="F30" i="55"/>
  <c r="F28" i="55"/>
  <c r="F31" i="55"/>
  <c r="G24" i="55"/>
  <c r="F29" i="55"/>
  <c r="F27" i="55"/>
  <c r="D43" i="55"/>
  <c r="C28" i="46" s="1"/>
  <c r="E41" i="55"/>
  <c r="E52" i="55" s="1"/>
  <c r="D54" i="55"/>
  <c r="E40" i="55"/>
  <c r="E51" i="55" s="1"/>
  <c r="E38" i="55"/>
  <c r="E32" i="55"/>
  <c r="G86" i="54"/>
  <c r="F77" i="54"/>
  <c r="F13" i="54"/>
  <c r="G8" i="27" s="1"/>
  <c r="F81" i="54"/>
  <c r="E96" i="54"/>
  <c r="E70" i="54"/>
  <c r="D18" i="46" s="1"/>
  <c r="F85" i="54"/>
  <c r="G82" i="54"/>
  <c r="H54" i="54"/>
  <c r="G84" i="54"/>
  <c r="I54" i="54" l="1"/>
  <c r="H61" i="54"/>
  <c r="H66" i="54"/>
  <c r="H68" i="54"/>
  <c r="H67" i="54"/>
  <c r="H69" i="54"/>
  <c r="H63" i="54"/>
  <c r="H65" i="54"/>
  <c r="H64" i="54"/>
  <c r="H58" i="54"/>
  <c r="H60" i="54"/>
  <c r="H59" i="54"/>
  <c r="H62" i="54"/>
  <c r="H57" i="54"/>
  <c r="G88" i="54"/>
  <c r="G107" i="54" s="1"/>
  <c r="G78" i="54"/>
  <c r="G97" i="54" s="1"/>
  <c r="H18" i="56"/>
  <c r="G30" i="46" s="1"/>
  <c r="I6" i="56"/>
  <c r="I79" i="54"/>
  <c r="I84" i="54"/>
  <c r="F11" i="57"/>
  <c r="F13" i="57" s="1"/>
  <c r="D50" i="46" s="1"/>
  <c r="I76" i="54"/>
  <c r="I82" i="54"/>
  <c r="F14" i="59"/>
  <c r="F16" i="59" s="1"/>
  <c r="D51" i="46" s="1"/>
  <c r="F11" i="59"/>
  <c r="I87" i="54"/>
  <c r="G14" i="59"/>
  <c r="H18" i="55"/>
  <c r="G10" i="59"/>
  <c r="G15" i="59" s="1"/>
  <c r="G9" i="58"/>
  <c r="G10" i="57"/>
  <c r="G11" i="57" s="1"/>
  <c r="G13" i="57" s="1"/>
  <c r="E50" i="46" s="1"/>
  <c r="H9" i="59"/>
  <c r="H9" i="57"/>
  <c r="C49" i="46"/>
  <c r="I86" i="54"/>
  <c r="I80" i="54"/>
  <c r="F103" i="54"/>
  <c r="J5" i="57"/>
  <c r="G87" i="54"/>
  <c r="H87" i="54"/>
  <c r="E108" i="54"/>
  <c r="G76" i="54"/>
  <c r="F100" i="54"/>
  <c r="F96" i="54"/>
  <c r="D27" i="46"/>
  <c r="D8" i="70"/>
  <c r="D14" i="70" s="1"/>
  <c r="D21" i="46" s="1"/>
  <c r="F9" i="65"/>
  <c r="F10" i="65" s="1"/>
  <c r="G12" i="65" s="1"/>
  <c r="E56" i="46" s="1"/>
  <c r="D19" i="46"/>
  <c r="E43" i="55"/>
  <c r="D28" i="46" s="1"/>
  <c r="E10" i="65"/>
  <c r="F12" i="65" s="1"/>
  <c r="F99" i="54"/>
  <c r="G80" i="54"/>
  <c r="H79" i="54"/>
  <c r="G83" i="54"/>
  <c r="F38" i="55"/>
  <c r="F49" i="55" s="1"/>
  <c r="F32" i="55"/>
  <c r="F41" i="55"/>
  <c r="F52" i="55" s="1"/>
  <c r="G29" i="55"/>
  <c r="G31" i="55"/>
  <c r="H24" i="55"/>
  <c r="I24" i="55" s="1"/>
  <c r="G28" i="55"/>
  <c r="G27" i="55"/>
  <c r="G30" i="55"/>
  <c r="F39" i="55"/>
  <c r="F50" i="55" s="1"/>
  <c r="E49" i="55"/>
  <c r="E54" i="55" s="1"/>
  <c r="F40" i="55"/>
  <c r="F51" i="55" s="1"/>
  <c r="F42" i="55"/>
  <c r="F53" i="55" s="1"/>
  <c r="H82" i="54"/>
  <c r="G81" i="54"/>
  <c r="G77" i="54"/>
  <c r="G13" i="54"/>
  <c r="H8" i="27" s="1"/>
  <c r="H86" i="54"/>
  <c r="F70" i="54"/>
  <c r="E18" i="46" s="1"/>
  <c r="G101" i="54"/>
  <c r="F104" i="54"/>
  <c r="G105" i="54"/>
  <c r="G103" i="54"/>
  <c r="H80" i="54"/>
  <c r="H76" i="54"/>
  <c r="H84" i="54"/>
  <c r="G85" i="54"/>
  <c r="F89" i="54"/>
  <c r="J54" i="54" l="1"/>
  <c r="I63" i="54"/>
  <c r="I59" i="54"/>
  <c r="I66" i="54"/>
  <c r="I67" i="54"/>
  <c r="I62" i="54"/>
  <c r="I64" i="54"/>
  <c r="I61" i="54"/>
  <c r="I58" i="54"/>
  <c r="I57" i="54"/>
  <c r="I69" i="54"/>
  <c r="I65" i="54"/>
  <c r="I103" i="54" s="1"/>
  <c r="I60" i="54"/>
  <c r="I98" i="54" s="1"/>
  <c r="I68" i="54"/>
  <c r="H78" i="54"/>
  <c r="H98" i="54"/>
  <c r="I78" i="54"/>
  <c r="H106" i="54"/>
  <c r="J6" i="56"/>
  <c r="I18" i="56"/>
  <c r="H30" i="46" s="1"/>
  <c r="J24" i="55"/>
  <c r="I28" i="55"/>
  <c r="I39" i="55" s="1"/>
  <c r="I50" i="55" s="1"/>
  <c r="I30" i="55"/>
  <c r="I31" i="55"/>
  <c r="I42" i="55" s="1"/>
  <c r="I53" i="55" s="1"/>
  <c r="I29" i="55"/>
  <c r="I40" i="55" s="1"/>
  <c r="I51" i="55" s="1"/>
  <c r="H88" i="54"/>
  <c r="I88" i="54"/>
  <c r="G106" i="54"/>
  <c r="I105" i="54"/>
  <c r="J80" i="54"/>
  <c r="H14" i="59"/>
  <c r="I9" i="59"/>
  <c r="I9" i="57"/>
  <c r="I85" i="54"/>
  <c r="H10" i="59"/>
  <c r="H15" i="59" s="1"/>
  <c r="H9" i="58"/>
  <c r="H10" i="58" s="1"/>
  <c r="H12" i="58" s="1"/>
  <c r="F49" i="46" s="1"/>
  <c r="H10" i="57"/>
  <c r="H11" i="57" s="1"/>
  <c r="H13" i="57" s="1"/>
  <c r="F50" i="46" s="1"/>
  <c r="G10" i="58"/>
  <c r="G12" i="58" s="1"/>
  <c r="G11" i="59"/>
  <c r="J87" i="54"/>
  <c r="I101" i="54"/>
  <c r="I81" i="54"/>
  <c r="J76" i="54"/>
  <c r="I99" i="54"/>
  <c r="G16" i="59"/>
  <c r="E51" i="46" s="1"/>
  <c r="J82" i="54"/>
  <c r="I95" i="54"/>
  <c r="J88" i="54"/>
  <c r="I77" i="54"/>
  <c r="J86" i="54"/>
  <c r="J78" i="54"/>
  <c r="I27" i="55"/>
  <c r="I18" i="55"/>
  <c r="I106" i="54"/>
  <c r="K5" i="57"/>
  <c r="H83" i="54"/>
  <c r="G95" i="54"/>
  <c r="G99" i="54"/>
  <c r="F108" i="54"/>
  <c r="H99" i="54"/>
  <c r="G104" i="54"/>
  <c r="G89" i="54"/>
  <c r="F27" i="46" s="1"/>
  <c r="E27" i="46"/>
  <c r="E8" i="70"/>
  <c r="E14" i="70" s="1"/>
  <c r="E21" i="46" s="1"/>
  <c r="D56" i="46"/>
  <c r="G9" i="65"/>
  <c r="E19" i="46"/>
  <c r="G100" i="54"/>
  <c r="G96" i="54"/>
  <c r="G102" i="54"/>
  <c r="H105" i="54"/>
  <c r="G41" i="55"/>
  <c r="G52" i="55" s="1"/>
  <c r="G42" i="55"/>
  <c r="G53" i="55" s="1"/>
  <c r="G38" i="55"/>
  <c r="G49" i="55" s="1"/>
  <c r="G32" i="55"/>
  <c r="G40" i="55"/>
  <c r="G51" i="55" s="1"/>
  <c r="H28" i="55"/>
  <c r="H31" i="55"/>
  <c r="H27" i="55"/>
  <c r="H30" i="55"/>
  <c r="H29" i="55"/>
  <c r="F54" i="55"/>
  <c r="G39" i="55"/>
  <c r="G50" i="55" s="1"/>
  <c r="F43" i="55"/>
  <c r="E28" i="46" s="1"/>
  <c r="H81" i="54"/>
  <c r="H103" i="54"/>
  <c r="H77" i="54"/>
  <c r="H13" i="54"/>
  <c r="I8" i="27" s="1"/>
  <c r="H85" i="54"/>
  <c r="G70" i="54"/>
  <c r="F18" i="46" s="1"/>
  <c r="H95" i="54"/>
  <c r="H101" i="54"/>
  <c r="I97" i="54" l="1"/>
  <c r="K54" i="54"/>
  <c r="K82" i="54" s="1"/>
  <c r="J59" i="54"/>
  <c r="J97" i="54" s="1"/>
  <c r="J60" i="54"/>
  <c r="J57" i="54"/>
  <c r="J66" i="54"/>
  <c r="J58" i="54"/>
  <c r="J65" i="54"/>
  <c r="J61" i="54"/>
  <c r="J99" i="54" s="1"/>
  <c r="J68" i="54"/>
  <c r="J64" i="54"/>
  <c r="J62" i="54"/>
  <c r="J69" i="54"/>
  <c r="J67" i="54"/>
  <c r="J105" i="54" s="1"/>
  <c r="J63" i="54"/>
  <c r="J101" i="54" s="1"/>
  <c r="J79" i="54"/>
  <c r="J84" i="54"/>
  <c r="H97" i="54"/>
  <c r="H107" i="54"/>
  <c r="H102" i="54"/>
  <c r="I107" i="54"/>
  <c r="K24" i="55"/>
  <c r="J28" i="55"/>
  <c r="J39" i="55" s="1"/>
  <c r="J50" i="55" s="1"/>
  <c r="J30" i="55"/>
  <c r="J41" i="55" s="1"/>
  <c r="J52" i="55" s="1"/>
  <c r="J31" i="55"/>
  <c r="J42" i="55" s="1"/>
  <c r="J53" i="55" s="1"/>
  <c r="J29" i="55"/>
  <c r="J40" i="55" s="1"/>
  <c r="J51" i="55" s="1"/>
  <c r="I41" i="55"/>
  <c r="I52" i="55" s="1"/>
  <c r="J18" i="56"/>
  <c r="I30" i="46" s="1"/>
  <c r="K6" i="56"/>
  <c r="J106" i="54"/>
  <c r="I100" i="54"/>
  <c r="I96" i="54"/>
  <c r="I10" i="57"/>
  <c r="I11" i="57" s="1"/>
  <c r="I13" i="57" s="1"/>
  <c r="G50" i="46" s="1"/>
  <c r="I10" i="59"/>
  <c r="I15" i="59" s="1"/>
  <c r="I9" i="58"/>
  <c r="J27" i="55"/>
  <c r="J18" i="55"/>
  <c r="J77" i="54"/>
  <c r="J95" i="54"/>
  <c r="I104" i="54"/>
  <c r="H16" i="59"/>
  <c r="F51" i="46" s="1"/>
  <c r="K80" i="54"/>
  <c r="I38" i="55"/>
  <c r="I43" i="55" s="1"/>
  <c r="H28" i="46" s="1"/>
  <c r="I32" i="55"/>
  <c r="K88" i="54"/>
  <c r="J81" i="54"/>
  <c r="I14" i="59"/>
  <c r="K76" i="54"/>
  <c r="J107" i="54"/>
  <c r="K87" i="54"/>
  <c r="J85" i="54"/>
  <c r="H11" i="59"/>
  <c r="K78" i="54"/>
  <c r="J13" i="54"/>
  <c r="K8" i="27" s="1"/>
  <c r="I83" i="54"/>
  <c r="I89" i="54" s="1"/>
  <c r="I70" i="54"/>
  <c r="H18" i="46" s="1"/>
  <c r="J9" i="57"/>
  <c r="J9" i="59"/>
  <c r="K86" i="54"/>
  <c r="E49" i="46"/>
  <c r="L5" i="57"/>
  <c r="I13" i="54"/>
  <c r="J8" i="27" s="1"/>
  <c r="F8" i="70"/>
  <c r="F14" i="70" s="1"/>
  <c r="F21" i="46" s="1"/>
  <c r="H100" i="54"/>
  <c r="G108" i="54"/>
  <c r="H89" i="54"/>
  <c r="H9" i="65"/>
  <c r="H10" i="65" s="1"/>
  <c r="I12" i="65" s="1"/>
  <c r="G56" i="46" s="1"/>
  <c r="F19" i="46"/>
  <c r="G10" i="65"/>
  <c r="H12" i="65" s="1"/>
  <c r="H96" i="54"/>
  <c r="H70" i="54"/>
  <c r="G18" i="46" s="1"/>
  <c r="H104" i="54"/>
  <c r="G54" i="55"/>
  <c r="H32" i="55"/>
  <c r="H38" i="55"/>
  <c r="H42" i="55"/>
  <c r="H53" i="55" s="1"/>
  <c r="H40" i="55"/>
  <c r="H51" i="55" s="1"/>
  <c r="H39" i="55"/>
  <c r="H50" i="55" s="1"/>
  <c r="H41" i="55"/>
  <c r="H52" i="55" s="1"/>
  <c r="G43" i="55"/>
  <c r="F28" i="46" s="1"/>
  <c r="L54" i="54" l="1"/>
  <c r="K62" i="54"/>
  <c r="K66" i="54"/>
  <c r="K67" i="54"/>
  <c r="K105" i="54" s="1"/>
  <c r="K60" i="54"/>
  <c r="K68" i="54"/>
  <c r="K61" i="54"/>
  <c r="K63" i="54"/>
  <c r="K101" i="54" s="1"/>
  <c r="K65" i="54"/>
  <c r="K69" i="54"/>
  <c r="K64" i="54"/>
  <c r="K59" i="54"/>
  <c r="K97" i="54" s="1"/>
  <c r="K57" i="54"/>
  <c r="K58" i="54"/>
  <c r="K79" i="54"/>
  <c r="K84" i="54"/>
  <c r="J103" i="54"/>
  <c r="J98" i="54"/>
  <c r="K18" i="56"/>
  <c r="J30" i="46" s="1"/>
  <c r="L6" i="56"/>
  <c r="L24" i="55"/>
  <c r="K30" i="55"/>
  <c r="K41" i="55" s="1"/>
  <c r="K52" i="55" s="1"/>
  <c r="K28" i="55"/>
  <c r="K39" i="55" s="1"/>
  <c r="K50" i="55" s="1"/>
  <c r="K31" i="55"/>
  <c r="K42" i="55" s="1"/>
  <c r="K53" i="55" s="1"/>
  <c r="K29" i="55"/>
  <c r="K40" i="55" s="1"/>
  <c r="K51" i="55" s="1"/>
  <c r="K99" i="54"/>
  <c r="H8" i="70"/>
  <c r="H14" i="70" s="1"/>
  <c r="H21" i="46" s="1"/>
  <c r="H27" i="46"/>
  <c r="J9" i="65"/>
  <c r="J10" i="65" s="1"/>
  <c r="K12" i="65" s="1"/>
  <c r="I56" i="46" s="1"/>
  <c r="H19" i="46"/>
  <c r="J104" i="54"/>
  <c r="I11" i="59"/>
  <c r="I49" i="55"/>
  <c r="I54" i="55" s="1"/>
  <c r="J96" i="54"/>
  <c r="I16" i="59"/>
  <c r="G51" i="46" s="1"/>
  <c r="J10" i="57"/>
  <c r="J11" i="57" s="1"/>
  <c r="J13" i="57" s="1"/>
  <c r="H50" i="46" s="1"/>
  <c r="J10" i="59"/>
  <c r="J15" i="59" s="1"/>
  <c r="J9" i="58"/>
  <c r="J10" i="58" s="1"/>
  <c r="J12" i="58" s="1"/>
  <c r="H49" i="46" s="1"/>
  <c r="K9" i="57"/>
  <c r="K9" i="59"/>
  <c r="K10" i="59"/>
  <c r="K15" i="59" s="1"/>
  <c r="K9" i="58"/>
  <c r="K10" i="58" s="1"/>
  <c r="K12" i="58" s="1"/>
  <c r="I49" i="46" s="1"/>
  <c r="K10" i="57"/>
  <c r="L86" i="54"/>
  <c r="I102" i="54"/>
  <c r="I108" i="54" s="1"/>
  <c r="L87" i="54"/>
  <c r="K95" i="54"/>
  <c r="J100" i="54"/>
  <c r="L88" i="54"/>
  <c r="K77" i="54"/>
  <c r="J38" i="55"/>
  <c r="J43" i="55" s="1"/>
  <c r="I28" i="46" s="1"/>
  <c r="J32" i="55"/>
  <c r="L76" i="54"/>
  <c r="L78" i="54"/>
  <c r="K85" i="54"/>
  <c r="K81" i="54"/>
  <c r="I10" i="58"/>
  <c r="I12" i="58" s="1"/>
  <c r="J14" i="59"/>
  <c r="J83" i="54"/>
  <c r="J89" i="54" s="1"/>
  <c r="J70" i="54"/>
  <c r="I18" i="46" s="1"/>
  <c r="K106" i="54"/>
  <c r="K107" i="54"/>
  <c r="L80" i="54"/>
  <c r="K27" i="55"/>
  <c r="K18" i="55"/>
  <c r="L82" i="54"/>
  <c r="M5" i="57"/>
  <c r="H108" i="54"/>
  <c r="G27" i="46"/>
  <c r="G8" i="70"/>
  <c r="G14" i="70" s="1"/>
  <c r="G21" i="46" s="1"/>
  <c r="F56" i="46"/>
  <c r="H43" i="55"/>
  <c r="G28" i="46" s="1"/>
  <c r="I9" i="65"/>
  <c r="I10" i="65" s="1"/>
  <c r="J12" i="65" s="1"/>
  <c r="H56" i="46" s="1"/>
  <c r="G19" i="46"/>
  <c r="H49" i="55"/>
  <c r="H54" i="55" s="1"/>
  <c r="K103" i="54" l="1"/>
  <c r="K98" i="54"/>
  <c r="M54" i="54"/>
  <c r="L59" i="54"/>
  <c r="L63" i="54"/>
  <c r="L57" i="54"/>
  <c r="L95" i="54" s="1"/>
  <c r="L68" i="54"/>
  <c r="L65" i="54"/>
  <c r="L61" i="54"/>
  <c r="L62" i="54"/>
  <c r="L64" i="54"/>
  <c r="L58" i="54"/>
  <c r="L67" i="54"/>
  <c r="L69" i="54"/>
  <c r="L107" i="54" s="1"/>
  <c r="L66" i="54"/>
  <c r="L60" i="54"/>
  <c r="L84" i="54"/>
  <c r="L79" i="54"/>
  <c r="M24" i="55"/>
  <c r="L28" i="55"/>
  <c r="L39" i="55" s="1"/>
  <c r="L50" i="55" s="1"/>
  <c r="L31" i="55"/>
  <c r="L42" i="55" s="1"/>
  <c r="L53" i="55" s="1"/>
  <c r="L30" i="55"/>
  <c r="L41" i="55" s="1"/>
  <c r="L52" i="55" s="1"/>
  <c r="L29" i="55"/>
  <c r="L40" i="55" s="1"/>
  <c r="L51" i="55" s="1"/>
  <c r="L18" i="56"/>
  <c r="K30" i="46" s="1"/>
  <c r="M6" i="56"/>
  <c r="M18" i="56" s="1"/>
  <c r="L30" i="46" s="1"/>
  <c r="J49" i="55"/>
  <c r="J54" i="55" s="1"/>
  <c r="I8" i="70"/>
  <c r="I14" i="70" s="1"/>
  <c r="I21" i="46" s="1"/>
  <c r="I27" i="46"/>
  <c r="K100" i="54"/>
  <c r="K9" i="65"/>
  <c r="K10" i="65" s="1"/>
  <c r="L12" i="65" s="1"/>
  <c r="J56" i="46" s="1"/>
  <c r="I19" i="46"/>
  <c r="J16" i="59"/>
  <c r="H51" i="46" s="1"/>
  <c r="K104" i="54"/>
  <c r="K96" i="54"/>
  <c r="J11" i="59"/>
  <c r="L97" i="54"/>
  <c r="M87" i="54"/>
  <c r="M76" i="54"/>
  <c r="L101" i="54"/>
  <c r="K38" i="55"/>
  <c r="K43" i="55" s="1"/>
  <c r="J28" i="46" s="1"/>
  <c r="K32" i="55"/>
  <c r="K83" i="54"/>
  <c r="K89" i="54" s="1"/>
  <c r="K13" i="54"/>
  <c r="L8" i="27" s="1"/>
  <c r="M78" i="54"/>
  <c r="M88" i="54"/>
  <c r="K11" i="59"/>
  <c r="K14" i="59"/>
  <c r="K16" i="59" s="1"/>
  <c r="I51" i="46" s="1"/>
  <c r="L27" i="55"/>
  <c r="L18" i="55"/>
  <c r="M80" i="54"/>
  <c r="M86" i="54"/>
  <c r="M82" i="54"/>
  <c r="L99" i="54"/>
  <c r="L81" i="54"/>
  <c r="L85" i="54"/>
  <c r="L77" i="54"/>
  <c r="L106" i="54"/>
  <c r="L105" i="54"/>
  <c r="K11" i="57"/>
  <c r="K13" i="57" s="1"/>
  <c r="I50" i="46" s="1"/>
  <c r="L9" i="59"/>
  <c r="L9" i="57"/>
  <c r="J102" i="54"/>
  <c r="J108" i="54" s="1"/>
  <c r="G49" i="46"/>
  <c r="N5" i="57"/>
  <c r="G17" i="53"/>
  <c r="F17" i="53"/>
  <c r="E17" i="53"/>
  <c r="D17" i="53"/>
  <c r="L98" i="54" l="1"/>
  <c r="L103" i="54"/>
  <c r="M68" i="54"/>
  <c r="M106" i="54" s="1"/>
  <c r="M62" i="54"/>
  <c r="M60" i="54"/>
  <c r="M67" i="54"/>
  <c r="M105" i="54" s="1"/>
  <c r="M58" i="54"/>
  <c r="M63" i="54"/>
  <c r="M101" i="54" s="1"/>
  <c r="M65" i="54"/>
  <c r="M57" i="54"/>
  <c r="M61" i="54"/>
  <c r="M99" i="54" s="1"/>
  <c r="M59" i="54"/>
  <c r="M97" i="54" s="1"/>
  <c r="M66" i="54"/>
  <c r="M64" i="54"/>
  <c r="M69" i="54"/>
  <c r="M107" i="54" s="1"/>
  <c r="M79" i="54"/>
  <c r="M84" i="54"/>
  <c r="M31" i="55"/>
  <c r="M42" i="55" s="1"/>
  <c r="M53" i="55" s="1"/>
  <c r="M30" i="55"/>
  <c r="M41" i="55" s="1"/>
  <c r="M52" i="55" s="1"/>
  <c r="M28" i="55"/>
  <c r="M39" i="55" s="1"/>
  <c r="M50" i="55" s="1"/>
  <c r="M29" i="55"/>
  <c r="M40" i="55" s="1"/>
  <c r="M51" i="55" s="1"/>
  <c r="J8" i="70"/>
  <c r="J14" i="70" s="1"/>
  <c r="J21" i="46" s="1"/>
  <c r="J27" i="46"/>
  <c r="L9" i="65"/>
  <c r="L10" i="65" s="1"/>
  <c r="M12" i="65" s="1"/>
  <c r="K56" i="46" s="1"/>
  <c r="J19" i="46"/>
  <c r="L104" i="54"/>
  <c r="K102" i="54"/>
  <c r="K108" i="54" s="1"/>
  <c r="M95" i="54"/>
  <c r="M77" i="54"/>
  <c r="M81" i="54"/>
  <c r="L32" i="55"/>
  <c r="L38" i="55"/>
  <c r="L43" i="55" s="1"/>
  <c r="K28" i="46" s="1"/>
  <c r="L70" i="54"/>
  <c r="K18" i="46" s="1"/>
  <c r="L83" i="54"/>
  <c r="L89" i="54" s="1"/>
  <c r="L13" i="54"/>
  <c r="M8" i="27" s="1"/>
  <c r="M18" i="55"/>
  <c r="M27" i="55"/>
  <c r="K70" i="54"/>
  <c r="J18" i="46" s="1"/>
  <c r="L14" i="59"/>
  <c r="M85" i="54"/>
  <c r="L10" i="59"/>
  <c r="L15" i="59" s="1"/>
  <c r="L9" i="58"/>
  <c r="L10" i="57"/>
  <c r="L11" i="57" s="1"/>
  <c r="L13" i="57" s="1"/>
  <c r="J50" i="46" s="1"/>
  <c r="K49" i="55"/>
  <c r="K54" i="55" s="1"/>
  <c r="L96" i="54"/>
  <c r="L100" i="54"/>
  <c r="M9" i="57"/>
  <c r="M9" i="59"/>
  <c r="C18" i="53"/>
  <c r="C35" i="46" s="1"/>
  <c r="D18" i="53"/>
  <c r="D35" i="46" s="1"/>
  <c r="E18" i="53"/>
  <c r="E35" i="46" s="1"/>
  <c r="M103" i="54" l="1"/>
  <c r="M98" i="54"/>
  <c r="K8" i="70"/>
  <c r="K14" i="70" s="1"/>
  <c r="K21" i="46" s="1"/>
  <c r="K27" i="46"/>
  <c r="M9" i="65"/>
  <c r="M10" i="65" s="1"/>
  <c r="N12" i="65" s="1"/>
  <c r="L56" i="46" s="1"/>
  <c r="K19" i="46"/>
  <c r="M104" i="54"/>
  <c r="L102" i="54"/>
  <c r="L108" i="54" s="1"/>
  <c r="L11" i="59"/>
  <c r="M14" i="59"/>
  <c r="L49" i="55"/>
  <c r="L54" i="55" s="1"/>
  <c r="M96" i="54"/>
  <c r="M10" i="57"/>
  <c r="M11" i="57" s="1"/>
  <c r="M13" i="57" s="1"/>
  <c r="K50" i="46" s="1"/>
  <c r="M10" i="59"/>
  <c r="M15" i="59" s="1"/>
  <c r="M9" i="58"/>
  <c r="M10" i="58" s="1"/>
  <c r="M12" i="58" s="1"/>
  <c r="K49" i="46" s="1"/>
  <c r="M38" i="55"/>
  <c r="M43" i="55" s="1"/>
  <c r="L28" i="46" s="1"/>
  <c r="M32" i="55"/>
  <c r="L10" i="58"/>
  <c r="L12" i="58" s="1"/>
  <c r="J49" i="46" s="1"/>
  <c r="L16" i="59"/>
  <c r="J51" i="46" s="1"/>
  <c r="N9" i="57"/>
  <c r="N9" i="59"/>
  <c r="M83" i="54"/>
  <c r="M89" i="54" s="1"/>
  <c r="M13" i="54"/>
  <c r="N8" i="27" s="1"/>
  <c r="M100" i="54"/>
  <c r="F18" i="53"/>
  <c r="F35" i="46" s="1"/>
  <c r="G18" i="53" l="1"/>
  <c r="G35" i="46" s="1"/>
  <c r="L8" i="70"/>
  <c r="L14" i="70" s="1"/>
  <c r="L21" i="46" s="1"/>
  <c r="L27" i="46"/>
  <c r="N9" i="65"/>
  <c r="N10" i="65" s="1"/>
  <c r="L19" i="46"/>
  <c r="M102" i="54"/>
  <c r="M108" i="54" s="1"/>
  <c r="M49" i="55"/>
  <c r="M54" i="55" s="1"/>
  <c r="M16" i="59"/>
  <c r="K51" i="46" s="1"/>
  <c r="N14" i="59"/>
  <c r="M70" i="54"/>
  <c r="L18" i="46" s="1"/>
  <c r="M11" i="59"/>
  <c r="N10" i="57"/>
  <c r="N11" i="57" s="1"/>
  <c r="N13" i="57" s="1"/>
  <c r="L50" i="46" s="1"/>
  <c r="N9" i="58"/>
  <c r="N10" i="59"/>
  <c r="N15" i="59" s="1"/>
  <c r="G24" i="51"/>
  <c r="L23" i="51"/>
  <c r="Q7" i="51" s="1"/>
  <c r="J22" i="51"/>
  <c r="I22" i="51"/>
  <c r="J21" i="51"/>
  <c r="I21" i="51"/>
  <c r="K20" i="51"/>
  <c r="L20" i="51" s="1"/>
  <c r="K19" i="51"/>
  <c r="L19" i="51" s="1"/>
  <c r="J18" i="51"/>
  <c r="I18" i="51"/>
  <c r="J17" i="51"/>
  <c r="I17" i="51"/>
  <c r="J16" i="51"/>
  <c r="I16" i="51"/>
  <c r="J15" i="51"/>
  <c r="I15" i="51"/>
  <c r="K14" i="51"/>
  <c r="L14" i="51" s="1"/>
  <c r="H13" i="51"/>
  <c r="J13" i="51" s="1"/>
  <c r="H12" i="51"/>
  <c r="J12" i="51" s="1"/>
  <c r="H11" i="51"/>
  <c r="J11" i="51" s="1"/>
  <c r="H10" i="51"/>
  <c r="I10" i="51" s="1"/>
  <c r="J9" i="51"/>
  <c r="I9" i="51"/>
  <c r="J8" i="51"/>
  <c r="I8" i="51"/>
  <c r="J7" i="51"/>
  <c r="I7" i="51"/>
  <c r="H9" i="53" l="1"/>
  <c r="H18" i="53" s="1"/>
  <c r="H35" i="46" s="1"/>
  <c r="K15" i="51"/>
  <c r="L15" i="51" s="1"/>
  <c r="K17" i="51"/>
  <c r="L17" i="51" s="1"/>
  <c r="N11" i="59"/>
  <c r="N16" i="59"/>
  <c r="L51" i="46" s="1"/>
  <c r="N10" i="58"/>
  <c r="N12" i="58" s="1"/>
  <c r="O9" i="58"/>
  <c r="O10" i="58" s="1"/>
  <c r="K22" i="51"/>
  <c r="L22" i="51" s="1"/>
  <c r="R7" i="51"/>
  <c r="E39" i="46"/>
  <c r="I11" i="51"/>
  <c r="K11" i="51" s="1"/>
  <c r="M11" i="51" s="1"/>
  <c r="K9" i="51"/>
  <c r="L9" i="51" s="1"/>
  <c r="K8" i="51"/>
  <c r="L8" i="51" s="1"/>
  <c r="J10" i="51"/>
  <c r="J24" i="51" s="1"/>
  <c r="K16" i="51"/>
  <c r="L16" i="51" s="1"/>
  <c r="K18" i="51"/>
  <c r="L18" i="51" s="1"/>
  <c r="K21" i="51"/>
  <c r="L21" i="51" s="1"/>
  <c r="I12" i="51"/>
  <c r="K12" i="51" s="1"/>
  <c r="M12" i="51" s="1"/>
  <c r="I13" i="51"/>
  <c r="K13" i="51" s="1"/>
  <c r="M13" i="51" s="1"/>
  <c r="H24" i="51"/>
  <c r="K7" i="51"/>
  <c r="I18" i="53" l="1"/>
  <c r="I35" i="46" s="1"/>
  <c r="O12" i="58"/>
  <c r="L49" i="46"/>
  <c r="S7" i="51"/>
  <c r="F39" i="46"/>
  <c r="K10" i="51"/>
  <c r="M10" i="51" s="1"/>
  <c r="M24" i="51" s="1"/>
  <c r="P7" i="51" s="1"/>
  <c r="D39" i="46" s="1"/>
  <c r="L7" i="51"/>
  <c r="L24" i="51" s="1"/>
  <c r="O7" i="51" s="1"/>
  <c r="C39" i="46" s="1"/>
  <c r="I24" i="51"/>
  <c r="G39" i="46" l="1"/>
  <c r="T7" i="51"/>
  <c r="J18" i="53"/>
  <c r="J35" i="46" s="1"/>
  <c r="K24" i="51"/>
  <c r="H42" i="50"/>
  <c r="I42" i="50" s="1"/>
  <c r="J42" i="50" s="1"/>
  <c r="L42" i="50" s="1"/>
  <c r="H41" i="50"/>
  <c r="I41" i="50" s="1"/>
  <c r="J41" i="50" s="1"/>
  <c r="L41" i="50" s="1"/>
  <c r="H40" i="50"/>
  <c r="I40" i="50" s="1"/>
  <c r="J40" i="50" s="1"/>
  <c r="L40" i="50" s="1"/>
  <c r="H39" i="50"/>
  <c r="I39" i="50" s="1"/>
  <c r="J39" i="50" s="1"/>
  <c r="H38" i="50"/>
  <c r="I38" i="50" s="1"/>
  <c r="J38" i="50" s="1"/>
  <c r="H37" i="50"/>
  <c r="I37" i="50" s="1"/>
  <c r="I36" i="50"/>
  <c r="J36" i="50" s="1"/>
  <c r="I35" i="50"/>
  <c r="J35" i="50" s="1"/>
  <c r="I34" i="50"/>
  <c r="J34" i="50" s="1"/>
  <c r="I33" i="50"/>
  <c r="J33" i="50" s="1"/>
  <c r="I32" i="50"/>
  <c r="J32" i="50" s="1"/>
  <c r="I31" i="50"/>
  <c r="J31" i="50" s="1"/>
  <c r="I30" i="50"/>
  <c r="K30" i="50" s="1"/>
  <c r="I29" i="50"/>
  <c r="K29" i="50" s="1"/>
  <c r="I28" i="50"/>
  <c r="K28" i="50" s="1"/>
  <c r="I27" i="50"/>
  <c r="K27" i="50" s="1"/>
  <c r="I26" i="50"/>
  <c r="K26" i="50" s="1"/>
  <c r="I25" i="50"/>
  <c r="K25" i="50" s="1"/>
  <c r="I24" i="50"/>
  <c r="K24" i="50" s="1"/>
  <c r="I23" i="50"/>
  <c r="K23" i="50" s="1"/>
  <c r="I22" i="50"/>
  <c r="K22" i="50" s="1"/>
  <c r="I21" i="50"/>
  <c r="K21" i="50" s="1"/>
  <c r="I20" i="50"/>
  <c r="K20" i="50" s="1"/>
  <c r="I19" i="50"/>
  <c r="K19" i="50" s="1"/>
  <c r="I18" i="50"/>
  <c r="K18" i="50" s="1"/>
  <c r="I17" i="50"/>
  <c r="K17" i="50" s="1"/>
  <c r="I16" i="50"/>
  <c r="K16" i="50" s="1"/>
  <c r="I15" i="50"/>
  <c r="K15" i="50" s="1"/>
  <c r="I14" i="50"/>
  <c r="K14" i="50" s="1"/>
  <c r="I13" i="50"/>
  <c r="K13" i="50" s="1"/>
  <c r="I12" i="50"/>
  <c r="K12" i="50" s="1"/>
  <c r="I11" i="50"/>
  <c r="K11" i="50" s="1"/>
  <c r="I10" i="50"/>
  <c r="K10" i="50" s="1"/>
  <c r="I9" i="50"/>
  <c r="K9" i="50" s="1"/>
  <c r="I8" i="50"/>
  <c r="K8" i="50" s="1"/>
  <c r="L18" i="53" l="1"/>
  <c r="L35" i="46" s="1"/>
  <c r="K18" i="53"/>
  <c r="K35" i="46" s="1"/>
  <c r="U7" i="51"/>
  <c r="H39" i="46"/>
  <c r="K32" i="50"/>
  <c r="L32" i="50" s="1"/>
  <c r="K39" i="50"/>
  <c r="L39" i="50" s="1"/>
  <c r="K33" i="50"/>
  <c r="L33" i="50" s="1"/>
  <c r="J37" i="50"/>
  <c r="I44" i="50"/>
  <c r="K34" i="50"/>
  <c r="L34" i="50" s="1"/>
  <c r="K36" i="50"/>
  <c r="L36" i="50" s="1"/>
  <c r="K38" i="50"/>
  <c r="L38" i="50" s="1"/>
  <c r="K31" i="50"/>
  <c r="L31" i="50" s="1"/>
  <c r="K35" i="50"/>
  <c r="L35" i="50" s="1"/>
  <c r="J8" i="50"/>
  <c r="J9" i="50"/>
  <c r="L9" i="50" s="1"/>
  <c r="J10" i="50"/>
  <c r="L10" i="50" s="1"/>
  <c r="J11" i="50"/>
  <c r="L11" i="50" s="1"/>
  <c r="J12" i="50"/>
  <c r="L12" i="50" s="1"/>
  <c r="J13" i="50"/>
  <c r="L13" i="50" s="1"/>
  <c r="J14" i="50"/>
  <c r="L14" i="50" s="1"/>
  <c r="J15" i="50"/>
  <c r="L15" i="50" s="1"/>
  <c r="J16" i="50"/>
  <c r="L16" i="50" s="1"/>
  <c r="J17" i="50"/>
  <c r="L17" i="50" s="1"/>
  <c r="J18" i="50"/>
  <c r="L18" i="50" s="1"/>
  <c r="J19" i="50"/>
  <c r="L19" i="50" s="1"/>
  <c r="J20" i="50"/>
  <c r="L20" i="50" s="1"/>
  <c r="J21" i="50"/>
  <c r="L21" i="50" s="1"/>
  <c r="J22" i="50"/>
  <c r="L22" i="50" s="1"/>
  <c r="J23" i="50"/>
  <c r="L23" i="50" s="1"/>
  <c r="J24" i="50"/>
  <c r="L24" i="50" s="1"/>
  <c r="J25" i="50"/>
  <c r="L25" i="50" s="1"/>
  <c r="J26" i="50"/>
  <c r="L26" i="50" s="1"/>
  <c r="J27" i="50"/>
  <c r="L27" i="50" s="1"/>
  <c r="J28" i="50"/>
  <c r="L28" i="50" s="1"/>
  <c r="J29" i="50"/>
  <c r="L29" i="50" s="1"/>
  <c r="J30" i="50"/>
  <c r="L30" i="50" s="1"/>
  <c r="V7" i="51" l="1"/>
  <c r="I39" i="46"/>
  <c r="J44" i="50"/>
  <c r="L8" i="50"/>
  <c r="K37" i="50"/>
  <c r="K44" i="50" s="1"/>
  <c r="W7" i="51" l="1"/>
  <c r="J39" i="46"/>
  <c r="L37" i="50"/>
  <c r="L44" i="50" s="1"/>
  <c r="N7" i="50" s="1"/>
  <c r="X7" i="51" l="1"/>
  <c r="L39" i="46" s="1"/>
  <c r="K39" i="46"/>
  <c r="O7" i="50"/>
  <c r="P7" i="50" s="1"/>
  <c r="C54" i="46"/>
  <c r="F110" i="49"/>
  <c r="F111" i="49" s="1"/>
  <c r="J8" i="49"/>
  <c r="D54" i="46" l="1"/>
  <c r="Q7" i="50"/>
  <c r="E54" i="46"/>
  <c r="K8" i="49"/>
  <c r="D53" i="46"/>
  <c r="E514" i="48"/>
  <c r="R7" i="50" l="1"/>
  <c r="F54" i="46"/>
  <c r="L8" i="49"/>
  <c r="E53" i="46"/>
  <c r="E515" i="48"/>
  <c r="E516" i="48" s="1"/>
  <c r="J8" i="48" s="1"/>
  <c r="G54" i="46" l="1"/>
  <c r="S7" i="50"/>
  <c r="K8" i="48"/>
  <c r="C43" i="46"/>
  <c r="M8" i="49"/>
  <c r="F53" i="46"/>
  <c r="L8" i="48"/>
  <c r="D43" i="46"/>
  <c r="E187" i="47"/>
  <c r="E188" i="47" s="1"/>
  <c r="E190" i="47" s="1"/>
  <c r="J7" i="47"/>
  <c r="T7" i="50" l="1"/>
  <c r="H54" i="46"/>
  <c r="G53" i="46"/>
  <c r="N8" i="49"/>
  <c r="M8" i="48"/>
  <c r="E43" i="46"/>
  <c r="K7" i="47"/>
  <c r="D42" i="46"/>
  <c r="E324" i="45"/>
  <c r="O8" i="49" l="1"/>
  <c r="H53" i="46"/>
  <c r="U7" i="50"/>
  <c r="I54" i="46"/>
  <c r="N8" i="48"/>
  <c r="F43" i="46"/>
  <c r="L7" i="47"/>
  <c r="E42" i="46"/>
  <c r="E325" i="45"/>
  <c r="E326" i="45" s="1"/>
  <c r="V7" i="50" l="1"/>
  <c r="J54" i="46"/>
  <c r="G43" i="46"/>
  <c r="O8" i="48"/>
  <c r="P8" i="49"/>
  <c r="I53" i="46"/>
  <c r="M7" i="47"/>
  <c r="F42" i="46"/>
  <c r="E327" i="45"/>
  <c r="E328" i="45" s="1"/>
  <c r="I7" i="45" s="1"/>
  <c r="G42" i="46" l="1"/>
  <c r="N7" i="47"/>
  <c r="P8" i="48"/>
  <c r="H43" i="46"/>
  <c r="Q8" i="49"/>
  <c r="J53" i="46"/>
  <c r="W7" i="50"/>
  <c r="L54" i="46" s="1"/>
  <c r="K54" i="46"/>
  <c r="J7" i="45"/>
  <c r="K7" i="45" s="1"/>
  <c r="C41" i="46"/>
  <c r="D41" i="46"/>
  <c r="E546" i="44"/>
  <c r="E547" i="44" s="1"/>
  <c r="E549" i="44" s="1"/>
  <c r="J8" i="44"/>
  <c r="Q8" i="48" l="1"/>
  <c r="I43" i="46"/>
  <c r="H42" i="46"/>
  <c r="O7" i="47"/>
  <c r="R8" i="49"/>
  <c r="L53" i="46" s="1"/>
  <c r="K53" i="46"/>
  <c r="L7" i="45"/>
  <c r="E41" i="46"/>
  <c r="K8" i="44"/>
  <c r="D40" i="46"/>
  <c r="E78" i="43"/>
  <c r="J7" i="43" s="1"/>
  <c r="P7" i="47" l="1"/>
  <c r="I42" i="46"/>
  <c r="R8" i="48"/>
  <c r="J43" i="46"/>
  <c r="K7" i="43"/>
  <c r="L7" i="43" s="1"/>
  <c r="C45" i="46"/>
  <c r="M7" i="45"/>
  <c r="F41" i="46"/>
  <c r="L8" i="44"/>
  <c r="E40" i="46"/>
  <c r="D45" i="46"/>
  <c r="G106" i="42"/>
  <c r="F106" i="42"/>
  <c r="E106" i="42"/>
  <c r="D106" i="42"/>
  <c r="C106" i="42"/>
  <c r="C103" i="42"/>
  <c r="D102" i="42"/>
  <c r="E102" i="42" s="1"/>
  <c r="F102" i="42" s="1"/>
  <c r="G102" i="42" s="1"/>
  <c r="H102" i="42" s="1"/>
  <c r="I102" i="42" s="1"/>
  <c r="J102" i="42" s="1"/>
  <c r="K102" i="42" s="1"/>
  <c r="L102" i="42" s="1"/>
  <c r="D101" i="42"/>
  <c r="C100" i="42"/>
  <c r="D99" i="42"/>
  <c r="E99" i="42" s="1"/>
  <c r="F99" i="42" s="1"/>
  <c r="G99" i="42" s="1"/>
  <c r="H99" i="42" s="1"/>
  <c r="I99" i="42" s="1"/>
  <c r="J99" i="42" s="1"/>
  <c r="K99" i="42" s="1"/>
  <c r="L99" i="42" s="1"/>
  <c r="D98" i="42"/>
  <c r="E98" i="42" s="1"/>
  <c r="F98" i="42" s="1"/>
  <c r="G98" i="42" s="1"/>
  <c r="H98" i="42" s="1"/>
  <c r="I98" i="42" s="1"/>
  <c r="J98" i="42" s="1"/>
  <c r="K98" i="42" s="1"/>
  <c r="L98" i="42" s="1"/>
  <c r="D97" i="42"/>
  <c r="E97" i="42" s="1"/>
  <c r="F97" i="42" s="1"/>
  <c r="G97" i="42" s="1"/>
  <c r="H97" i="42" s="1"/>
  <c r="I97" i="42" s="1"/>
  <c r="J97" i="42" s="1"/>
  <c r="K97" i="42" s="1"/>
  <c r="L97" i="42" s="1"/>
  <c r="D96" i="42"/>
  <c r="E95" i="42"/>
  <c r="F95" i="42" s="1"/>
  <c r="C94" i="42"/>
  <c r="D93" i="42"/>
  <c r="E93" i="42" s="1"/>
  <c r="F93" i="42" s="1"/>
  <c r="G93" i="42" s="1"/>
  <c r="H93" i="42" s="1"/>
  <c r="I93" i="42" s="1"/>
  <c r="J93" i="42" s="1"/>
  <c r="K93" i="42" s="1"/>
  <c r="L93" i="42" s="1"/>
  <c r="D92" i="42"/>
  <c r="E92" i="42" s="1"/>
  <c r="F92" i="42" s="1"/>
  <c r="G92" i="42" s="1"/>
  <c r="H92" i="42" s="1"/>
  <c r="I92" i="42" s="1"/>
  <c r="J92" i="42" s="1"/>
  <c r="K92" i="42" s="1"/>
  <c r="L92" i="42" s="1"/>
  <c r="D91" i="42"/>
  <c r="E91" i="42" s="1"/>
  <c r="F91" i="42" s="1"/>
  <c r="G91" i="42" s="1"/>
  <c r="H91" i="42" s="1"/>
  <c r="I91" i="42" s="1"/>
  <c r="J91" i="42" s="1"/>
  <c r="K91" i="42" s="1"/>
  <c r="L91" i="42" s="1"/>
  <c r="D90" i="42"/>
  <c r="C89" i="42"/>
  <c r="D88" i="42"/>
  <c r="E88" i="42" s="1"/>
  <c r="F88" i="42" s="1"/>
  <c r="G88" i="42" s="1"/>
  <c r="H88" i="42" s="1"/>
  <c r="I88" i="42" s="1"/>
  <c r="J88" i="42" s="1"/>
  <c r="K88" i="42" s="1"/>
  <c r="L88" i="42" s="1"/>
  <c r="D87" i="42"/>
  <c r="E87" i="42" s="1"/>
  <c r="F87" i="42" s="1"/>
  <c r="G87" i="42" s="1"/>
  <c r="H87" i="42" s="1"/>
  <c r="I87" i="42" s="1"/>
  <c r="J87" i="42" s="1"/>
  <c r="K87" i="42" s="1"/>
  <c r="L87" i="42" s="1"/>
  <c r="D86" i="42"/>
  <c r="E86" i="42" s="1"/>
  <c r="F86" i="42" s="1"/>
  <c r="G86" i="42" s="1"/>
  <c r="H86" i="42" s="1"/>
  <c r="I86" i="42" s="1"/>
  <c r="J86" i="42" s="1"/>
  <c r="K86" i="42" s="1"/>
  <c r="L86" i="42" s="1"/>
  <c r="D85" i="42"/>
  <c r="E85" i="42" s="1"/>
  <c r="C84" i="42"/>
  <c r="D83" i="42"/>
  <c r="E83" i="42" s="1"/>
  <c r="F83" i="42" s="1"/>
  <c r="G83" i="42" s="1"/>
  <c r="H83" i="42" s="1"/>
  <c r="I83" i="42" s="1"/>
  <c r="J83" i="42" s="1"/>
  <c r="K83" i="42" s="1"/>
  <c r="L83" i="42" s="1"/>
  <c r="D82" i="42"/>
  <c r="E82" i="42" s="1"/>
  <c r="F82" i="42" s="1"/>
  <c r="G82" i="42" s="1"/>
  <c r="H82" i="42" s="1"/>
  <c r="I82" i="42" s="1"/>
  <c r="J82" i="42" s="1"/>
  <c r="K82" i="42" s="1"/>
  <c r="L82" i="42" s="1"/>
  <c r="D81" i="42"/>
  <c r="E81" i="42" s="1"/>
  <c r="F81" i="42" s="1"/>
  <c r="G81" i="42" s="1"/>
  <c r="H81" i="42" s="1"/>
  <c r="I81" i="42" s="1"/>
  <c r="J81" i="42" s="1"/>
  <c r="K81" i="42" s="1"/>
  <c r="L81" i="42" s="1"/>
  <c r="D80" i="42"/>
  <c r="E80" i="42" s="1"/>
  <c r="F80" i="42" s="1"/>
  <c r="G80" i="42" s="1"/>
  <c r="H80" i="42" s="1"/>
  <c r="I80" i="42" s="1"/>
  <c r="J80" i="42" s="1"/>
  <c r="K80" i="42" s="1"/>
  <c r="L80" i="42" s="1"/>
  <c r="D79" i="42"/>
  <c r="C78" i="42"/>
  <c r="D77" i="42"/>
  <c r="E77" i="42" s="1"/>
  <c r="F77" i="42" s="1"/>
  <c r="G77" i="42" s="1"/>
  <c r="H77" i="42" s="1"/>
  <c r="I77" i="42" s="1"/>
  <c r="J77" i="42" s="1"/>
  <c r="K77" i="42" s="1"/>
  <c r="L77" i="42" s="1"/>
  <c r="D76" i="42"/>
  <c r="E76" i="42" s="1"/>
  <c r="F76" i="42" s="1"/>
  <c r="G76" i="42" s="1"/>
  <c r="H76" i="42" s="1"/>
  <c r="I76" i="42" s="1"/>
  <c r="J76" i="42" s="1"/>
  <c r="K76" i="42" s="1"/>
  <c r="L76" i="42" s="1"/>
  <c r="D75" i="42"/>
  <c r="E75" i="42" s="1"/>
  <c r="F75" i="42" s="1"/>
  <c r="G75" i="42" s="1"/>
  <c r="H75" i="42" s="1"/>
  <c r="I75" i="42" s="1"/>
  <c r="J75" i="42" s="1"/>
  <c r="K75" i="42" s="1"/>
  <c r="L75" i="42" s="1"/>
  <c r="D74" i="42"/>
  <c r="E74" i="42" s="1"/>
  <c r="F74" i="42" s="1"/>
  <c r="G74" i="42" s="1"/>
  <c r="H74" i="42" s="1"/>
  <c r="I74" i="42" s="1"/>
  <c r="J74" i="42" s="1"/>
  <c r="K74" i="42" s="1"/>
  <c r="L74" i="42" s="1"/>
  <c r="E73" i="42"/>
  <c r="C72" i="42"/>
  <c r="D71" i="42"/>
  <c r="E71" i="42" s="1"/>
  <c r="F71" i="42" s="1"/>
  <c r="G71" i="42" s="1"/>
  <c r="H71" i="42" s="1"/>
  <c r="I71" i="42" s="1"/>
  <c r="J71" i="42" s="1"/>
  <c r="K71" i="42" s="1"/>
  <c r="L71" i="42" s="1"/>
  <c r="D70" i="42"/>
  <c r="E70" i="42" s="1"/>
  <c r="F70" i="42" s="1"/>
  <c r="G70" i="42" s="1"/>
  <c r="H70" i="42" s="1"/>
  <c r="I70" i="42" s="1"/>
  <c r="J70" i="42" s="1"/>
  <c r="K70" i="42" s="1"/>
  <c r="L70" i="42" s="1"/>
  <c r="D69" i="42"/>
  <c r="E69" i="42" s="1"/>
  <c r="F69" i="42" s="1"/>
  <c r="G69" i="42" s="1"/>
  <c r="H69" i="42" s="1"/>
  <c r="I69" i="42" s="1"/>
  <c r="J69" i="42" s="1"/>
  <c r="K69" i="42" s="1"/>
  <c r="L69" i="42" s="1"/>
  <c r="D68" i="42"/>
  <c r="E68" i="42" s="1"/>
  <c r="F68" i="42" s="1"/>
  <c r="G68" i="42" s="1"/>
  <c r="H68" i="42" s="1"/>
  <c r="I68" i="42" s="1"/>
  <c r="J68" i="42" s="1"/>
  <c r="K68" i="42" s="1"/>
  <c r="L68" i="42" s="1"/>
  <c r="D67" i="42"/>
  <c r="C66" i="42"/>
  <c r="D65" i="42"/>
  <c r="E65" i="42" s="1"/>
  <c r="F65" i="42" s="1"/>
  <c r="G65" i="42" s="1"/>
  <c r="H65" i="42" s="1"/>
  <c r="I65" i="42" s="1"/>
  <c r="J65" i="42" s="1"/>
  <c r="K65" i="42" s="1"/>
  <c r="L65" i="42" s="1"/>
  <c r="D64" i="42"/>
  <c r="E64" i="42" s="1"/>
  <c r="F64" i="42" s="1"/>
  <c r="G64" i="42" s="1"/>
  <c r="H64" i="42" s="1"/>
  <c r="I64" i="42" s="1"/>
  <c r="J64" i="42" s="1"/>
  <c r="K64" i="42" s="1"/>
  <c r="L64" i="42" s="1"/>
  <c r="D63" i="42"/>
  <c r="E63" i="42" s="1"/>
  <c r="F63" i="42" s="1"/>
  <c r="G63" i="42" s="1"/>
  <c r="H63" i="42" s="1"/>
  <c r="D62" i="42"/>
  <c r="E62" i="42" s="1"/>
  <c r="F62" i="42" s="1"/>
  <c r="G62" i="42" s="1"/>
  <c r="H62" i="42" s="1"/>
  <c r="I62" i="42" s="1"/>
  <c r="J62" i="42" s="1"/>
  <c r="K62" i="42" s="1"/>
  <c r="L62" i="42" s="1"/>
  <c r="D61" i="42"/>
  <c r="C60" i="42"/>
  <c r="D59" i="42"/>
  <c r="E59" i="42" s="1"/>
  <c r="F59" i="42" s="1"/>
  <c r="G59" i="42" s="1"/>
  <c r="H59" i="42" s="1"/>
  <c r="I59" i="42" s="1"/>
  <c r="J59" i="42" s="1"/>
  <c r="K59" i="42" s="1"/>
  <c r="L59" i="42" s="1"/>
  <c r="D58" i="42"/>
  <c r="E58" i="42" s="1"/>
  <c r="F58" i="42" s="1"/>
  <c r="G58" i="42" s="1"/>
  <c r="H58" i="42" s="1"/>
  <c r="I58" i="42" s="1"/>
  <c r="J58" i="42" s="1"/>
  <c r="K58" i="42" s="1"/>
  <c r="L58" i="42" s="1"/>
  <c r="D57" i="42"/>
  <c r="E57" i="42" s="1"/>
  <c r="F57" i="42" s="1"/>
  <c r="G57" i="42" s="1"/>
  <c r="H57" i="42" s="1"/>
  <c r="I57" i="42" s="1"/>
  <c r="J57" i="42" s="1"/>
  <c r="K57" i="42" s="1"/>
  <c r="L57" i="42" s="1"/>
  <c r="D56" i="42"/>
  <c r="E55" i="42"/>
  <c r="C54" i="42"/>
  <c r="D53" i="42"/>
  <c r="E53" i="42" s="1"/>
  <c r="F53" i="42" s="1"/>
  <c r="G53" i="42" s="1"/>
  <c r="H53" i="42" s="1"/>
  <c r="I53" i="42" s="1"/>
  <c r="J53" i="42" s="1"/>
  <c r="K53" i="42" s="1"/>
  <c r="L53" i="42" s="1"/>
  <c r="D52" i="42"/>
  <c r="E52" i="42" s="1"/>
  <c r="F52" i="42" s="1"/>
  <c r="G52" i="42" s="1"/>
  <c r="H52" i="42" s="1"/>
  <c r="I52" i="42" s="1"/>
  <c r="J52" i="42" s="1"/>
  <c r="K52" i="42" s="1"/>
  <c r="L52" i="42" s="1"/>
  <c r="D51" i="42"/>
  <c r="E51" i="42" s="1"/>
  <c r="F51" i="42" s="1"/>
  <c r="G51" i="42" s="1"/>
  <c r="H51" i="42" s="1"/>
  <c r="D50" i="42"/>
  <c r="E50" i="42" s="1"/>
  <c r="F50" i="42" s="1"/>
  <c r="G50" i="42" s="1"/>
  <c r="H50" i="42" s="1"/>
  <c r="I50" i="42" s="1"/>
  <c r="J50" i="42" s="1"/>
  <c r="K50" i="42" s="1"/>
  <c r="L50" i="42" s="1"/>
  <c r="D49" i="42"/>
  <c r="C48" i="42"/>
  <c r="D47" i="42"/>
  <c r="E47" i="42" s="1"/>
  <c r="F47" i="42" s="1"/>
  <c r="G47" i="42" s="1"/>
  <c r="H47" i="42" s="1"/>
  <c r="I47" i="42" s="1"/>
  <c r="J47" i="42" s="1"/>
  <c r="K47" i="42" s="1"/>
  <c r="L47" i="42" s="1"/>
  <c r="D46" i="42"/>
  <c r="E46" i="42" s="1"/>
  <c r="F46" i="42" s="1"/>
  <c r="G46" i="42" s="1"/>
  <c r="H46" i="42" s="1"/>
  <c r="I46" i="42" s="1"/>
  <c r="J46" i="42" s="1"/>
  <c r="K46" i="42" s="1"/>
  <c r="L46" i="42" s="1"/>
  <c r="D45" i="42"/>
  <c r="E45" i="42" s="1"/>
  <c r="F45" i="42" s="1"/>
  <c r="G45" i="42" s="1"/>
  <c r="H45" i="42" s="1"/>
  <c r="I45" i="42" s="1"/>
  <c r="J45" i="42" s="1"/>
  <c r="K45" i="42" s="1"/>
  <c r="L45" i="42" s="1"/>
  <c r="D44" i="42"/>
  <c r="E44" i="42" s="1"/>
  <c r="F44" i="42" s="1"/>
  <c r="G44" i="42" s="1"/>
  <c r="H44" i="42" s="1"/>
  <c r="I44" i="42" s="1"/>
  <c r="J44" i="42" s="1"/>
  <c r="K44" i="42" s="1"/>
  <c r="L44" i="42" s="1"/>
  <c r="D43" i="42"/>
  <c r="C42" i="42"/>
  <c r="D41" i="42"/>
  <c r="E41" i="42" s="1"/>
  <c r="F41" i="42" s="1"/>
  <c r="G41" i="42" s="1"/>
  <c r="H41" i="42" s="1"/>
  <c r="I41" i="42" s="1"/>
  <c r="J41" i="42" s="1"/>
  <c r="K41" i="42" s="1"/>
  <c r="L41" i="42" s="1"/>
  <c r="D40" i="42"/>
  <c r="E40" i="42" s="1"/>
  <c r="F40" i="42" s="1"/>
  <c r="G40" i="42" s="1"/>
  <c r="H40" i="42" s="1"/>
  <c r="I40" i="42" s="1"/>
  <c r="J40" i="42" s="1"/>
  <c r="K40" i="42" s="1"/>
  <c r="L40" i="42" s="1"/>
  <c r="D39" i="42"/>
  <c r="D38" i="42"/>
  <c r="E38" i="42" s="1"/>
  <c r="F38" i="42" s="1"/>
  <c r="G38" i="42" s="1"/>
  <c r="H38" i="42" s="1"/>
  <c r="I38" i="42" s="1"/>
  <c r="J38" i="42" s="1"/>
  <c r="K38" i="42" s="1"/>
  <c r="L38" i="42" s="1"/>
  <c r="D37" i="42"/>
  <c r="E37" i="42" s="1"/>
  <c r="C36" i="42"/>
  <c r="D35" i="42"/>
  <c r="E35" i="42" s="1"/>
  <c r="F35" i="42" s="1"/>
  <c r="G35" i="42" s="1"/>
  <c r="H35" i="42" s="1"/>
  <c r="I35" i="42" s="1"/>
  <c r="J35" i="42" s="1"/>
  <c r="K35" i="42" s="1"/>
  <c r="L35" i="42" s="1"/>
  <c r="D34" i="42"/>
  <c r="E34" i="42" s="1"/>
  <c r="F34" i="42" s="1"/>
  <c r="G34" i="42" s="1"/>
  <c r="H34" i="42" s="1"/>
  <c r="I34" i="42" s="1"/>
  <c r="J34" i="42" s="1"/>
  <c r="K34" i="42" s="1"/>
  <c r="L34" i="42" s="1"/>
  <c r="D33" i="42"/>
  <c r="E33" i="42" s="1"/>
  <c r="F33" i="42" s="1"/>
  <c r="G33" i="42" s="1"/>
  <c r="H33" i="42" s="1"/>
  <c r="I33" i="42" s="1"/>
  <c r="J33" i="42" s="1"/>
  <c r="K33" i="42" s="1"/>
  <c r="L33" i="42" s="1"/>
  <c r="D32" i="42"/>
  <c r="E32" i="42" s="1"/>
  <c r="F32" i="42" s="1"/>
  <c r="G32" i="42" s="1"/>
  <c r="H32" i="42" s="1"/>
  <c r="I32" i="42" s="1"/>
  <c r="J32" i="42" s="1"/>
  <c r="K32" i="42" s="1"/>
  <c r="L32" i="42" s="1"/>
  <c r="D31" i="42"/>
  <c r="C30" i="42"/>
  <c r="D29" i="42"/>
  <c r="E29" i="42" s="1"/>
  <c r="F29" i="42" s="1"/>
  <c r="G29" i="42" s="1"/>
  <c r="H29" i="42" s="1"/>
  <c r="I29" i="42" s="1"/>
  <c r="J29" i="42" s="1"/>
  <c r="K29" i="42" s="1"/>
  <c r="L29" i="42" s="1"/>
  <c r="D28" i="42"/>
  <c r="D30" i="42" s="1"/>
  <c r="C27" i="42"/>
  <c r="D26" i="42"/>
  <c r="E26" i="42" s="1"/>
  <c r="F26" i="42" s="1"/>
  <c r="G26" i="42" s="1"/>
  <c r="H26" i="42" s="1"/>
  <c r="I26" i="42" s="1"/>
  <c r="J26" i="42" s="1"/>
  <c r="K26" i="42" s="1"/>
  <c r="L26" i="42" s="1"/>
  <c r="D25" i="42"/>
  <c r="C24" i="42"/>
  <c r="D23" i="42"/>
  <c r="E23" i="42" s="1"/>
  <c r="F23" i="42" s="1"/>
  <c r="G23" i="42" s="1"/>
  <c r="H23" i="42" s="1"/>
  <c r="I23" i="42" s="1"/>
  <c r="J23" i="42" s="1"/>
  <c r="K23" i="42" s="1"/>
  <c r="L23" i="42" s="1"/>
  <c r="D22" i="42"/>
  <c r="E22" i="42" s="1"/>
  <c r="C21" i="42"/>
  <c r="D20" i="42"/>
  <c r="E20" i="42" s="1"/>
  <c r="F20" i="42" s="1"/>
  <c r="G20" i="42" s="1"/>
  <c r="H20" i="42" s="1"/>
  <c r="I20" i="42" s="1"/>
  <c r="J20" i="42" s="1"/>
  <c r="K20" i="42" s="1"/>
  <c r="L20" i="42" s="1"/>
  <c r="D19" i="42"/>
  <c r="E19" i="42" s="1"/>
  <c r="F19" i="42" s="1"/>
  <c r="G19" i="42" s="1"/>
  <c r="H19" i="42" s="1"/>
  <c r="I19" i="42" s="1"/>
  <c r="J19" i="42" s="1"/>
  <c r="K19" i="42" s="1"/>
  <c r="L19" i="42" s="1"/>
  <c r="D18" i="42"/>
  <c r="E18" i="42" s="1"/>
  <c r="F18" i="42" s="1"/>
  <c r="G18" i="42" s="1"/>
  <c r="H18" i="42" s="1"/>
  <c r="I18" i="42" s="1"/>
  <c r="J18" i="42" s="1"/>
  <c r="K18" i="42" s="1"/>
  <c r="L18" i="42" s="1"/>
  <c r="D17" i="42"/>
  <c r="E17" i="42" s="1"/>
  <c r="F17" i="42" s="1"/>
  <c r="G17" i="42" s="1"/>
  <c r="H17" i="42" s="1"/>
  <c r="I17" i="42" s="1"/>
  <c r="J17" i="42" s="1"/>
  <c r="K17" i="42" s="1"/>
  <c r="L17" i="42" s="1"/>
  <c r="D16" i="42"/>
  <c r="G15" i="42"/>
  <c r="F15" i="42"/>
  <c r="E15" i="42"/>
  <c r="D15" i="42"/>
  <c r="C15" i="42"/>
  <c r="C12" i="42"/>
  <c r="D11" i="42"/>
  <c r="E11" i="42" s="1"/>
  <c r="F11" i="42" s="1"/>
  <c r="G11" i="42" s="1"/>
  <c r="H11" i="42" s="1"/>
  <c r="I11" i="42" s="1"/>
  <c r="J11" i="42" s="1"/>
  <c r="K11" i="42" s="1"/>
  <c r="L11" i="42" s="1"/>
  <c r="D10" i="42"/>
  <c r="C9" i="42"/>
  <c r="D8" i="42"/>
  <c r="E8" i="42" s="1"/>
  <c r="E9" i="42" s="1"/>
  <c r="D7" i="42"/>
  <c r="S8" i="48" l="1"/>
  <c r="L43" i="46" s="1"/>
  <c r="K43" i="46"/>
  <c r="I51" i="42"/>
  <c r="J51" i="42" s="1"/>
  <c r="K51" i="42" s="1"/>
  <c r="L51" i="42" s="1"/>
  <c r="I63" i="42"/>
  <c r="J63" i="42" s="1"/>
  <c r="K63" i="42" s="1"/>
  <c r="L63" i="42" s="1"/>
  <c r="Q7" i="47"/>
  <c r="J42" i="46"/>
  <c r="G41" i="46"/>
  <c r="N7" i="45"/>
  <c r="E28" i="42"/>
  <c r="E30" i="42" s="1"/>
  <c r="M8" i="44"/>
  <c r="F40" i="46"/>
  <c r="M7" i="43"/>
  <c r="E45" i="46"/>
  <c r="D9" i="42"/>
  <c r="D12" i="42"/>
  <c r="D27" i="42"/>
  <c r="D89" i="42"/>
  <c r="D78" i="42"/>
  <c r="D103" i="42"/>
  <c r="D72" i="42"/>
  <c r="D100" i="42"/>
  <c r="D54" i="42"/>
  <c r="D60" i="42"/>
  <c r="D24" i="42"/>
  <c r="D42" i="42"/>
  <c r="E49" i="42"/>
  <c r="E89" i="42"/>
  <c r="C107" i="42"/>
  <c r="C34" i="46" s="1"/>
  <c r="E39" i="42"/>
  <c r="F39" i="42" s="1"/>
  <c r="G39" i="42" s="1"/>
  <c r="H39" i="42" s="1"/>
  <c r="I39" i="42" s="1"/>
  <c r="J39" i="42" s="1"/>
  <c r="K39" i="42" s="1"/>
  <c r="L39" i="42" s="1"/>
  <c r="D48" i="42"/>
  <c r="E56" i="42"/>
  <c r="F56" i="42" s="1"/>
  <c r="G56" i="42" s="1"/>
  <c r="H56" i="42" s="1"/>
  <c r="I56" i="42" s="1"/>
  <c r="J56" i="42" s="1"/>
  <c r="K56" i="42" s="1"/>
  <c r="L56" i="42" s="1"/>
  <c r="E67" i="42"/>
  <c r="E72" i="42" s="1"/>
  <c r="D84" i="42"/>
  <c r="D94" i="42"/>
  <c r="E24" i="42"/>
  <c r="E78" i="42"/>
  <c r="E101" i="42"/>
  <c r="E103" i="42" s="1"/>
  <c r="E54" i="42"/>
  <c r="F49" i="42"/>
  <c r="F28" i="42"/>
  <c r="D21" i="42"/>
  <c r="E16" i="42"/>
  <c r="D36" i="42"/>
  <c r="E31" i="42"/>
  <c r="D66" i="42"/>
  <c r="E61" i="42"/>
  <c r="F55" i="42"/>
  <c r="F85" i="42"/>
  <c r="E90" i="42"/>
  <c r="E96" i="42"/>
  <c r="F8" i="42"/>
  <c r="E10" i="42"/>
  <c r="F22" i="42"/>
  <c r="E25" i="42"/>
  <c r="F37" i="42"/>
  <c r="E43" i="42"/>
  <c r="F73" i="42"/>
  <c r="E79" i="42"/>
  <c r="G95" i="42"/>
  <c r="H95" i="42" s="1"/>
  <c r="R7" i="47" l="1"/>
  <c r="L42" i="46" s="1"/>
  <c r="K42" i="46"/>
  <c r="I95" i="42"/>
  <c r="O7" i="45"/>
  <c r="H41" i="46"/>
  <c r="G40" i="46"/>
  <c r="N8" i="44"/>
  <c r="F67" i="42"/>
  <c r="N7" i="43"/>
  <c r="F45" i="46"/>
  <c r="E60" i="42"/>
  <c r="D107" i="42"/>
  <c r="D34" i="46" s="1"/>
  <c r="F101" i="42"/>
  <c r="E42" i="42"/>
  <c r="E48" i="42"/>
  <c r="F43" i="42"/>
  <c r="F89" i="42"/>
  <c r="G85" i="42"/>
  <c r="F10" i="42"/>
  <c r="E12" i="42"/>
  <c r="G37" i="42"/>
  <c r="F42" i="42"/>
  <c r="E66" i="42"/>
  <c r="F61" i="42"/>
  <c r="E84" i="42"/>
  <c r="F79" i="42"/>
  <c r="F9" i="42"/>
  <c r="G8" i="42"/>
  <c r="E21" i="42"/>
  <c r="F16" i="42"/>
  <c r="F78" i="42"/>
  <c r="G73" i="42"/>
  <c r="E27" i="42"/>
  <c r="F25" i="42"/>
  <c r="E100" i="42"/>
  <c r="F96" i="42"/>
  <c r="F60" i="42"/>
  <c r="G55" i="42"/>
  <c r="F54" i="42"/>
  <c r="G49" i="42"/>
  <c r="F103" i="42"/>
  <c r="G101" i="42"/>
  <c r="G67" i="42"/>
  <c r="F72" i="42"/>
  <c r="G22" i="42"/>
  <c r="F24" i="42"/>
  <c r="E94" i="42"/>
  <c r="F90" i="42"/>
  <c r="E36" i="42"/>
  <c r="F31" i="42"/>
  <c r="F30" i="42"/>
  <c r="G28" i="42"/>
  <c r="G103" i="42" l="1"/>
  <c r="H101" i="42"/>
  <c r="G24" i="42"/>
  <c r="H22" i="42"/>
  <c r="G30" i="42"/>
  <c r="H28" i="42"/>
  <c r="G54" i="42"/>
  <c r="H49" i="42"/>
  <c r="G78" i="42"/>
  <c r="H73" i="42"/>
  <c r="G60" i="42"/>
  <c r="H55" i="42"/>
  <c r="G89" i="42"/>
  <c r="H85" i="42"/>
  <c r="G42" i="42"/>
  <c r="H37" i="42"/>
  <c r="G45" i="46"/>
  <c r="O7" i="43"/>
  <c r="J95" i="42"/>
  <c r="G9" i="42"/>
  <c r="H8" i="42"/>
  <c r="G72" i="42"/>
  <c r="H67" i="42"/>
  <c r="O8" i="44"/>
  <c r="H40" i="46"/>
  <c r="P7" i="45"/>
  <c r="I41" i="46"/>
  <c r="F94" i="42"/>
  <c r="G90" i="42"/>
  <c r="G96" i="42"/>
  <c r="F100" i="42"/>
  <c r="F66" i="42"/>
  <c r="G61" i="42"/>
  <c r="E107" i="42"/>
  <c r="E34" i="46" s="1"/>
  <c r="F48" i="42"/>
  <c r="G43" i="42"/>
  <c r="F36" i="42"/>
  <c r="G31" i="42"/>
  <c r="F27" i="42"/>
  <c r="G25" i="42"/>
  <c r="F21" i="42"/>
  <c r="G16" i="42"/>
  <c r="F84" i="42"/>
  <c r="G79" i="42"/>
  <c r="F12" i="42"/>
  <c r="G10" i="42"/>
  <c r="I55" i="42" l="1"/>
  <c r="H60" i="42"/>
  <c r="I49" i="42"/>
  <c r="H54" i="42"/>
  <c r="I22" i="42"/>
  <c r="H24" i="42"/>
  <c r="G12" i="42"/>
  <c r="H10" i="42"/>
  <c r="G21" i="42"/>
  <c r="H16" i="42"/>
  <c r="G36" i="42"/>
  <c r="H31" i="42"/>
  <c r="G100" i="42"/>
  <c r="H96" i="42"/>
  <c r="G66" i="42"/>
  <c r="H61" i="42"/>
  <c r="I8" i="42"/>
  <c r="H9" i="42"/>
  <c r="H45" i="46"/>
  <c r="P7" i="43"/>
  <c r="I85" i="42"/>
  <c r="H89" i="42"/>
  <c r="I73" i="42"/>
  <c r="H78" i="42"/>
  <c r="I28" i="42"/>
  <c r="H30" i="42"/>
  <c r="H103" i="42"/>
  <c r="I101" i="42"/>
  <c r="I67" i="42"/>
  <c r="H72" i="42"/>
  <c r="I37" i="42"/>
  <c r="H42" i="42"/>
  <c r="Q7" i="45"/>
  <c r="J41" i="46"/>
  <c r="K95" i="42"/>
  <c r="G94" i="42"/>
  <c r="H90" i="42"/>
  <c r="G84" i="42"/>
  <c r="H79" i="42"/>
  <c r="G27" i="42"/>
  <c r="H25" i="42"/>
  <c r="G48" i="42"/>
  <c r="H43" i="42"/>
  <c r="P8" i="44"/>
  <c r="I40" i="46"/>
  <c r="G107" i="42"/>
  <c r="G34" i="46" s="1"/>
  <c r="F107" i="42"/>
  <c r="F34" i="46" s="1"/>
  <c r="J354" i="41"/>
  <c r="O10" i="41" s="1"/>
  <c r="I43" i="42" l="1"/>
  <c r="H48" i="42"/>
  <c r="H84" i="42"/>
  <c r="I79" i="42"/>
  <c r="I42" i="42"/>
  <c r="J37" i="42"/>
  <c r="J49" i="42"/>
  <c r="I54" i="42"/>
  <c r="H27" i="42"/>
  <c r="I25" i="42"/>
  <c r="I90" i="42"/>
  <c r="H94" i="42"/>
  <c r="I96" i="42"/>
  <c r="H100" i="42"/>
  <c r="I16" i="42"/>
  <c r="H21" i="42"/>
  <c r="J101" i="42"/>
  <c r="I103" i="42"/>
  <c r="Q7" i="43"/>
  <c r="I45" i="46"/>
  <c r="I61" i="42"/>
  <c r="H66" i="42"/>
  <c r="I31" i="42"/>
  <c r="H36" i="42"/>
  <c r="I10" i="42"/>
  <c r="H12" i="42"/>
  <c r="H107" i="42" s="1"/>
  <c r="H34" i="46" s="1"/>
  <c r="L95" i="42"/>
  <c r="J73" i="42"/>
  <c r="I78" i="42"/>
  <c r="Q8" i="44"/>
  <c r="J40" i="46"/>
  <c r="R7" i="45"/>
  <c r="L41" i="46" s="1"/>
  <c r="K41" i="46"/>
  <c r="I72" i="42"/>
  <c r="J67" i="42"/>
  <c r="J28" i="42"/>
  <c r="I30" i="42"/>
  <c r="J85" i="42"/>
  <c r="I89" i="42"/>
  <c r="I9" i="42"/>
  <c r="J8" i="42"/>
  <c r="I24" i="42"/>
  <c r="J22" i="42"/>
  <c r="J55" i="42"/>
  <c r="I60" i="42"/>
  <c r="P10" i="41"/>
  <c r="Q10" i="41" s="1"/>
  <c r="C47" i="46"/>
  <c r="C10" i="40"/>
  <c r="C55" i="46" s="1"/>
  <c r="D9" i="40"/>
  <c r="E9" i="40" s="1"/>
  <c r="F9" i="40" s="1"/>
  <c r="G9" i="40" s="1"/>
  <c r="H9" i="40" s="1"/>
  <c r="I9" i="40" s="1"/>
  <c r="J9" i="40" s="1"/>
  <c r="K9" i="40" s="1"/>
  <c r="L9" i="40" s="1"/>
  <c r="D8" i="40"/>
  <c r="K85" i="42" l="1"/>
  <c r="J89" i="42"/>
  <c r="R8" i="44"/>
  <c r="L40" i="46" s="1"/>
  <c r="K40" i="46"/>
  <c r="J31" i="42"/>
  <c r="I36" i="42"/>
  <c r="R7" i="43"/>
  <c r="J45" i="46"/>
  <c r="J79" i="42"/>
  <c r="I84" i="42"/>
  <c r="I94" i="42"/>
  <c r="J90" i="42"/>
  <c r="J54" i="42"/>
  <c r="K49" i="42"/>
  <c r="D47" i="46"/>
  <c r="K55" i="42"/>
  <c r="J60" i="42"/>
  <c r="J30" i="42"/>
  <c r="K28" i="42"/>
  <c r="K73" i="42"/>
  <c r="J78" i="42"/>
  <c r="J10" i="42"/>
  <c r="I12" i="42"/>
  <c r="I107" i="42" s="1"/>
  <c r="I34" i="46" s="1"/>
  <c r="J61" i="42"/>
  <c r="I66" i="42"/>
  <c r="K101" i="42"/>
  <c r="J103" i="42"/>
  <c r="J96" i="42"/>
  <c r="I100" i="42"/>
  <c r="I27" i="42"/>
  <c r="J25" i="42"/>
  <c r="J42" i="42"/>
  <c r="K37" i="42"/>
  <c r="J16" i="42"/>
  <c r="I21" i="42"/>
  <c r="K8" i="42"/>
  <c r="J9" i="42"/>
  <c r="D10" i="40"/>
  <c r="D55" i="46" s="1"/>
  <c r="K22" i="42"/>
  <c r="J24" i="42"/>
  <c r="K67" i="42"/>
  <c r="J72" i="42"/>
  <c r="J43" i="42"/>
  <c r="I48" i="42"/>
  <c r="R10" i="41"/>
  <c r="S10" i="41" s="1"/>
  <c r="E47" i="46"/>
  <c r="E8" i="40"/>
  <c r="F8" i="40" s="1"/>
  <c r="G8" i="40" s="1"/>
  <c r="H8" i="40" s="1"/>
  <c r="I8" i="40" s="1"/>
  <c r="J8" i="40" s="1"/>
  <c r="K8" i="40" s="1"/>
  <c r="L8" i="40" s="1"/>
  <c r="K16" i="42" l="1"/>
  <c r="J21" i="42"/>
  <c r="K72" i="42"/>
  <c r="L67" i="42"/>
  <c r="L72" i="42" s="1"/>
  <c r="L101" i="42"/>
  <c r="L103" i="42" s="1"/>
  <c r="K103" i="42"/>
  <c r="K9" i="42"/>
  <c r="L8" i="42"/>
  <c r="L9" i="42" s="1"/>
  <c r="K42" i="42"/>
  <c r="L37" i="42"/>
  <c r="L42" i="42" s="1"/>
  <c r="K25" i="42"/>
  <c r="J27" i="42"/>
  <c r="K30" i="42"/>
  <c r="L28" i="42"/>
  <c r="L30" i="42" s="1"/>
  <c r="G47" i="46"/>
  <c r="T10" i="41"/>
  <c r="K10" i="42"/>
  <c r="J12" i="42"/>
  <c r="J107" i="42" s="1"/>
  <c r="J34" i="46" s="1"/>
  <c r="K54" i="42"/>
  <c r="L49" i="42"/>
  <c r="L54" i="42" s="1"/>
  <c r="S7" i="43"/>
  <c r="L45" i="46" s="1"/>
  <c r="K45" i="46"/>
  <c r="K43" i="42"/>
  <c r="J48" i="42"/>
  <c r="L22" i="42"/>
  <c r="L24" i="42" s="1"/>
  <c r="K24" i="42"/>
  <c r="K96" i="42"/>
  <c r="J100" i="42"/>
  <c r="K61" i="42"/>
  <c r="J66" i="42"/>
  <c r="L73" i="42"/>
  <c r="L78" i="42" s="1"/>
  <c r="K78" i="42"/>
  <c r="K60" i="42"/>
  <c r="L55" i="42"/>
  <c r="L60" i="42" s="1"/>
  <c r="J94" i="42"/>
  <c r="K90" i="42"/>
  <c r="J84" i="42"/>
  <c r="K79" i="42"/>
  <c r="K31" i="42"/>
  <c r="J36" i="42"/>
  <c r="L85" i="42"/>
  <c r="L89" i="42" s="1"/>
  <c r="K89" i="42"/>
  <c r="F47" i="46"/>
  <c r="E10" i="40"/>
  <c r="E55" i="46" s="1"/>
  <c r="L96" i="42" l="1"/>
  <c r="L100" i="42" s="1"/>
  <c r="K100" i="42"/>
  <c r="H47" i="46"/>
  <c r="U10" i="41"/>
  <c r="L79" i="42"/>
  <c r="L84" i="42" s="1"/>
  <c r="K84" i="42"/>
  <c r="K27" i="42"/>
  <c r="L25" i="42"/>
  <c r="L27" i="42" s="1"/>
  <c r="L10" i="42"/>
  <c r="L12" i="42" s="1"/>
  <c r="K12" i="42"/>
  <c r="K36" i="42"/>
  <c r="L31" i="42"/>
  <c r="L36" i="42" s="1"/>
  <c r="L43" i="42"/>
  <c r="L48" i="42" s="1"/>
  <c r="K48" i="42"/>
  <c r="L61" i="42"/>
  <c r="L66" i="42" s="1"/>
  <c r="K66" i="42"/>
  <c r="K94" i="42"/>
  <c r="L90" i="42"/>
  <c r="L94" i="42" s="1"/>
  <c r="L16" i="42"/>
  <c r="L21" i="42" s="1"/>
  <c r="K21" i="42"/>
  <c r="K107" i="42" s="1"/>
  <c r="K34" i="46" s="1"/>
  <c r="F10" i="40"/>
  <c r="F55" i="46" s="1"/>
  <c r="L107" i="42" l="1"/>
  <c r="L34" i="46" s="1"/>
  <c r="V10" i="41"/>
  <c r="I47" i="46"/>
  <c r="G10" i="40"/>
  <c r="G55" i="46" s="1"/>
  <c r="E1513" i="39"/>
  <c r="I8" i="39" s="1"/>
  <c r="W10" i="41" l="1"/>
  <c r="J47" i="46"/>
  <c r="H10" i="40"/>
  <c r="H55" i="46" s="1"/>
  <c r="J8" i="39"/>
  <c r="K8" i="39" s="1"/>
  <c r="C36" i="46"/>
  <c r="C10" i="38"/>
  <c r="C9" i="38"/>
  <c r="D36" i="46" l="1"/>
  <c r="X10" i="41"/>
  <c r="L47" i="46" s="1"/>
  <c r="K47" i="46"/>
  <c r="I10" i="40"/>
  <c r="I55" i="46" s="1"/>
  <c r="L8" i="39"/>
  <c r="E36" i="46"/>
  <c r="C11" i="38"/>
  <c r="E8" i="38" s="1"/>
  <c r="M66" i="37"/>
  <c r="N65" i="37"/>
  <c r="O65" i="37" s="1"/>
  <c r="P65" i="37" s="1"/>
  <c r="Q65" i="37" s="1"/>
  <c r="N64" i="37"/>
  <c r="N63" i="37"/>
  <c r="O63" i="37" s="1"/>
  <c r="N56" i="37"/>
  <c r="O56" i="37" s="1"/>
  <c r="P56" i="37" s="1"/>
  <c r="Q56" i="37" s="1"/>
  <c r="N49" i="37"/>
  <c r="O49" i="37" s="1"/>
  <c r="P49" i="37" s="1"/>
  <c r="Q49" i="37" s="1"/>
  <c r="AB41" i="37"/>
  <c r="M41" i="37"/>
  <c r="N40" i="37"/>
  <c r="O40" i="37" s="1"/>
  <c r="P40" i="37" s="1"/>
  <c r="Q40" i="37" s="1"/>
  <c r="N39" i="37"/>
  <c r="O39" i="37" s="1"/>
  <c r="P39" i="37" s="1"/>
  <c r="Q39" i="37" s="1"/>
  <c r="N38" i="37"/>
  <c r="M28" i="37"/>
  <c r="I28" i="37"/>
  <c r="N27" i="37"/>
  <c r="O27" i="37" s="1"/>
  <c r="P27" i="37" s="1"/>
  <c r="Q27" i="37" s="1"/>
  <c r="R27" i="37" s="1"/>
  <c r="S27" i="37" s="1"/>
  <c r="T27" i="37" s="1"/>
  <c r="U27" i="37" s="1"/>
  <c r="V27" i="37" s="1"/>
  <c r="H27" i="37"/>
  <c r="N26" i="37"/>
  <c r="O26" i="37" s="1"/>
  <c r="P26" i="37" s="1"/>
  <c r="Q26" i="37" s="1"/>
  <c r="R26" i="37" s="1"/>
  <c r="S26" i="37" s="1"/>
  <c r="T26" i="37" s="1"/>
  <c r="U26" i="37" s="1"/>
  <c r="V26" i="37" s="1"/>
  <c r="H26" i="37"/>
  <c r="N25" i="37"/>
  <c r="O25" i="37" s="1"/>
  <c r="P25" i="37" s="1"/>
  <c r="Q25" i="37" s="1"/>
  <c r="R25" i="37" s="1"/>
  <c r="S25" i="37" s="1"/>
  <c r="T25" i="37" s="1"/>
  <c r="U25" i="37" s="1"/>
  <c r="V25" i="37" s="1"/>
  <c r="H25" i="37"/>
  <c r="N24" i="37"/>
  <c r="O24" i="37" s="1"/>
  <c r="P24" i="37" s="1"/>
  <c r="Q24" i="37" s="1"/>
  <c r="R24" i="37" s="1"/>
  <c r="S24" i="37" s="1"/>
  <c r="T24" i="37" s="1"/>
  <c r="U24" i="37" s="1"/>
  <c r="V24" i="37" s="1"/>
  <c r="H24" i="37"/>
  <c r="N23" i="37"/>
  <c r="O23" i="37" s="1"/>
  <c r="P23" i="37" s="1"/>
  <c r="Q23" i="37" s="1"/>
  <c r="R23" i="37" s="1"/>
  <c r="S23" i="37" s="1"/>
  <c r="T23" i="37" s="1"/>
  <c r="U23" i="37" s="1"/>
  <c r="V23" i="37" s="1"/>
  <c r="H23" i="37"/>
  <c r="N22" i="37"/>
  <c r="O22" i="37" s="1"/>
  <c r="P22" i="37" s="1"/>
  <c r="Q22" i="37" s="1"/>
  <c r="R22" i="37" s="1"/>
  <c r="S22" i="37" s="1"/>
  <c r="T22" i="37" s="1"/>
  <c r="U22" i="37" s="1"/>
  <c r="V22" i="37" s="1"/>
  <c r="H22" i="37"/>
  <c r="N21" i="37"/>
  <c r="O21" i="37" s="1"/>
  <c r="P21" i="37" s="1"/>
  <c r="Q21" i="37" s="1"/>
  <c r="R21" i="37" s="1"/>
  <c r="S21" i="37" s="1"/>
  <c r="T21" i="37" s="1"/>
  <c r="U21" i="37" s="1"/>
  <c r="V21" i="37" s="1"/>
  <c r="H21" i="37"/>
  <c r="N20" i="37"/>
  <c r="O20" i="37" s="1"/>
  <c r="P20" i="37" s="1"/>
  <c r="Q20" i="37" s="1"/>
  <c r="R20" i="37" s="1"/>
  <c r="S20" i="37" s="1"/>
  <c r="T20" i="37" s="1"/>
  <c r="U20" i="37" s="1"/>
  <c r="V20" i="37" s="1"/>
  <c r="H20" i="37"/>
  <c r="N19" i="37"/>
  <c r="O19" i="37" s="1"/>
  <c r="P19" i="37" s="1"/>
  <c r="Q19" i="37" s="1"/>
  <c r="R19" i="37" s="1"/>
  <c r="S19" i="37" s="1"/>
  <c r="T19" i="37" s="1"/>
  <c r="U19" i="37" s="1"/>
  <c r="V19" i="37" s="1"/>
  <c r="H19" i="37"/>
  <c r="N18" i="37"/>
  <c r="O18" i="37" s="1"/>
  <c r="P18" i="37" s="1"/>
  <c r="Q18" i="37" s="1"/>
  <c r="R18" i="37" s="1"/>
  <c r="S18" i="37" s="1"/>
  <c r="T18" i="37" s="1"/>
  <c r="U18" i="37" s="1"/>
  <c r="V18" i="37" s="1"/>
  <c r="H18" i="37"/>
  <c r="N17" i="37"/>
  <c r="O17" i="37" s="1"/>
  <c r="P17" i="37" s="1"/>
  <c r="Q17" i="37" s="1"/>
  <c r="R17" i="37" s="1"/>
  <c r="S17" i="37" s="1"/>
  <c r="T17" i="37" s="1"/>
  <c r="U17" i="37" s="1"/>
  <c r="V17" i="37" s="1"/>
  <c r="H17" i="37"/>
  <c r="N16" i="37"/>
  <c r="O16" i="37" s="1"/>
  <c r="P16" i="37" s="1"/>
  <c r="Q16" i="37" s="1"/>
  <c r="R16" i="37" s="1"/>
  <c r="S16" i="37" s="1"/>
  <c r="T16" i="37" s="1"/>
  <c r="U16" i="37" s="1"/>
  <c r="V16" i="37" s="1"/>
  <c r="H16" i="37"/>
  <c r="N15" i="37"/>
  <c r="O15" i="37" s="1"/>
  <c r="P15" i="37" s="1"/>
  <c r="Q15" i="37" s="1"/>
  <c r="R15" i="37" s="1"/>
  <c r="S15" i="37" s="1"/>
  <c r="T15" i="37" s="1"/>
  <c r="U15" i="37" s="1"/>
  <c r="V15" i="37" s="1"/>
  <c r="H15" i="37"/>
  <c r="N14" i="37"/>
  <c r="O14" i="37" s="1"/>
  <c r="P14" i="37" s="1"/>
  <c r="Q14" i="37" s="1"/>
  <c r="R14" i="37" s="1"/>
  <c r="S14" i="37" s="1"/>
  <c r="T14" i="37" s="1"/>
  <c r="U14" i="37" s="1"/>
  <c r="V14" i="37" s="1"/>
  <c r="H14" i="37"/>
  <c r="N13" i="37"/>
  <c r="O13" i="37" s="1"/>
  <c r="P13" i="37" s="1"/>
  <c r="Q13" i="37" s="1"/>
  <c r="R13" i="37" s="1"/>
  <c r="S13" i="37" s="1"/>
  <c r="T13" i="37" s="1"/>
  <c r="U13" i="37" s="1"/>
  <c r="V13" i="37" s="1"/>
  <c r="H13" i="37"/>
  <c r="N12" i="37"/>
  <c r="H12" i="37"/>
  <c r="N11" i="37"/>
  <c r="O11" i="37" s="1"/>
  <c r="H11" i="37"/>
  <c r="F8" i="38" l="1"/>
  <c r="C48" i="46"/>
  <c r="J10" i="40"/>
  <c r="J55" i="46" s="1"/>
  <c r="N66" i="37"/>
  <c r="M7" i="37"/>
  <c r="M8" i="39"/>
  <c r="F36" i="46"/>
  <c r="G8" i="38"/>
  <c r="D48" i="46"/>
  <c r="O64" i="37"/>
  <c r="P64" i="37" s="1"/>
  <c r="Q64" i="37" s="1"/>
  <c r="N28" i="37"/>
  <c r="N41" i="37"/>
  <c r="P11" i="37"/>
  <c r="O12" i="37"/>
  <c r="P12" i="37" s="1"/>
  <c r="Q12" i="37" s="1"/>
  <c r="R12" i="37" s="1"/>
  <c r="S12" i="37" s="1"/>
  <c r="T12" i="37" s="1"/>
  <c r="U12" i="37" s="1"/>
  <c r="V12" i="37" s="1"/>
  <c r="P63" i="37"/>
  <c r="O38" i="37"/>
  <c r="G36" i="46" l="1"/>
  <c r="N8" i="39"/>
  <c r="L10" i="40"/>
  <c r="L55" i="46" s="1"/>
  <c r="K10" i="40"/>
  <c r="K55" i="46" s="1"/>
  <c r="O66" i="37"/>
  <c r="H8" i="38"/>
  <c r="E48" i="46"/>
  <c r="P66" i="37"/>
  <c r="Q63" i="37"/>
  <c r="Q66" i="37" s="1"/>
  <c r="P28" i="37"/>
  <c r="Q11" i="37"/>
  <c r="O41" i="37"/>
  <c r="P38" i="37"/>
  <c r="O28" i="37"/>
  <c r="O8" i="39" l="1"/>
  <c r="H36" i="46"/>
  <c r="Q28" i="37"/>
  <c r="R11" i="37"/>
  <c r="I8" i="38"/>
  <c r="F48" i="46"/>
  <c r="P41" i="37"/>
  <c r="Q38" i="37"/>
  <c r="Q41" i="37" s="1"/>
  <c r="G48" i="46" l="1"/>
  <c r="J8" i="38"/>
  <c r="P8" i="39"/>
  <c r="I36" i="46"/>
  <c r="S11" i="37"/>
  <c r="R28" i="37"/>
  <c r="H12" i="36"/>
  <c r="I12" i="36" s="1"/>
  <c r="J12" i="36" s="1"/>
  <c r="K12" i="36" s="1"/>
  <c r="L12" i="36" s="1"/>
  <c r="M12" i="36" s="1"/>
  <c r="N12" i="36" s="1"/>
  <c r="O12" i="36" s="1"/>
  <c r="P12" i="36" s="1"/>
  <c r="G11" i="36"/>
  <c r="H11" i="36" s="1"/>
  <c r="I11" i="36" s="1"/>
  <c r="J11" i="36" s="1"/>
  <c r="K11" i="36" s="1"/>
  <c r="L11" i="36" s="1"/>
  <c r="M11" i="36" s="1"/>
  <c r="N11" i="36" s="1"/>
  <c r="O11" i="36" s="1"/>
  <c r="P11" i="36" s="1"/>
  <c r="G10" i="36"/>
  <c r="H10" i="36" s="1"/>
  <c r="I10" i="36" s="1"/>
  <c r="J10" i="36" s="1"/>
  <c r="K10" i="36" s="1"/>
  <c r="L10" i="36" s="1"/>
  <c r="M10" i="36" s="1"/>
  <c r="N10" i="36" s="1"/>
  <c r="O10" i="36" s="1"/>
  <c r="P10" i="36" s="1"/>
  <c r="G9" i="36"/>
  <c r="H9" i="36" s="1"/>
  <c r="I9" i="36" s="1"/>
  <c r="J9" i="36" s="1"/>
  <c r="K9" i="36" s="1"/>
  <c r="L9" i="36" s="1"/>
  <c r="M9" i="36" s="1"/>
  <c r="N9" i="36" s="1"/>
  <c r="O9" i="36" s="1"/>
  <c r="P9" i="36" s="1"/>
  <c r="G8" i="36"/>
  <c r="H8" i="36" s="1"/>
  <c r="I8" i="36" s="1"/>
  <c r="J8" i="36" s="1"/>
  <c r="K8" i="36" s="1"/>
  <c r="L8" i="36" s="1"/>
  <c r="H9" i="35"/>
  <c r="I9" i="35" s="1"/>
  <c r="J9" i="35" s="1"/>
  <c r="K9" i="35" s="1"/>
  <c r="L9" i="35" s="1"/>
  <c r="M9" i="35" s="1"/>
  <c r="N9" i="35" s="1"/>
  <c r="O9" i="35" s="1"/>
  <c r="P9" i="35" s="1"/>
  <c r="H13" i="35"/>
  <c r="I13" i="35" s="1"/>
  <c r="J13" i="35" s="1"/>
  <c r="K13" i="35" s="1"/>
  <c r="L13" i="35" s="1"/>
  <c r="M13" i="35" s="1"/>
  <c r="N13" i="35" s="1"/>
  <c r="O13" i="35" s="1"/>
  <c r="P13" i="35" s="1"/>
  <c r="H14" i="35"/>
  <c r="I14" i="35" s="1"/>
  <c r="J14" i="35" s="1"/>
  <c r="K14" i="35" s="1"/>
  <c r="L14" i="35" s="1"/>
  <c r="M14" i="35" s="1"/>
  <c r="N14" i="35" s="1"/>
  <c r="O14" i="35" s="1"/>
  <c r="P14" i="35" s="1"/>
  <c r="H8" i="35"/>
  <c r="I8" i="35" s="1"/>
  <c r="Q8" i="39" l="1"/>
  <c r="J36" i="46"/>
  <c r="K8" i="38"/>
  <c r="H48" i="46"/>
  <c r="M8" i="36"/>
  <c r="L13" i="36"/>
  <c r="H31" i="46" s="1"/>
  <c r="T11" i="37"/>
  <c r="S28" i="37"/>
  <c r="K13" i="36"/>
  <c r="G31" i="46" s="1"/>
  <c r="G13" i="36"/>
  <c r="C31" i="46" s="1"/>
  <c r="I13" i="36"/>
  <c r="E31" i="46" s="1"/>
  <c r="J13" i="36"/>
  <c r="F31" i="46" s="1"/>
  <c r="H13" i="36"/>
  <c r="D31" i="46" s="1"/>
  <c r="J8" i="35"/>
  <c r="S10" i="25"/>
  <c r="L8" i="38" l="1"/>
  <c r="I48" i="46"/>
  <c r="N8" i="36"/>
  <c r="M13" i="36"/>
  <c r="I31" i="46" s="1"/>
  <c r="K36" i="46"/>
  <c r="R8" i="39"/>
  <c r="L36" i="46" s="1"/>
  <c r="T28" i="37"/>
  <c r="U11" i="37"/>
  <c r="T10" i="25"/>
  <c r="K8" i="35"/>
  <c r="L8" i="35" s="1"/>
  <c r="G12" i="35"/>
  <c r="H12" i="35" s="1"/>
  <c r="I12" i="35" s="1"/>
  <c r="J12" i="35" s="1"/>
  <c r="K12" i="35" s="1"/>
  <c r="L12" i="35" s="1"/>
  <c r="M12" i="35" s="1"/>
  <c r="N12" i="35" s="1"/>
  <c r="O12" i="35" s="1"/>
  <c r="P12" i="35" s="1"/>
  <c r="G11" i="35"/>
  <c r="H11" i="35" s="1"/>
  <c r="I11" i="35" s="1"/>
  <c r="J11" i="35" s="1"/>
  <c r="K11" i="35" s="1"/>
  <c r="L11" i="35" s="1"/>
  <c r="M11" i="35" s="1"/>
  <c r="N11" i="35" s="1"/>
  <c r="O11" i="35" s="1"/>
  <c r="P11" i="35" s="1"/>
  <c r="G10" i="35"/>
  <c r="N13" i="36" l="1"/>
  <c r="J31" i="46" s="1"/>
  <c r="O8" i="36"/>
  <c r="M8" i="35"/>
  <c r="M8" i="38"/>
  <c r="J48" i="46"/>
  <c r="V11" i="37"/>
  <c r="V28" i="37" s="1"/>
  <c r="U28" i="37"/>
  <c r="U10" i="25"/>
  <c r="V10" i="25" s="1"/>
  <c r="H10" i="35"/>
  <c r="G15" i="35"/>
  <c r="C33" i="46" s="1"/>
  <c r="AK6" i="34"/>
  <c r="AL6" i="34" s="1"/>
  <c r="AK7" i="34"/>
  <c r="AK8" i="34"/>
  <c r="AM8" i="34" s="1"/>
  <c r="AL8" i="34"/>
  <c r="AK9" i="34"/>
  <c r="AL9" i="34" s="1"/>
  <c r="AK10" i="34"/>
  <c r="AL10" i="34" s="1"/>
  <c r="AK11" i="34"/>
  <c r="AK12" i="34"/>
  <c r="AK13" i="34"/>
  <c r="AL13" i="34" s="1"/>
  <c r="AM13" i="34"/>
  <c r="AK14" i="34"/>
  <c r="AL14" i="34" s="1"/>
  <c r="AK15" i="34"/>
  <c r="AK16" i="34"/>
  <c r="AK17" i="34"/>
  <c r="AL17" i="34" s="1"/>
  <c r="AM17" i="34"/>
  <c r="AK18" i="34"/>
  <c r="AL18" i="34" s="1"/>
  <c r="AK19" i="34"/>
  <c r="AK20" i="34"/>
  <c r="AM20" i="34" s="1"/>
  <c r="AK21" i="34"/>
  <c r="AL21" i="34" s="1"/>
  <c r="AK22" i="34"/>
  <c r="AK23" i="34"/>
  <c r="AM23" i="34" s="1"/>
  <c r="AK24" i="34"/>
  <c r="AK25" i="34"/>
  <c r="AL25" i="34" s="1"/>
  <c r="AM25" i="34"/>
  <c r="AK26" i="34"/>
  <c r="AK27" i="34"/>
  <c r="AM27" i="34" s="1"/>
  <c r="AK28" i="34"/>
  <c r="AL28" i="34" s="1"/>
  <c r="AK29" i="34"/>
  <c r="AK30" i="34"/>
  <c r="AK31" i="34"/>
  <c r="AK32" i="34"/>
  <c r="AL32" i="34" s="1"/>
  <c r="AM32" i="34"/>
  <c r="AK33" i="34"/>
  <c r="AL33" i="34" s="1"/>
  <c r="AK34" i="34"/>
  <c r="AK35" i="34"/>
  <c r="AM35" i="34" s="1"/>
  <c r="AK36" i="34"/>
  <c r="AL36" i="34" s="1"/>
  <c r="AK37" i="34"/>
  <c r="AL37" i="34" s="1"/>
  <c r="AM37" i="34"/>
  <c r="AK38" i="34"/>
  <c r="AK39" i="34"/>
  <c r="AM39" i="34" s="1"/>
  <c r="AK40" i="34"/>
  <c r="AK41" i="34"/>
  <c r="AL41" i="34" s="1"/>
  <c r="AK42" i="34"/>
  <c r="AK43" i="34"/>
  <c r="AM43" i="34" s="1"/>
  <c r="AK44" i="34"/>
  <c r="AL44" i="34" s="1"/>
  <c r="AK45" i="34"/>
  <c r="AK46" i="34"/>
  <c r="AK47" i="34"/>
  <c r="AK48" i="34"/>
  <c r="AL48" i="34" s="1"/>
  <c r="AM48" i="34"/>
  <c r="AV48" i="34" s="1"/>
  <c r="AK49" i="34"/>
  <c r="AL49" i="34" s="1"/>
  <c r="AK50" i="34"/>
  <c r="AK51" i="34"/>
  <c r="AM51" i="34" s="1"/>
  <c r="AK52" i="34"/>
  <c r="AM52" i="34" s="1"/>
  <c r="AV52" i="34" s="1"/>
  <c r="AL52" i="34"/>
  <c r="AK53" i="34"/>
  <c r="AL53" i="34" s="1"/>
  <c r="AM53" i="34"/>
  <c r="AK54" i="34"/>
  <c r="AK55" i="34"/>
  <c r="AM55" i="34" s="1"/>
  <c r="AK56" i="34"/>
  <c r="AK57" i="34"/>
  <c r="AL57" i="34" s="1"/>
  <c r="AM57" i="34"/>
  <c r="AK58" i="34"/>
  <c r="AK59" i="34"/>
  <c r="AM59" i="34" s="1"/>
  <c r="AK60" i="34"/>
  <c r="AK61" i="34"/>
  <c r="AL61" i="34" s="1"/>
  <c r="AK62" i="34"/>
  <c r="AK63" i="34"/>
  <c r="AM63" i="34" s="1"/>
  <c r="AK64" i="34"/>
  <c r="AK65" i="34"/>
  <c r="AL65" i="34" s="1"/>
  <c r="AM65" i="34"/>
  <c r="AK66" i="34"/>
  <c r="AK67" i="34"/>
  <c r="AM67" i="34" s="1"/>
  <c r="AK68" i="34"/>
  <c r="AK69" i="34"/>
  <c r="AL69" i="34" s="1"/>
  <c r="AM69" i="34"/>
  <c r="AK70" i="34"/>
  <c r="AK71" i="34"/>
  <c r="AM71" i="34" s="1"/>
  <c r="AK72" i="34"/>
  <c r="AK73" i="34"/>
  <c r="AL73" i="34" s="1"/>
  <c r="AM73" i="34"/>
  <c r="AK74" i="34"/>
  <c r="AK75" i="34"/>
  <c r="AM75" i="34" s="1"/>
  <c r="AK76" i="34"/>
  <c r="AK77" i="34"/>
  <c r="AL77" i="34" s="1"/>
  <c r="AK78" i="34"/>
  <c r="AK79" i="34"/>
  <c r="AM79" i="34" s="1"/>
  <c r="AK80" i="34"/>
  <c r="AK81" i="34"/>
  <c r="AM81" i="34" s="1"/>
  <c r="AK82" i="34"/>
  <c r="AK83" i="34"/>
  <c r="AL83" i="34" s="1"/>
  <c r="AK84" i="34"/>
  <c r="AK85" i="34"/>
  <c r="AM85" i="34" s="1"/>
  <c r="AK86" i="34"/>
  <c r="AK87" i="34"/>
  <c r="AL87" i="34" s="1"/>
  <c r="AK88" i="34"/>
  <c r="AK89" i="34"/>
  <c r="AM89" i="34" s="1"/>
  <c r="AK90" i="34"/>
  <c r="AK91" i="34"/>
  <c r="AL91" i="34" s="1"/>
  <c r="AK92" i="34"/>
  <c r="AK93" i="34"/>
  <c r="AM93" i="34" s="1"/>
  <c r="AK94" i="34"/>
  <c r="AK95" i="34"/>
  <c r="AL95" i="34" s="1"/>
  <c r="AK96" i="34"/>
  <c r="AK97" i="34"/>
  <c r="AL97" i="34" s="1"/>
  <c r="AK98" i="34"/>
  <c r="AK99" i="34"/>
  <c r="AK100" i="34"/>
  <c r="AL100" i="34" s="1"/>
  <c r="AK101" i="34"/>
  <c r="AL101" i="34" s="1"/>
  <c r="AK102" i="34"/>
  <c r="AK103" i="34"/>
  <c r="AL103" i="34" s="1"/>
  <c r="AK104" i="34"/>
  <c r="AL104" i="34" s="1"/>
  <c r="AK105" i="34"/>
  <c r="AL105" i="34" s="1"/>
  <c r="AK106" i="34"/>
  <c r="AK107" i="34"/>
  <c r="AL107" i="34" s="1"/>
  <c r="AM107" i="34"/>
  <c r="AK108" i="34"/>
  <c r="AL108" i="34" s="1"/>
  <c r="AK109" i="34"/>
  <c r="AL109" i="34" s="1"/>
  <c r="AK110" i="34"/>
  <c r="AK111" i="34"/>
  <c r="AL111" i="34" s="1"/>
  <c r="AK112" i="34"/>
  <c r="AK113" i="34"/>
  <c r="AL113" i="34" s="1"/>
  <c r="AK114" i="34"/>
  <c r="AK115" i="34"/>
  <c r="AK116" i="34"/>
  <c r="AL116" i="34" s="1"/>
  <c r="AK117" i="34"/>
  <c r="AL117" i="34" s="1"/>
  <c r="AK118" i="34"/>
  <c r="AK119" i="34"/>
  <c r="AL119" i="34" s="1"/>
  <c r="AK120" i="34"/>
  <c r="AL120" i="34" s="1"/>
  <c r="AK121" i="34"/>
  <c r="AL121" i="34" s="1"/>
  <c r="AK122" i="34"/>
  <c r="AK123" i="34"/>
  <c r="AL123" i="34" s="1"/>
  <c r="AM123" i="34"/>
  <c r="AV123" i="34" s="1"/>
  <c r="AK124" i="34"/>
  <c r="AL124" i="34" s="1"/>
  <c r="AK125" i="34"/>
  <c r="AL125" i="34" s="1"/>
  <c r="AK126" i="34"/>
  <c r="AK127" i="34"/>
  <c r="AL127" i="34" s="1"/>
  <c r="AK128" i="34"/>
  <c r="AK129" i="34"/>
  <c r="AL129" i="34" s="1"/>
  <c r="AK130" i="34"/>
  <c r="AK131" i="34"/>
  <c r="AK132" i="34"/>
  <c r="AL132" i="34" s="1"/>
  <c r="AK133" i="34"/>
  <c r="AL133" i="34" s="1"/>
  <c r="AK134" i="34"/>
  <c r="AK135" i="34"/>
  <c r="AL135" i="34" s="1"/>
  <c r="AK136" i="34"/>
  <c r="AL136" i="34" s="1"/>
  <c r="AK137" i="34"/>
  <c r="AK138" i="34"/>
  <c r="AK139" i="34"/>
  <c r="AL139" i="34" s="1"/>
  <c r="AM139" i="34"/>
  <c r="AK140" i="34"/>
  <c r="AL140" i="34" s="1"/>
  <c r="AK141" i="34"/>
  <c r="AK142" i="34"/>
  <c r="AL142" i="34"/>
  <c r="AM142" i="34"/>
  <c r="AV142" i="34" s="1"/>
  <c r="AK143" i="34"/>
  <c r="AL143" i="34" s="1"/>
  <c r="AK144" i="34"/>
  <c r="AL144" i="34" s="1"/>
  <c r="AK145" i="34"/>
  <c r="AK146" i="34"/>
  <c r="AL146" i="34" s="1"/>
  <c r="AK147" i="34"/>
  <c r="AL147" i="34" s="1"/>
  <c r="AK148" i="34"/>
  <c r="AL148" i="34" s="1"/>
  <c r="AK149" i="34"/>
  <c r="AK150" i="34"/>
  <c r="AL150" i="34" s="1"/>
  <c r="AK151" i="34"/>
  <c r="AK152" i="34"/>
  <c r="AL152" i="34" s="1"/>
  <c r="AK153" i="34"/>
  <c r="AK154" i="34"/>
  <c r="AK155" i="34"/>
  <c r="AL155" i="34" s="1"/>
  <c r="AM155" i="34"/>
  <c r="AK156" i="34"/>
  <c r="AK157" i="34"/>
  <c r="AM157" i="34" s="1"/>
  <c r="AK158" i="34"/>
  <c r="AK159" i="34"/>
  <c r="AL159" i="34" s="1"/>
  <c r="AK160" i="34"/>
  <c r="AK161" i="34"/>
  <c r="AM161" i="34" s="1"/>
  <c r="AK162" i="34"/>
  <c r="AK163" i="34"/>
  <c r="AL163" i="34" s="1"/>
  <c r="AK164" i="34"/>
  <c r="AK165" i="34"/>
  <c r="AM165" i="34" s="1"/>
  <c r="AK166" i="34"/>
  <c r="AK167" i="34"/>
  <c r="AL167" i="34" s="1"/>
  <c r="AM167" i="34"/>
  <c r="AK168" i="34"/>
  <c r="AK169" i="34"/>
  <c r="AM169" i="34" s="1"/>
  <c r="AK170" i="34"/>
  <c r="AK171" i="34"/>
  <c r="AL171" i="34" s="1"/>
  <c r="AM171" i="34"/>
  <c r="AK172" i="34"/>
  <c r="AK173" i="34"/>
  <c r="AM173" i="34" s="1"/>
  <c r="AK174" i="34"/>
  <c r="AK175" i="34"/>
  <c r="AL175" i="34" s="1"/>
  <c r="AK176" i="34"/>
  <c r="AK177" i="34"/>
  <c r="AM177" i="34" s="1"/>
  <c r="AK178" i="34"/>
  <c r="AK179" i="34"/>
  <c r="AL179" i="34" s="1"/>
  <c r="AK180" i="34"/>
  <c r="AK181" i="34"/>
  <c r="AM181" i="34" s="1"/>
  <c r="AK182" i="34"/>
  <c r="AK183" i="34"/>
  <c r="AL183" i="34" s="1"/>
  <c r="AM183" i="34"/>
  <c r="AK184" i="34"/>
  <c r="AK185" i="34"/>
  <c r="AM185" i="34" s="1"/>
  <c r="AK186" i="34"/>
  <c r="AK187" i="34"/>
  <c r="AM187" i="34" s="1"/>
  <c r="AL187" i="34"/>
  <c r="AK188" i="34"/>
  <c r="AK189" i="34"/>
  <c r="AM189" i="34" s="1"/>
  <c r="AK190" i="34"/>
  <c r="AK191" i="34"/>
  <c r="AL191" i="34" s="1"/>
  <c r="AK192" i="34"/>
  <c r="AK193" i="34"/>
  <c r="AM193" i="34" s="1"/>
  <c r="AK194" i="34"/>
  <c r="AL194" i="34" s="1"/>
  <c r="AV194" i="34" s="1"/>
  <c r="AM194" i="34"/>
  <c r="AK195" i="34"/>
  <c r="AL195" i="34" s="1"/>
  <c r="AK196" i="34"/>
  <c r="AK197" i="34"/>
  <c r="AM197" i="34" s="1"/>
  <c r="AK198" i="34"/>
  <c r="AL198" i="34" s="1"/>
  <c r="AM198" i="34"/>
  <c r="AK199" i="34"/>
  <c r="AL199" i="34" s="1"/>
  <c r="AK200" i="34"/>
  <c r="AK201" i="34"/>
  <c r="AM201" i="34" s="1"/>
  <c r="AK202" i="34"/>
  <c r="AL202" i="34" s="1"/>
  <c r="AK203" i="34"/>
  <c r="AK204" i="34"/>
  <c r="AK205" i="34"/>
  <c r="AM205" i="34" s="1"/>
  <c r="AK206" i="34"/>
  <c r="AK207" i="34"/>
  <c r="AL207" i="34" s="1"/>
  <c r="AK208" i="34"/>
  <c r="AK209" i="34"/>
  <c r="AM209" i="34" s="1"/>
  <c r="AK210" i="34"/>
  <c r="AL210" i="34" s="1"/>
  <c r="AV210" i="34" s="1"/>
  <c r="AM210" i="34"/>
  <c r="AK211" i="34"/>
  <c r="AL211" i="34" s="1"/>
  <c r="AK212" i="34"/>
  <c r="AK213" i="34"/>
  <c r="AM213" i="34" s="1"/>
  <c r="AK214" i="34"/>
  <c r="AL214" i="34" s="1"/>
  <c r="AK215" i="34"/>
  <c r="AL215" i="34" s="1"/>
  <c r="AK216" i="34"/>
  <c r="AK217" i="34"/>
  <c r="AM217" i="34" s="1"/>
  <c r="AK218" i="34"/>
  <c r="AK219" i="34"/>
  <c r="AL219" i="34" s="1"/>
  <c r="AK220" i="34"/>
  <c r="AK221" i="34"/>
  <c r="AM221" i="34" s="1"/>
  <c r="AK222" i="34"/>
  <c r="AK223" i="34"/>
  <c r="AL223" i="34" s="1"/>
  <c r="AK224" i="34"/>
  <c r="AK225" i="34"/>
  <c r="AM225" i="34" s="1"/>
  <c r="AK226" i="34"/>
  <c r="AK227" i="34"/>
  <c r="AM227" i="34" s="1"/>
  <c r="AK228" i="34"/>
  <c r="AL228" i="34" s="1"/>
  <c r="AM228" i="34"/>
  <c r="AV228" i="34" s="1"/>
  <c r="AK229" i="34"/>
  <c r="AM229" i="34" s="1"/>
  <c r="AK230" i="34"/>
  <c r="AK231" i="34"/>
  <c r="AK232" i="34"/>
  <c r="AL232" i="34" s="1"/>
  <c r="AK233" i="34"/>
  <c r="AM233" i="34" s="1"/>
  <c r="AK234" i="34"/>
  <c r="AK235" i="34"/>
  <c r="AK236" i="34"/>
  <c r="AL236" i="34" s="1"/>
  <c r="AK237" i="34"/>
  <c r="AM237" i="34" s="1"/>
  <c r="AK238" i="34"/>
  <c r="AK239" i="34"/>
  <c r="AK240" i="34"/>
  <c r="AL240" i="34" s="1"/>
  <c r="AM240" i="34"/>
  <c r="AK241" i="34"/>
  <c r="AM241" i="34" s="1"/>
  <c r="AK242" i="34"/>
  <c r="AK243" i="34"/>
  <c r="AK244" i="34"/>
  <c r="AL244" i="34" s="1"/>
  <c r="AM244" i="34"/>
  <c r="AV244" i="34" s="1"/>
  <c r="AK245" i="34"/>
  <c r="AM245" i="34" s="1"/>
  <c r="AK246" i="34"/>
  <c r="AK247" i="34"/>
  <c r="AK248" i="34"/>
  <c r="AL248" i="34" s="1"/>
  <c r="AK249" i="34"/>
  <c r="AM249" i="34" s="1"/>
  <c r="AK250" i="34"/>
  <c r="AK251" i="34"/>
  <c r="AK252" i="34"/>
  <c r="AL252" i="34" s="1"/>
  <c r="AK253" i="34"/>
  <c r="AM253" i="34" s="1"/>
  <c r="AK254" i="34"/>
  <c r="AK255" i="34"/>
  <c r="AK256" i="34"/>
  <c r="AL256" i="34" s="1"/>
  <c r="AM256" i="34"/>
  <c r="AK257" i="34"/>
  <c r="AM257" i="34" s="1"/>
  <c r="AK258" i="34"/>
  <c r="AK259" i="34"/>
  <c r="AK260" i="34"/>
  <c r="AL260" i="34" s="1"/>
  <c r="AM260" i="34"/>
  <c r="AK261" i="34"/>
  <c r="AM261" i="34" s="1"/>
  <c r="AK262" i="34"/>
  <c r="AK263" i="34"/>
  <c r="AK264" i="34"/>
  <c r="AL264" i="34" s="1"/>
  <c r="AK265" i="34"/>
  <c r="AK266" i="34"/>
  <c r="AK267" i="34"/>
  <c r="AL267" i="34" s="1"/>
  <c r="AK268" i="34"/>
  <c r="AL268" i="34" s="1"/>
  <c r="AM268" i="34"/>
  <c r="AK269" i="34"/>
  <c r="AK270" i="34"/>
  <c r="AK271" i="34"/>
  <c r="AM271" i="34" s="1"/>
  <c r="AL271" i="34"/>
  <c r="AK272" i="34"/>
  <c r="AL272" i="34" s="1"/>
  <c r="AK273" i="34"/>
  <c r="AK274" i="34"/>
  <c r="AK275" i="34"/>
  <c r="AL275" i="34" s="1"/>
  <c r="AV275" i="34" s="1"/>
  <c r="AM275" i="34"/>
  <c r="AK276" i="34"/>
  <c r="AL276" i="34" s="1"/>
  <c r="AK277" i="34"/>
  <c r="AK278" i="34"/>
  <c r="AK279" i="34"/>
  <c r="AM279" i="34" s="1"/>
  <c r="AV279" i="34" s="1"/>
  <c r="AL279" i="34"/>
  <c r="AK280" i="34"/>
  <c r="AL280" i="34" s="1"/>
  <c r="AK281" i="34"/>
  <c r="AK282" i="34"/>
  <c r="AK283" i="34"/>
  <c r="AL283" i="34" s="1"/>
  <c r="AV283" i="34" s="1"/>
  <c r="AM283" i="34"/>
  <c r="AK284" i="34"/>
  <c r="AL284" i="34" s="1"/>
  <c r="AK285" i="34"/>
  <c r="AK286" i="34"/>
  <c r="AK287" i="34"/>
  <c r="AM287" i="34" s="1"/>
  <c r="AL287" i="34"/>
  <c r="AK288" i="34"/>
  <c r="AL288" i="34" s="1"/>
  <c r="AK289" i="34"/>
  <c r="AK290" i="34"/>
  <c r="AL290" i="34" s="1"/>
  <c r="AK291" i="34"/>
  <c r="AK292" i="34"/>
  <c r="AL292" i="34" s="1"/>
  <c r="AK293" i="34"/>
  <c r="AK294" i="34"/>
  <c r="AL294" i="34" s="1"/>
  <c r="AK295" i="34"/>
  <c r="AL295" i="34" s="1"/>
  <c r="AM295" i="34"/>
  <c r="AK296" i="34"/>
  <c r="AL296" i="34" s="1"/>
  <c r="AK297" i="34"/>
  <c r="AK298" i="34"/>
  <c r="AL298" i="34" s="1"/>
  <c r="AK299" i="34"/>
  <c r="AK300" i="34"/>
  <c r="AK301" i="34"/>
  <c r="AK302" i="34"/>
  <c r="AL302" i="34"/>
  <c r="AM302" i="34"/>
  <c r="AK303" i="34"/>
  <c r="AL303" i="34" s="1"/>
  <c r="AK304" i="34"/>
  <c r="AM304" i="34" s="1"/>
  <c r="AL304" i="34"/>
  <c r="AK305" i="34"/>
  <c r="AL305" i="34" s="1"/>
  <c r="AK306" i="34"/>
  <c r="AM306" i="34" s="1"/>
  <c r="AK307" i="34"/>
  <c r="AL307" i="34" s="1"/>
  <c r="AK308" i="34"/>
  <c r="AM308" i="34" s="1"/>
  <c r="AL308" i="34"/>
  <c r="AK309" i="34"/>
  <c r="AL309" i="34" s="1"/>
  <c r="AK310" i="34"/>
  <c r="AL310" i="34"/>
  <c r="AV310" i="34" s="1"/>
  <c r="AM310" i="34"/>
  <c r="AK311" i="34"/>
  <c r="AL311" i="34" s="1"/>
  <c r="AK312" i="34"/>
  <c r="AM312" i="34" s="1"/>
  <c r="AK313" i="34"/>
  <c r="AL313" i="34" s="1"/>
  <c r="AK314" i="34"/>
  <c r="AM314" i="34" s="1"/>
  <c r="AK315" i="34"/>
  <c r="AL315" i="34" s="1"/>
  <c r="AK316" i="34"/>
  <c r="AM316" i="34" s="1"/>
  <c r="AK317" i="34"/>
  <c r="AL317" i="34" s="1"/>
  <c r="AK318" i="34"/>
  <c r="AM318" i="34" s="1"/>
  <c r="AK319" i="34"/>
  <c r="AL319" i="34" s="1"/>
  <c r="AK320" i="34"/>
  <c r="AM320" i="34" s="1"/>
  <c r="AK321" i="34"/>
  <c r="AK322" i="34"/>
  <c r="AM322" i="34" s="1"/>
  <c r="AL322" i="34"/>
  <c r="AK323" i="34"/>
  <c r="AK324" i="34"/>
  <c r="AM324" i="34" s="1"/>
  <c r="AK325" i="34"/>
  <c r="AK326" i="34"/>
  <c r="AM326" i="34" s="1"/>
  <c r="AK327" i="34"/>
  <c r="AK328" i="34"/>
  <c r="AK329" i="34"/>
  <c r="AK330" i="34"/>
  <c r="AM330" i="34" s="1"/>
  <c r="AK331" i="34"/>
  <c r="AK332" i="34"/>
  <c r="AM332" i="34" s="1"/>
  <c r="AL332" i="34"/>
  <c r="AK333" i="34"/>
  <c r="AL333" i="34" s="1"/>
  <c r="AK334" i="34"/>
  <c r="AM334" i="34" s="1"/>
  <c r="AK335" i="34"/>
  <c r="AL335" i="34" s="1"/>
  <c r="AK336" i="34"/>
  <c r="AM336" i="34" s="1"/>
  <c r="AK337" i="34"/>
  <c r="AL337" i="34" s="1"/>
  <c r="AK338" i="34"/>
  <c r="AM338" i="34" s="1"/>
  <c r="AK339" i="34"/>
  <c r="AL339" i="34" s="1"/>
  <c r="AK340" i="34"/>
  <c r="AK341" i="34"/>
  <c r="AL341" i="34" s="1"/>
  <c r="AK342" i="34"/>
  <c r="AK343" i="34"/>
  <c r="AL343" i="34" s="1"/>
  <c r="AM343" i="34"/>
  <c r="AK344" i="34"/>
  <c r="AK345" i="34"/>
  <c r="AL345" i="34" s="1"/>
  <c r="AM345" i="34"/>
  <c r="AK346" i="34"/>
  <c r="AK347" i="34"/>
  <c r="AL347" i="34" s="1"/>
  <c r="AM347" i="34"/>
  <c r="AK348" i="34"/>
  <c r="AK349" i="34"/>
  <c r="AK350" i="34"/>
  <c r="AK351" i="34"/>
  <c r="AK352" i="34"/>
  <c r="AM352" i="34" s="1"/>
  <c r="AK353" i="34"/>
  <c r="AL353" i="34" s="1"/>
  <c r="AK354" i="34"/>
  <c r="AK355" i="34"/>
  <c r="AL355" i="34" s="1"/>
  <c r="AM355" i="34"/>
  <c r="AK356" i="34"/>
  <c r="AK357" i="34"/>
  <c r="AL357" i="34" s="1"/>
  <c r="AM357" i="34"/>
  <c r="AV357" i="34" s="1"/>
  <c r="AK358" i="34"/>
  <c r="AK359" i="34"/>
  <c r="AL359" i="34" s="1"/>
  <c r="AK360" i="34"/>
  <c r="AK361" i="34"/>
  <c r="AL361" i="34" s="1"/>
  <c r="AK362" i="34"/>
  <c r="AK363" i="34"/>
  <c r="AL363" i="34" s="1"/>
  <c r="AM363" i="34"/>
  <c r="AK364" i="34"/>
  <c r="AK365" i="34"/>
  <c r="AL365" i="34" s="1"/>
  <c r="AK366" i="34"/>
  <c r="AK367" i="34"/>
  <c r="AL367" i="34" s="1"/>
  <c r="AK368" i="34"/>
  <c r="AM368" i="34" s="1"/>
  <c r="AK369" i="34"/>
  <c r="AL369" i="34" s="1"/>
  <c r="AM369" i="34"/>
  <c r="AV369" i="34" s="1"/>
  <c r="AK370" i="34"/>
  <c r="AK371" i="34"/>
  <c r="AL371" i="34" s="1"/>
  <c r="AK372" i="34"/>
  <c r="AL372" i="34" s="1"/>
  <c r="AM372" i="34"/>
  <c r="AK373" i="34"/>
  <c r="AK374" i="34"/>
  <c r="AM374" i="34" s="1"/>
  <c r="AK375" i="34"/>
  <c r="AK376" i="34"/>
  <c r="AM376" i="34" s="1"/>
  <c r="AK377" i="34"/>
  <c r="AL377" i="34" s="1"/>
  <c r="AK378" i="34"/>
  <c r="AM378" i="34" s="1"/>
  <c r="AK379" i="34"/>
  <c r="AL379" i="34" s="1"/>
  <c r="AK380" i="34"/>
  <c r="AL380" i="34" s="1"/>
  <c r="AM380" i="34"/>
  <c r="AK381" i="34"/>
  <c r="AL381" i="34" s="1"/>
  <c r="AK382" i="34"/>
  <c r="AM382" i="34" s="1"/>
  <c r="AK383" i="34"/>
  <c r="AL383" i="34" s="1"/>
  <c r="AK384" i="34"/>
  <c r="AM384" i="34" s="1"/>
  <c r="AL384" i="34"/>
  <c r="AK385" i="34"/>
  <c r="AL385" i="34" s="1"/>
  <c r="AK386" i="34"/>
  <c r="AL386" i="34" s="1"/>
  <c r="AK387" i="34"/>
  <c r="AK388" i="34"/>
  <c r="AM388" i="34" s="1"/>
  <c r="AK389" i="34"/>
  <c r="AL389" i="34" s="1"/>
  <c r="AK390" i="34"/>
  <c r="AL390" i="34" s="1"/>
  <c r="AM390" i="34"/>
  <c r="AK391" i="34"/>
  <c r="AK392" i="34"/>
  <c r="AM392" i="34" s="1"/>
  <c r="AK393" i="34"/>
  <c r="AL393" i="34" s="1"/>
  <c r="AK394" i="34"/>
  <c r="AL394" i="34" s="1"/>
  <c r="AM394" i="34"/>
  <c r="AK395" i="34"/>
  <c r="AK396" i="34"/>
  <c r="AM396" i="34" s="1"/>
  <c r="AK397" i="34"/>
  <c r="AM397" i="34" s="1"/>
  <c r="AK398" i="34"/>
  <c r="AL398" i="34" s="1"/>
  <c r="AK399" i="34"/>
  <c r="AK400" i="34"/>
  <c r="AM400" i="34" s="1"/>
  <c r="AK401" i="34"/>
  <c r="AM401" i="34" s="1"/>
  <c r="AK402" i="34"/>
  <c r="AL402" i="34" s="1"/>
  <c r="AK403" i="34"/>
  <c r="AK404" i="34"/>
  <c r="AM404" i="34" s="1"/>
  <c r="AK405" i="34"/>
  <c r="AL405" i="34" s="1"/>
  <c r="AK406" i="34"/>
  <c r="AL406" i="34" s="1"/>
  <c r="AK407" i="34"/>
  <c r="AK408" i="34"/>
  <c r="AM408" i="34" s="1"/>
  <c r="AK409" i="34"/>
  <c r="AM409" i="34" s="1"/>
  <c r="AK410" i="34"/>
  <c r="AL410" i="34" s="1"/>
  <c r="AK411" i="34"/>
  <c r="AK412" i="34"/>
  <c r="AM412" i="34" s="1"/>
  <c r="AK413" i="34"/>
  <c r="AL413" i="34" s="1"/>
  <c r="AK414" i="34"/>
  <c r="AL414" i="34" s="1"/>
  <c r="AK415" i="34"/>
  <c r="AK416" i="34"/>
  <c r="AM416" i="34" s="1"/>
  <c r="AK417" i="34"/>
  <c r="AL417" i="34" s="1"/>
  <c r="AK418" i="34"/>
  <c r="AL418" i="34" s="1"/>
  <c r="AK419" i="34"/>
  <c r="AK420" i="34"/>
  <c r="AM420" i="34" s="1"/>
  <c r="AK421" i="34"/>
  <c r="AL421" i="34" s="1"/>
  <c r="AK422" i="34"/>
  <c r="AL422" i="34" s="1"/>
  <c r="AK423" i="34"/>
  <c r="AL423" i="34" s="1"/>
  <c r="AK424" i="34"/>
  <c r="AL424" i="34" s="1"/>
  <c r="AK425" i="34"/>
  <c r="AL425" i="34" s="1"/>
  <c r="AM425" i="34"/>
  <c r="AK426" i="34"/>
  <c r="AK427" i="34"/>
  <c r="AM427" i="34" s="1"/>
  <c r="AK428" i="34"/>
  <c r="AL428" i="34" s="1"/>
  <c r="AK429" i="34"/>
  <c r="AL429" i="34" s="1"/>
  <c r="AK430" i="34"/>
  <c r="AK431" i="34"/>
  <c r="AM431" i="34" s="1"/>
  <c r="AK432" i="34"/>
  <c r="AL432" i="34" s="1"/>
  <c r="AK433" i="34"/>
  <c r="AL433" i="34" s="1"/>
  <c r="AW444" i="34"/>
  <c r="AV444" i="34"/>
  <c r="AW443" i="34"/>
  <c r="AV443" i="34"/>
  <c r="AW442" i="34"/>
  <c r="AV442" i="34"/>
  <c r="AW441" i="34"/>
  <c r="AV441" i="34"/>
  <c r="AW440" i="34"/>
  <c r="AV440" i="34"/>
  <c r="AW439" i="34"/>
  <c r="AV439" i="34"/>
  <c r="AW438" i="34"/>
  <c r="AV438" i="34"/>
  <c r="AW437" i="34"/>
  <c r="AV437" i="34"/>
  <c r="AW436" i="34"/>
  <c r="AV436" i="34"/>
  <c r="AW435" i="34"/>
  <c r="AV435" i="34"/>
  <c r="N435" i="34"/>
  <c r="AX433" i="34"/>
  <c r="AP433" i="34"/>
  <c r="AQ433" i="34" s="1"/>
  <c r="AR433" i="34" s="1"/>
  <c r="AX432" i="34"/>
  <c r="AP432" i="34"/>
  <c r="AQ432" i="34" s="1"/>
  <c r="AR432" i="34" s="1"/>
  <c r="AX431" i="34"/>
  <c r="AP431" i="34"/>
  <c r="AQ431" i="34" s="1"/>
  <c r="AR431" i="34" s="1"/>
  <c r="AX430" i="34"/>
  <c r="AP430" i="34"/>
  <c r="AQ430" i="34" s="1"/>
  <c r="AR430" i="34" s="1"/>
  <c r="AX429" i="34"/>
  <c r="AY429" i="34" s="1"/>
  <c r="AP429" i="34"/>
  <c r="AX428" i="34"/>
  <c r="AY428" i="34" s="1"/>
  <c r="AP428" i="34"/>
  <c r="AQ428" i="34" s="1"/>
  <c r="AR428" i="34" s="1"/>
  <c r="AX427" i="34"/>
  <c r="AY427" i="34" s="1"/>
  <c r="AP427" i="34"/>
  <c r="AX426" i="34"/>
  <c r="AY426" i="34" s="1"/>
  <c r="AP426" i="34"/>
  <c r="AQ426" i="34" s="1"/>
  <c r="AR426" i="34" s="1"/>
  <c r="AX425" i="34"/>
  <c r="AY425" i="34" s="1"/>
  <c r="AP425" i="34"/>
  <c r="AX424" i="34"/>
  <c r="AY424" i="34" s="1"/>
  <c r="AP424" i="34"/>
  <c r="AQ424" i="34" s="1"/>
  <c r="AR424" i="34" s="1"/>
  <c r="AX423" i="34"/>
  <c r="AP423" i="34"/>
  <c r="AQ423" i="34" s="1"/>
  <c r="AR423" i="34" s="1"/>
  <c r="AX422" i="34"/>
  <c r="AP422" i="34"/>
  <c r="AQ422" i="34" s="1"/>
  <c r="AR422" i="34" s="1"/>
  <c r="AX421" i="34"/>
  <c r="AP421" i="34"/>
  <c r="AQ421" i="34" s="1"/>
  <c r="AR421" i="34" s="1"/>
  <c r="AX420" i="34"/>
  <c r="AP420" i="34"/>
  <c r="AQ420" i="34" s="1"/>
  <c r="AR420" i="34" s="1"/>
  <c r="AX419" i="34"/>
  <c r="AP419" i="34"/>
  <c r="AX418" i="34"/>
  <c r="AY418" i="34" s="1"/>
  <c r="AP418" i="34"/>
  <c r="AQ418" i="34" s="1"/>
  <c r="AR418" i="34" s="1"/>
  <c r="AX417" i="34"/>
  <c r="AY417" i="34" s="1"/>
  <c r="AP417" i="34"/>
  <c r="AX416" i="34"/>
  <c r="AY416" i="34" s="1"/>
  <c r="AP416" i="34"/>
  <c r="AQ416" i="34" s="1"/>
  <c r="AR416" i="34" s="1"/>
  <c r="AX415" i="34"/>
  <c r="AP415" i="34"/>
  <c r="AQ415" i="34" s="1"/>
  <c r="AR415" i="34" s="1"/>
  <c r="AX414" i="34"/>
  <c r="AY414" i="34" s="1"/>
  <c r="AP414" i="34"/>
  <c r="AQ414" i="34" s="1"/>
  <c r="AR414" i="34" s="1"/>
  <c r="AX413" i="34"/>
  <c r="AY413" i="34" s="1"/>
  <c r="AP413" i="34"/>
  <c r="AQ413" i="34" s="1"/>
  <c r="AR413" i="34" s="1"/>
  <c r="AX412" i="34"/>
  <c r="AY412" i="34" s="1"/>
  <c r="AQ412" i="34"/>
  <c r="AR412" i="34" s="1"/>
  <c r="AP412" i="34"/>
  <c r="AX411" i="34"/>
  <c r="AP411" i="34"/>
  <c r="AQ411" i="34" s="1"/>
  <c r="AR411" i="34" s="1"/>
  <c r="AX410" i="34"/>
  <c r="AY410" i="34" s="1"/>
  <c r="AP410" i="34"/>
  <c r="AX409" i="34"/>
  <c r="AY409" i="34" s="1"/>
  <c r="AP409" i="34"/>
  <c r="AQ409" i="34" s="1"/>
  <c r="AR409" i="34" s="1"/>
  <c r="AX408" i="34"/>
  <c r="AP408" i="34"/>
  <c r="AQ408" i="34" s="1"/>
  <c r="AR408" i="34" s="1"/>
  <c r="AX407" i="34"/>
  <c r="AP407" i="34"/>
  <c r="AQ407" i="34" s="1"/>
  <c r="AR407" i="34" s="1"/>
  <c r="AX406" i="34"/>
  <c r="AP406" i="34"/>
  <c r="AQ406" i="34" s="1"/>
  <c r="AR406" i="34" s="1"/>
  <c r="AX405" i="34"/>
  <c r="AP405" i="34"/>
  <c r="AQ405" i="34" s="1"/>
  <c r="AR405" i="34" s="1"/>
  <c r="AX404" i="34"/>
  <c r="AP404" i="34"/>
  <c r="AQ404" i="34" s="1"/>
  <c r="AR404" i="34" s="1"/>
  <c r="AX403" i="34"/>
  <c r="AP403" i="34"/>
  <c r="AQ403" i="34" s="1"/>
  <c r="AR403" i="34" s="1"/>
  <c r="AX402" i="34"/>
  <c r="AP402" i="34"/>
  <c r="AX401" i="34"/>
  <c r="AP401" i="34"/>
  <c r="AX400" i="34"/>
  <c r="AP400" i="34"/>
  <c r="AQ400" i="34" s="1"/>
  <c r="AR400" i="34" s="1"/>
  <c r="AX399" i="34"/>
  <c r="AP399" i="34"/>
  <c r="AX398" i="34"/>
  <c r="AP398" i="34"/>
  <c r="AQ398" i="34" s="1"/>
  <c r="AR398" i="34" s="1"/>
  <c r="AX397" i="34"/>
  <c r="AP397" i="34"/>
  <c r="AQ397" i="34" s="1"/>
  <c r="AR397" i="34" s="1"/>
  <c r="AX396" i="34"/>
  <c r="AP396" i="34"/>
  <c r="AQ396" i="34" s="1"/>
  <c r="AR396" i="34" s="1"/>
  <c r="AX395" i="34"/>
  <c r="AP395" i="34"/>
  <c r="AQ395" i="34" s="1"/>
  <c r="AR395" i="34" s="1"/>
  <c r="AX394" i="34"/>
  <c r="AQ394" i="34"/>
  <c r="AR394" i="34" s="1"/>
  <c r="AP394" i="34"/>
  <c r="AX393" i="34"/>
  <c r="AP393" i="34"/>
  <c r="AQ393" i="34" s="1"/>
  <c r="AR393" i="34" s="1"/>
  <c r="AX392" i="34"/>
  <c r="AP392" i="34"/>
  <c r="AQ392" i="34" s="1"/>
  <c r="AR392" i="34" s="1"/>
  <c r="AX391" i="34"/>
  <c r="AP391" i="34"/>
  <c r="AQ391" i="34" s="1"/>
  <c r="AR391" i="34" s="1"/>
  <c r="AX390" i="34"/>
  <c r="AP390" i="34"/>
  <c r="AQ390" i="34" s="1"/>
  <c r="AR390" i="34" s="1"/>
  <c r="AX389" i="34"/>
  <c r="AP389" i="34"/>
  <c r="AQ389" i="34" s="1"/>
  <c r="AR389" i="34" s="1"/>
  <c r="AX388" i="34"/>
  <c r="AP388" i="34"/>
  <c r="AX387" i="34"/>
  <c r="AP387" i="34"/>
  <c r="AX386" i="34"/>
  <c r="AP386" i="34"/>
  <c r="AQ386" i="34" s="1"/>
  <c r="AR386" i="34" s="1"/>
  <c r="AX385" i="34"/>
  <c r="AP385" i="34"/>
  <c r="AQ385" i="34" s="1"/>
  <c r="AR385" i="34" s="1"/>
  <c r="AX384" i="34"/>
  <c r="AP384" i="34"/>
  <c r="AX383" i="34"/>
  <c r="AP383" i="34"/>
  <c r="AX382" i="34"/>
  <c r="AP382" i="34"/>
  <c r="AX381" i="34"/>
  <c r="AP381" i="34"/>
  <c r="AQ381" i="34" s="1"/>
  <c r="AR381" i="34" s="1"/>
  <c r="AX380" i="34"/>
  <c r="AP380" i="34"/>
  <c r="AX379" i="34"/>
  <c r="AP379" i="34"/>
  <c r="AQ379" i="34" s="1"/>
  <c r="AR379" i="34" s="1"/>
  <c r="AX378" i="34"/>
  <c r="AP378" i="34"/>
  <c r="AQ378" i="34" s="1"/>
  <c r="AR378" i="34" s="1"/>
  <c r="AX377" i="34"/>
  <c r="AP377" i="34"/>
  <c r="AQ377" i="34" s="1"/>
  <c r="AR377" i="34" s="1"/>
  <c r="AX376" i="34"/>
  <c r="AP376" i="34"/>
  <c r="AX375" i="34"/>
  <c r="AP375" i="34"/>
  <c r="AQ375" i="34" s="1"/>
  <c r="AR375" i="34" s="1"/>
  <c r="AX374" i="34"/>
  <c r="AP374" i="34"/>
  <c r="AQ374" i="34" s="1"/>
  <c r="AR374" i="34" s="1"/>
  <c r="AX373" i="34"/>
  <c r="AP373" i="34"/>
  <c r="AX372" i="34"/>
  <c r="AP372" i="34"/>
  <c r="AX371" i="34"/>
  <c r="AP371" i="34"/>
  <c r="AQ371" i="34" s="1"/>
  <c r="AR371" i="34" s="1"/>
  <c r="AX370" i="34"/>
  <c r="AP370" i="34"/>
  <c r="AQ370" i="34" s="1"/>
  <c r="AR370" i="34" s="1"/>
  <c r="AX369" i="34"/>
  <c r="AP369" i="34"/>
  <c r="AX368" i="34"/>
  <c r="AP368" i="34"/>
  <c r="AX367" i="34"/>
  <c r="AP367" i="34"/>
  <c r="AQ367" i="34" s="1"/>
  <c r="AR367" i="34" s="1"/>
  <c r="AX366" i="34"/>
  <c r="AP366" i="34"/>
  <c r="AQ366" i="34" s="1"/>
  <c r="AR366" i="34" s="1"/>
  <c r="AX365" i="34"/>
  <c r="AP365" i="34"/>
  <c r="AX364" i="34"/>
  <c r="AP364" i="34"/>
  <c r="AX363" i="34"/>
  <c r="AP363" i="34"/>
  <c r="AQ363" i="34" s="1"/>
  <c r="AR363" i="34" s="1"/>
  <c r="AX362" i="34"/>
  <c r="AP362" i="34"/>
  <c r="AQ362" i="34" s="1"/>
  <c r="AR362" i="34" s="1"/>
  <c r="AX361" i="34"/>
  <c r="AP361" i="34"/>
  <c r="AX360" i="34"/>
  <c r="AP360" i="34"/>
  <c r="AX359" i="34"/>
  <c r="AP359" i="34"/>
  <c r="AQ359" i="34" s="1"/>
  <c r="AR359" i="34" s="1"/>
  <c r="AX358" i="34"/>
  <c r="AP358" i="34"/>
  <c r="AQ358" i="34" s="1"/>
  <c r="AR358" i="34" s="1"/>
  <c r="AX357" i="34"/>
  <c r="AP357" i="34"/>
  <c r="AQ357" i="34" s="1"/>
  <c r="AR357" i="34" s="1"/>
  <c r="AX356" i="34"/>
  <c r="AP356" i="34"/>
  <c r="AX355" i="34"/>
  <c r="AP355" i="34"/>
  <c r="AQ355" i="34" s="1"/>
  <c r="AR355" i="34" s="1"/>
  <c r="AX354" i="34"/>
  <c r="AP354" i="34"/>
  <c r="AQ354" i="34" s="1"/>
  <c r="AR354" i="34" s="1"/>
  <c r="AX353" i="34"/>
  <c r="AP353" i="34"/>
  <c r="AQ353" i="34" s="1"/>
  <c r="AR353" i="34" s="1"/>
  <c r="AX352" i="34"/>
  <c r="AP352" i="34"/>
  <c r="AX351" i="34"/>
  <c r="AP351" i="34"/>
  <c r="AQ351" i="34" s="1"/>
  <c r="AR351" i="34" s="1"/>
  <c r="AX350" i="34"/>
  <c r="AP350" i="34"/>
  <c r="AQ350" i="34" s="1"/>
  <c r="AR350" i="34" s="1"/>
  <c r="AX349" i="34"/>
  <c r="AP349" i="34"/>
  <c r="AQ349" i="34" s="1"/>
  <c r="AR349" i="34" s="1"/>
  <c r="AX348" i="34"/>
  <c r="AY348" i="34" s="1"/>
  <c r="AP348" i="34"/>
  <c r="AQ348" i="34" s="1"/>
  <c r="AR348" i="34" s="1"/>
  <c r="AX347" i="34"/>
  <c r="AP347" i="34"/>
  <c r="AQ347" i="34" s="1"/>
  <c r="AR347" i="34" s="1"/>
  <c r="AX346" i="34"/>
  <c r="AP346" i="34"/>
  <c r="AQ346" i="34" s="1"/>
  <c r="AR346" i="34" s="1"/>
  <c r="AX345" i="34"/>
  <c r="AP345" i="34"/>
  <c r="AX344" i="34"/>
  <c r="AP344" i="34"/>
  <c r="AQ344" i="34" s="1"/>
  <c r="AR344" i="34" s="1"/>
  <c r="AX343" i="34"/>
  <c r="AP343" i="34"/>
  <c r="AQ343" i="34" s="1"/>
  <c r="AR343" i="34" s="1"/>
  <c r="AX342" i="34"/>
  <c r="AP342" i="34"/>
  <c r="AX341" i="34"/>
  <c r="AP341" i="34"/>
  <c r="AQ341" i="34" s="1"/>
  <c r="AR341" i="34" s="1"/>
  <c r="AX340" i="34"/>
  <c r="AP340" i="34"/>
  <c r="AQ340" i="34" s="1"/>
  <c r="AR340" i="34" s="1"/>
  <c r="AX339" i="34"/>
  <c r="AP339" i="34"/>
  <c r="AX338" i="34"/>
  <c r="AP338" i="34"/>
  <c r="AQ338" i="34" s="1"/>
  <c r="AR338" i="34" s="1"/>
  <c r="AX337" i="34"/>
  <c r="AP337" i="34"/>
  <c r="AQ337" i="34" s="1"/>
  <c r="AR337" i="34" s="1"/>
  <c r="AX336" i="34"/>
  <c r="AP336" i="34"/>
  <c r="AQ336" i="34" s="1"/>
  <c r="AR336" i="34" s="1"/>
  <c r="AX335" i="34"/>
  <c r="AP335" i="34"/>
  <c r="AQ335" i="34" s="1"/>
  <c r="AR335" i="34" s="1"/>
  <c r="AX334" i="34"/>
  <c r="AP334" i="34"/>
  <c r="AQ334" i="34" s="1"/>
  <c r="AR334" i="34" s="1"/>
  <c r="AX333" i="34"/>
  <c r="AP333" i="34"/>
  <c r="AQ333" i="34" s="1"/>
  <c r="AR333" i="34" s="1"/>
  <c r="AX332" i="34"/>
  <c r="AP332" i="34"/>
  <c r="AQ332" i="34" s="1"/>
  <c r="AR332" i="34" s="1"/>
  <c r="AW332" i="34" s="1"/>
  <c r="AX331" i="34"/>
  <c r="AP331" i="34"/>
  <c r="AQ331" i="34" s="1"/>
  <c r="AR331" i="34" s="1"/>
  <c r="AX330" i="34"/>
  <c r="AP330" i="34"/>
  <c r="AQ330" i="34" s="1"/>
  <c r="AR330" i="34" s="1"/>
  <c r="AX329" i="34"/>
  <c r="AP329" i="34"/>
  <c r="AQ329" i="34" s="1"/>
  <c r="AR329" i="34" s="1"/>
  <c r="AX328" i="34"/>
  <c r="AP328" i="34"/>
  <c r="AQ328" i="34" s="1"/>
  <c r="AR328" i="34" s="1"/>
  <c r="AX327" i="34"/>
  <c r="AP327" i="34"/>
  <c r="AQ327" i="34" s="1"/>
  <c r="AR327" i="34" s="1"/>
  <c r="AX326" i="34"/>
  <c r="AP326" i="34"/>
  <c r="AQ326" i="34" s="1"/>
  <c r="AR326" i="34" s="1"/>
  <c r="AX325" i="34"/>
  <c r="AP325" i="34"/>
  <c r="AQ325" i="34" s="1"/>
  <c r="AR325" i="34" s="1"/>
  <c r="AX324" i="34"/>
  <c r="AP324" i="34"/>
  <c r="AX323" i="34"/>
  <c r="AY323" i="34" s="1"/>
  <c r="AP323" i="34"/>
  <c r="AQ323" i="34" s="1"/>
  <c r="AR323" i="34" s="1"/>
  <c r="AX322" i="34"/>
  <c r="AP322" i="34"/>
  <c r="AQ322" i="34" s="1"/>
  <c r="AR322" i="34" s="1"/>
  <c r="AX321" i="34"/>
  <c r="AP321" i="34"/>
  <c r="AX320" i="34"/>
  <c r="AP320" i="34"/>
  <c r="AX319" i="34"/>
  <c r="AP319" i="34"/>
  <c r="AQ319" i="34" s="1"/>
  <c r="AR319" i="34" s="1"/>
  <c r="AX318" i="34"/>
  <c r="AP318" i="34"/>
  <c r="AQ318" i="34" s="1"/>
  <c r="AR318" i="34" s="1"/>
  <c r="AX317" i="34"/>
  <c r="AP317" i="34"/>
  <c r="AX316" i="34"/>
  <c r="AP316" i="34"/>
  <c r="AQ316" i="34" s="1"/>
  <c r="AR316" i="34" s="1"/>
  <c r="AX315" i="34"/>
  <c r="AP315" i="34"/>
  <c r="AQ315" i="34" s="1"/>
  <c r="AR315" i="34" s="1"/>
  <c r="AX314" i="34"/>
  <c r="AP314" i="34"/>
  <c r="AQ314" i="34" s="1"/>
  <c r="AR314" i="34" s="1"/>
  <c r="AX313" i="34"/>
  <c r="AP313" i="34"/>
  <c r="AQ313" i="34" s="1"/>
  <c r="AR313" i="34" s="1"/>
  <c r="AX312" i="34"/>
  <c r="AP312" i="34"/>
  <c r="AX311" i="34"/>
  <c r="AP311" i="34"/>
  <c r="AQ311" i="34" s="1"/>
  <c r="AR311" i="34" s="1"/>
  <c r="AX310" i="34"/>
  <c r="AP310" i="34"/>
  <c r="AQ310" i="34" s="1"/>
  <c r="AR310" i="34" s="1"/>
  <c r="AX309" i="34"/>
  <c r="AP309" i="34"/>
  <c r="AX308" i="34"/>
  <c r="AP308" i="34"/>
  <c r="AQ308" i="34" s="1"/>
  <c r="AR308" i="34" s="1"/>
  <c r="AX307" i="34"/>
  <c r="AY307" i="34" s="1"/>
  <c r="AP307" i="34"/>
  <c r="AQ307" i="34" s="1"/>
  <c r="AR307" i="34" s="1"/>
  <c r="AX306" i="34"/>
  <c r="AY306" i="34" s="1"/>
  <c r="AP306" i="34"/>
  <c r="AX305" i="34"/>
  <c r="AP305" i="34"/>
  <c r="AQ305" i="34" s="1"/>
  <c r="AR305" i="34" s="1"/>
  <c r="AX304" i="34"/>
  <c r="AY304" i="34" s="1"/>
  <c r="AP304" i="34"/>
  <c r="AX303" i="34"/>
  <c r="AY303" i="34" s="1"/>
  <c r="AP303" i="34"/>
  <c r="AQ303" i="34" s="1"/>
  <c r="AR303" i="34" s="1"/>
  <c r="AX302" i="34"/>
  <c r="AY302" i="34" s="1"/>
  <c r="AP302" i="34"/>
  <c r="AX301" i="34"/>
  <c r="AY301" i="34" s="1"/>
  <c r="AP301" i="34"/>
  <c r="AQ301" i="34" s="1"/>
  <c r="AR301" i="34" s="1"/>
  <c r="AX300" i="34"/>
  <c r="AY300" i="34" s="1"/>
  <c r="AP300" i="34"/>
  <c r="AQ300" i="34" s="1"/>
  <c r="AR300" i="34" s="1"/>
  <c r="AX299" i="34"/>
  <c r="AY299" i="34" s="1"/>
  <c r="AP299" i="34"/>
  <c r="AQ299" i="34" s="1"/>
  <c r="AR299" i="34" s="1"/>
  <c r="AX298" i="34"/>
  <c r="AV298" i="34"/>
  <c r="AP298" i="34"/>
  <c r="AX297" i="34"/>
  <c r="AP297" i="34"/>
  <c r="AX296" i="34"/>
  <c r="AP296" i="34"/>
  <c r="AQ296" i="34" s="1"/>
  <c r="AR296" i="34" s="1"/>
  <c r="AX295" i="34"/>
  <c r="AP295" i="34"/>
  <c r="AQ295" i="34" s="1"/>
  <c r="AR295" i="34" s="1"/>
  <c r="AX294" i="34"/>
  <c r="AP294" i="34"/>
  <c r="AQ294" i="34" s="1"/>
  <c r="AR294" i="34" s="1"/>
  <c r="AX293" i="34"/>
  <c r="AP293" i="34"/>
  <c r="AX292" i="34"/>
  <c r="AP292" i="34"/>
  <c r="AQ292" i="34" s="1"/>
  <c r="AR292" i="34" s="1"/>
  <c r="AX291" i="34"/>
  <c r="AP291" i="34"/>
  <c r="AQ291" i="34" s="1"/>
  <c r="AR291" i="34" s="1"/>
  <c r="AX290" i="34"/>
  <c r="AY290" i="34" s="1"/>
  <c r="AP290" i="34"/>
  <c r="AQ290" i="34" s="1"/>
  <c r="AR290" i="34" s="1"/>
  <c r="AX289" i="34"/>
  <c r="AP289" i="34"/>
  <c r="AQ289" i="34" s="1"/>
  <c r="AR289" i="34" s="1"/>
  <c r="AX288" i="34"/>
  <c r="AP288" i="34"/>
  <c r="AX287" i="34"/>
  <c r="AP287" i="34"/>
  <c r="AQ287" i="34" s="1"/>
  <c r="AR287" i="34" s="1"/>
  <c r="AX286" i="34"/>
  <c r="AP286" i="34"/>
  <c r="AQ286" i="34" s="1"/>
  <c r="AR286" i="34" s="1"/>
  <c r="AX285" i="34"/>
  <c r="AP285" i="34"/>
  <c r="AQ285" i="34" s="1"/>
  <c r="AR285" i="34" s="1"/>
  <c r="AX284" i="34"/>
  <c r="AP284" i="34"/>
  <c r="AX283" i="34"/>
  <c r="AP283" i="34"/>
  <c r="AQ283" i="34" s="1"/>
  <c r="AR283" i="34" s="1"/>
  <c r="AX282" i="34"/>
  <c r="AP282" i="34"/>
  <c r="AQ282" i="34" s="1"/>
  <c r="AR282" i="34" s="1"/>
  <c r="AX281" i="34"/>
  <c r="AP281" i="34"/>
  <c r="AQ281" i="34" s="1"/>
  <c r="AR281" i="34" s="1"/>
  <c r="AX280" i="34"/>
  <c r="AP280" i="34"/>
  <c r="AQ280" i="34" s="1"/>
  <c r="AR280" i="34" s="1"/>
  <c r="AX279" i="34"/>
  <c r="AP279" i="34"/>
  <c r="AQ279" i="34" s="1"/>
  <c r="AR279" i="34" s="1"/>
  <c r="AX278" i="34"/>
  <c r="AP278" i="34"/>
  <c r="AQ278" i="34" s="1"/>
  <c r="AR278" i="34" s="1"/>
  <c r="AX277" i="34"/>
  <c r="AP277" i="34"/>
  <c r="AQ277" i="34" s="1"/>
  <c r="AR277" i="34" s="1"/>
  <c r="AX276" i="34"/>
  <c r="AP276" i="34"/>
  <c r="AX275" i="34"/>
  <c r="AP275" i="34"/>
  <c r="AQ275" i="34" s="1"/>
  <c r="AR275" i="34" s="1"/>
  <c r="AX274" i="34"/>
  <c r="AP274" i="34"/>
  <c r="AQ274" i="34" s="1"/>
  <c r="AR274" i="34" s="1"/>
  <c r="AX273" i="34"/>
  <c r="AP273" i="34"/>
  <c r="AQ273" i="34" s="1"/>
  <c r="AR273" i="34" s="1"/>
  <c r="AX272" i="34"/>
  <c r="AP272" i="34"/>
  <c r="AX271" i="34"/>
  <c r="AP271" i="34"/>
  <c r="AQ271" i="34" s="1"/>
  <c r="AR271" i="34" s="1"/>
  <c r="AX270" i="34"/>
  <c r="AP270" i="34"/>
  <c r="AQ270" i="34" s="1"/>
  <c r="AR270" i="34" s="1"/>
  <c r="AX269" i="34"/>
  <c r="AP269" i="34"/>
  <c r="AQ269" i="34" s="1"/>
  <c r="AR269" i="34" s="1"/>
  <c r="AX268" i="34"/>
  <c r="AP268" i="34"/>
  <c r="AX267" i="34"/>
  <c r="AP267" i="34"/>
  <c r="AQ267" i="34" s="1"/>
  <c r="AR267" i="34" s="1"/>
  <c r="AX266" i="34"/>
  <c r="AP266" i="34"/>
  <c r="AQ266" i="34" s="1"/>
  <c r="AR266" i="34" s="1"/>
  <c r="AX265" i="34"/>
  <c r="AP265" i="34"/>
  <c r="AQ265" i="34" s="1"/>
  <c r="AR265" i="34" s="1"/>
  <c r="AX264" i="34"/>
  <c r="AP264" i="34"/>
  <c r="AQ264" i="34" s="1"/>
  <c r="AR264" i="34" s="1"/>
  <c r="AX263" i="34"/>
  <c r="AP263" i="34"/>
  <c r="AQ263" i="34" s="1"/>
  <c r="AR263" i="34" s="1"/>
  <c r="AX262" i="34"/>
  <c r="AP262" i="34"/>
  <c r="AQ262" i="34" s="1"/>
  <c r="AR262" i="34" s="1"/>
  <c r="AX261" i="34"/>
  <c r="AP261" i="34"/>
  <c r="AQ261" i="34" s="1"/>
  <c r="AR261" i="34" s="1"/>
  <c r="AX260" i="34"/>
  <c r="AP260" i="34"/>
  <c r="AX259" i="34"/>
  <c r="AP259" i="34"/>
  <c r="AQ259" i="34" s="1"/>
  <c r="AR259" i="34" s="1"/>
  <c r="AX258" i="34"/>
  <c r="AP258" i="34"/>
  <c r="AQ258" i="34" s="1"/>
  <c r="AR258" i="34" s="1"/>
  <c r="AX257" i="34"/>
  <c r="AP257" i="34"/>
  <c r="AQ257" i="34" s="1"/>
  <c r="AR257" i="34" s="1"/>
  <c r="AX256" i="34"/>
  <c r="AP256" i="34"/>
  <c r="AX255" i="34"/>
  <c r="AP255" i="34"/>
  <c r="AQ255" i="34" s="1"/>
  <c r="AR255" i="34" s="1"/>
  <c r="AX254" i="34"/>
  <c r="AP254" i="34"/>
  <c r="AQ254" i="34" s="1"/>
  <c r="AR254" i="34" s="1"/>
  <c r="AX253" i="34"/>
  <c r="AP253" i="34"/>
  <c r="AQ253" i="34" s="1"/>
  <c r="AR253" i="34" s="1"/>
  <c r="AX252" i="34"/>
  <c r="AP252" i="34"/>
  <c r="AQ252" i="34" s="1"/>
  <c r="AR252" i="34" s="1"/>
  <c r="AX251" i="34"/>
  <c r="AY251" i="34" s="1"/>
  <c r="AP251" i="34"/>
  <c r="AX250" i="34"/>
  <c r="AP250" i="34"/>
  <c r="AQ250" i="34" s="1"/>
  <c r="AR250" i="34" s="1"/>
  <c r="AX249" i="34"/>
  <c r="AP249" i="34"/>
  <c r="AQ249" i="34" s="1"/>
  <c r="AR249" i="34" s="1"/>
  <c r="AX248" i="34"/>
  <c r="AP248" i="34"/>
  <c r="AQ248" i="34" s="1"/>
  <c r="AR248" i="34" s="1"/>
  <c r="AX247" i="34"/>
  <c r="AP247" i="34"/>
  <c r="AQ247" i="34" s="1"/>
  <c r="AR247" i="34" s="1"/>
  <c r="AX246" i="34"/>
  <c r="AP246" i="34"/>
  <c r="AQ246" i="34" s="1"/>
  <c r="AR246" i="34" s="1"/>
  <c r="AX245" i="34"/>
  <c r="AP245" i="34"/>
  <c r="AQ245" i="34" s="1"/>
  <c r="AR245" i="34" s="1"/>
  <c r="AX244" i="34"/>
  <c r="AP244" i="34"/>
  <c r="AQ244" i="34" s="1"/>
  <c r="AR244" i="34" s="1"/>
  <c r="AX243" i="34"/>
  <c r="AP243" i="34"/>
  <c r="AQ243" i="34" s="1"/>
  <c r="AR243" i="34" s="1"/>
  <c r="AX242" i="34"/>
  <c r="AP242" i="34"/>
  <c r="AQ242" i="34" s="1"/>
  <c r="AR242" i="34" s="1"/>
  <c r="AX241" i="34"/>
  <c r="AP241" i="34"/>
  <c r="AQ241" i="34" s="1"/>
  <c r="AR241" i="34" s="1"/>
  <c r="AX240" i="34"/>
  <c r="AP240" i="34"/>
  <c r="AQ240" i="34" s="1"/>
  <c r="AR240" i="34" s="1"/>
  <c r="AV240" i="34"/>
  <c r="AX239" i="34"/>
  <c r="AP239" i="34"/>
  <c r="AX238" i="34"/>
  <c r="AP238" i="34"/>
  <c r="AQ238" i="34" s="1"/>
  <c r="AR238" i="34" s="1"/>
  <c r="AX237" i="34"/>
  <c r="AP237" i="34"/>
  <c r="AX236" i="34"/>
  <c r="AP236" i="34"/>
  <c r="AQ236" i="34" s="1"/>
  <c r="AR236" i="34" s="1"/>
  <c r="AX235" i="34"/>
  <c r="AP235" i="34"/>
  <c r="AQ235" i="34" s="1"/>
  <c r="AR235" i="34" s="1"/>
  <c r="AW235" i="34" s="1"/>
  <c r="AX234" i="34"/>
  <c r="AP234" i="34"/>
  <c r="AX233" i="34"/>
  <c r="AP233" i="34"/>
  <c r="AQ233" i="34" s="1"/>
  <c r="AR233" i="34" s="1"/>
  <c r="AX232" i="34"/>
  <c r="AP232" i="34"/>
  <c r="AQ232" i="34" s="1"/>
  <c r="AR232" i="34" s="1"/>
  <c r="AX231" i="34"/>
  <c r="AP231" i="34"/>
  <c r="AQ231" i="34" s="1"/>
  <c r="AR231" i="34" s="1"/>
  <c r="AX230" i="34"/>
  <c r="AQ230" i="34"/>
  <c r="AR230" i="34" s="1"/>
  <c r="AP230" i="34"/>
  <c r="AX229" i="34"/>
  <c r="AP229" i="34"/>
  <c r="AX228" i="34"/>
  <c r="AP228" i="34"/>
  <c r="AQ228" i="34" s="1"/>
  <c r="AR228" i="34" s="1"/>
  <c r="AX227" i="34"/>
  <c r="AP227" i="34"/>
  <c r="AX226" i="34"/>
  <c r="AP226" i="34"/>
  <c r="AQ226" i="34" s="1"/>
  <c r="AR226" i="34" s="1"/>
  <c r="AX225" i="34"/>
  <c r="AP225" i="34"/>
  <c r="AQ225" i="34" s="1"/>
  <c r="AR225" i="34" s="1"/>
  <c r="AX224" i="34"/>
  <c r="AP224" i="34"/>
  <c r="AQ224" i="34" s="1"/>
  <c r="AR224" i="34" s="1"/>
  <c r="AX223" i="34"/>
  <c r="AR223" i="34"/>
  <c r="AP223" i="34"/>
  <c r="AQ223" i="34" s="1"/>
  <c r="AX222" i="34"/>
  <c r="AQ222" i="34"/>
  <c r="AR222" i="34" s="1"/>
  <c r="AP222" i="34"/>
  <c r="AX221" i="34"/>
  <c r="AP221" i="34"/>
  <c r="AX220" i="34"/>
  <c r="AP220" i="34"/>
  <c r="AQ220" i="34" s="1"/>
  <c r="AR220" i="34" s="1"/>
  <c r="AX219" i="34"/>
  <c r="AP219" i="34"/>
  <c r="AQ219" i="34" s="1"/>
  <c r="AR219" i="34" s="1"/>
  <c r="AX218" i="34"/>
  <c r="AP218" i="34"/>
  <c r="AQ218" i="34" s="1"/>
  <c r="AR218" i="34" s="1"/>
  <c r="AX217" i="34"/>
  <c r="AP217" i="34"/>
  <c r="AQ217" i="34" s="1"/>
  <c r="AR217" i="34" s="1"/>
  <c r="AX216" i="34"/>
  <c r="AP216" i="34"/>
  <c r="AX215" i="34"/>
  <c r="AP215" i="34"/>
  <c r="AQ215" i="34" s="1"/>
  <c r="AR215" i="34" s="1"/>
  <c r="AX214" i="34"/>
  <c r="AP214" i="34"/>
  <c r="AQ214" i="34" s="1"/>
  <c r="AR214" i="34" s="1"/>
  <c r="AX213" i="34"/>
  <c r="AP213" i="34"/>
  <c r="AQ213" i="34" s="1"/>
  <c r="AR213" i="34" s="1"/>
  <c r="AX212" i="34"/>
  <c r="AP212" i="34"/>
  <c r="AX211" i="34"/>
  <c r="AY211" i="34" s="1"/>
  <c r="AP211" i="34"/>
  <c r="AQ211" i="34" s="1"/>
  <c r="AR211" i="34" s="1"/>
  <c r="AX210" i="34"/>
  <c r="AP210" i="34"/>
  <c r="AQ210" i="34" s="1"/>
  <c r="AR210" i="34" s="1"/>
  <c r="AX209" i="34"/>
  <c r="AP209" i="34"/>
  <c r="AQ209" i="34" s="1"/>
  <c r="AR209" i="34" s="1"/>
  <c r="AX208" i="34"/>
  <c r="AP208" i="34"/>
  <c r="AX207" i="34"/>
  <c r="AP207" i="34"/>
  <c r="AQ207" i="34" s="1"/>
  <c r="AR207" i="34" s="1"/>
  <c r="AX206" i="34"/>
  <c r="AP206" i="34"/>
  <c r="AX205" i="34"/>
  <c r="AP205" i="34"/>
  <c r="AQ205" i="34" s="1"/>
  <c r="AR205" i="34" s="1"/>
  <c r="AX204" i="34"/>
  <c r="AP204" i="34"/>
  <c r="AQ204" i="34" s="1"/>
  <c r="AR204" i="34" s="1"/>
  <c r="AX203" i="34"/>
  <c r="AP203" i="34"/>
  <c r="AQ203" i="34" s="1"/>
  <c r="AR203" i="34" s="1"/>
  <c r="AX202" i="34"/>
  <c r="AP202" i="34"/>
  <c r="AQ202" i="34" s="1"/>
  <c r="AR202" i="34" s="1"/>
  <c r="AX201" i="34"/>
  <c r="AP201" i="34"/>
  <c r="AQ201" i="34" s="1"/>
  <c r="AR201" i="34" s="1"/>
  <c r="AX200" i="34"/>
  <c r="AP200" i="34"/>
  <c r="AX199" i="34"/>
  <c r="AP199" i="34"/>
  <c r="AQ199" i="34" s="1"/>
  <c r="AR199" i="34" s="1"/>
  <c r="AX198" i="34"/>
  <c r="AP198" i="34"/>
  <c r="AQ198" i="34" s="1"/>
  <c r="AR198" i="34" s="1"/>
  <c r="AV198" i="34"/>
  <c r="AX197" i="34"/>
  <c r="AP197" i="34"/>
  <c r="AX196" i="34"/>
  <c r="AP196" i="34"/>
  <c r="AQ196" i="34" s="1"/>
  <c r="AR196" i="34" s="1"/>
  <c r="AX195" i="34"/>
  <c r="AP195" i="34"/>
  <c r="AQ195" i="34" s="1"/>
  <c r="AR195" i="34" s="1"/>
  <c r="AX194" i="34"/>
  <c r="AP194" i="34"/>
  <c r="AQ194" i="34" s="1"/>
  <c r="AR194" i="34" s="1"/>
  <c r="AX193" i="34"/>
  <c r="AP193" i="34"/>
  <c r="AX192" i="34"/>
  <c r="AP192" i="34"/>
  <c r="AQ192" i="34" s="1"/>
  <c r="AR192" i="34" s="1"/>
  <c r="AX191" i="34"/>
  <c r="AP191" i="34"/>
  <c r="AQ191" i="34" s="1"/>
  <c r="AR191" i="34" s="1"/>
  <c r="AX190" i="34"/>
  <c r="AP190" i="34"/>
  <c r="AQ190" i="34" s="1"/>
  <c r="AR190" i="34" s="1"/>
  <c r="AX189" i="34"/>
  <c r="AP189" i="34"/>
  <c r="AQ189" i="34" s="1"/>
  <c r="AR189" i="34" s="1"/>
  <c r="AX188" i="34"/>
  <c r="AP188" i="34"/>
  <c r="AX187" i="34"/>
  <c r="AP187" i="34"/>
  <c r="AX186" i="34"/>
  <c r="AP186" i="34"/>
  <c r="AQ186" i="34" s="1"/>
  <c r="AR186" i="34" s="1"/>
  <c r="AX185" i="34"/>
  <c r="AP185" i="34"/>
  <c r="AQ185" i="34" s="1"/>
  <c r="AR185" i="34" s="1"/>
  <c r="AX184" i="34"/>
  <c r="AP184" i="34"/>
  <c r="AX183" i="34"/>
  <c r="AP183" i="34"/>
  <c r="AQ183" i="34" s="1"/>
  <c r="AR183" i="34" s="1"/>
  <c r="AX182" i="34"/>
  <c r="AP182" i="34"/>
  <c r="AQ182" i="34" s="1"/>
  <c r="AR182" i="34" s="1"/>
  <c r="AX181" i="34"/>
  <c r="AP181" i="34"/>
  <c r="AX180" i="34"/>
  <c r="AP180" i="34"/>
  <c r="AQ180" i="34" s="1"/>
  <c r="AR180" i="34" s="1"/>
  <c r="AX179" i="34"/>
  <c r="AP179" i="34"/>
  <c r="AQ179" i="34" s="1"/>
  <c r="AR179" i="34" s="1"/>
  <c r="AX178" i="34"/>
  <c r="AP178" i="34"/>
  <c r="AQ178" i="34" s="1"/>
  <c r="AR178" i="34" s="1"/>
  <c r="AX177" i="34"/>
  <c r="AP177" i="34"/>
  <c r="AQ177" i="34" s="1"/>
  <c r="AR177" i="34" s="1"/>
  <c r="AX176" i="34"/>
  <c r="AP176" i="34"/>
  <c r="AX175" i="34"/>
  <c r="AP175" i="34"/>
  <c r="AX174" i="34"/>
  <c r="AP174" i="34"/>
  <c r="AQ174" i="34" s="1"/>
  <c r="AR174" i="34" s="1"/>
  <c r="AX173" i="34"/>
  <c r="AP173" i="34"/>
  <c r="AQ173" i="34" s="1"/>
  <c r="AR173" i="34" s="1"/>
  <c r="AX172" i="34"/>
  <c r="AP172" i="34"/>
  <c r="AX171" i="34"/>
  <c r="AP171" i="34"/>
  <c r="AX170" i="34"/>
  <c r="AP170" i="34"/>
  <c r="AQ170" i="34" s="1"/>
  <c r="AR170" i="34" s="1"/>
  <c r="AX169" i="34"/>
  <c r="AP169" i="34"/>
  <c r="AQ169" i="34" s="1"/>
  <c r="AR169" i="34" s="1"/>
  <c r="AX168" i="34"/>
  <c r="AP168" i="34"/>
  <c r="AQ168" i="34" s="1"/>
  <c r="AR168" i="34" s="1"/>
  <c r="AX167" i="34"/>
  <c r="AP167" i="34"/>
  <c r="AQ167" i="34" s="1"/>
  <c r="AR167" i="34" s="1"/>
  <c r="AX166" i="34"/>
  <c r="AP166" i="34"/>
  <c r="AQ166" i="34" s="1"/>
  <c r="AR166" i="34" s="1"/>
  <c r="AX165" i="34"/>
  <c r="AP165" i="34"/>
  <c r="AX164" i="34"/>
  <c r="AP164" i="34"/>
  <c r="AQ164" i="34" s="1"/>
  <c r="AR164" i="34" s="1"/>
  <c r="AX163" i="34"/>
  <c r="AP163" i="34"/>
  <c r="AQ163" i="34" s="1"/>
  <c r="AR163" i="34" s="1"/>
  <c r="AX162" i="34"/>
  <c r="AP162" i="34"/>
  <c r="AQ162" i="34" s="1"/>
  <c r="AR162" i="34" s="1"/>
  <c r="AX161" i="34"/>
  <c r="AP161" i="34"/>
  <c r="AX160" i="34"/>
  <c r="AP160" i="34"/>
  <c r="AX159" i="34"/>
  <c r="AP159" i="34"/>
  <c r="AX158" i="34"/>
  <c r="AP158" i="34"/>
  <c r="AQ158" i="34" s="1"/>
  <c r="AR158" i="34" s="1"/>
  <c r="AX157" i="34"/>
  <c r="AP157" i="34"/>
  <c r="AQ157" i="34" s="1"/>
  <c r="AR157" i="34" s="1"/>
  <c r="AX156" i="34"/>
  <c r="AP156" i="34"/>
  <c r="AX155" i="34"/>
  <c r="AP155" i="34"/>
  <c r="AX154" i="34"/>
  <c r="AP154" i="34"/>
  <c r="AQ154" i="34" s="1"/>
  <c r="AR154" i="34" s="1"/>
  <c r="AX153" i="34"/>
  <c r="AP153" i="34"/>
  <c r="AQ153" i="34" s="1"/>
  <c r="AR153" i="34" s="1"/>
  <c r="AX152" i="34"/>
  <c r="AP152" i="34"/>
  <c r="AX151" i="34"/>
  <c r="AP151" i="34"/>
  <c r="AX150" i="34"/>
  <c r="AP150" i="34"/>
  <c r="AX149" i="34"/>
  <c r="AP149" i="34"/>
  <c r="AQ149" i="34" s="1"/>
  <c r="AR149" i="34" s="1"/>
  <c r="AX148" i="34"/>
  <c r="AP148" i="34"/>
  <c r="AX147" i="34"/>
  <c r="AP147" i="34"/>
  <c r="AQ147" i="34" s="1"/>
  <c r="AR147" i="34" s="1"/>
  <c r="AX146" i="34"/>
  <c r="AP146" i="34"/>
  <c r="AX145" i="34"/>
  <c r="AP145" i="34"/>
  <c r="AQ145" i="34" s="1"/>
  <c r="AR145" i="34" s="1"/>
  <c r="AX144" i="34"/>
  <c r="AP144" i="34"/>
  <c r="AQ144" i="34" s="1"/>
  <c r="AX143" i="34"/>
  <c r="AP143" i="34"/>
  <c r="AQ143" i="34" s="1"/>
  <c r="AR143" i="34" s="1"/>
  <c r="AX142" i="34"/>
  <c r="AP142" i="34"/>
  <c r="AQ142" i="34" s="1"/>
  <c r="AR142" i="34" s="1"/>
  <c r="AX141" i="34"/>
  <c r="AP141" i="34"/>
  <c r="AQ141" i="34" s="1"/>
  <c r="AR141" i="34" s="1"/>
  <c r="AX140" i="34"/>
  <c r="AP140" i="34"/>
  <c r="AQ140" i="34" s="1"/>
  <c r="AX139" i="34"/>
  <c r="AP139" i="34"/>
  <c r="AQ139" i="34" s="1"/>
  <c r="AR139" i="34" s="1"/>
  <c r="AX138" i="34"/>
  <c r="AP138" i="34"/>
  <c r="AQ138" i="34" s="1"/>
  <c r="AR138" i="34" s="1"/>
  <c r="AX137" i="34"/>
  <c r="AP137" i="34"/>
  <c r="AQ137" i="34" s="1"/>
  <c r="AR137" i="34" s="1"/>
  <c r="AX136" i="34"/>
  <c r="AY136" i="34" s="1"/>
  <c r="AP136" i="34"/>
  <c r="AQ136" i="34" s="1"/>
  <c r="AR136" i="34" s="1"/>
  <c r="AX135" i="34"/>
  <c r="AP135" i="34"/>
  <c r="AQ135" i="34" s="1"/>
  <c r="AR135" i="34" s="1"/>
  <c r="AX134" i="34"/>
  <c r="AP134" i="34"/>
  <c r="AQ134" i="34" s="1"/>
  <c r="AR134" i="34" s="1"/>
  <c r="AX133" i="34"/>
  <c r="AP133" i="34"/>
  <c r="AX132" i="34"/>
  <c r="AP132" i="34"/>
  <c r="AX131" i="34"/>
  <c r="AP131" i="34"/>
  <c r="AQ131" i="34" s="1"/>
  <c r="AR131" i="34" s="1"/>
  <c r="AX130" i="34"/>
  <c r="AP130" i="34"/>
  <c r="AQ130" i="34" s="1"/>
  <c r="AR130" i="34" s="1"/>
  <c r="AX129" i="34"/>
  <c r="AP129" i="34"/>
  <c r="AQ129" i="34" s="1"/>
  <c r="AR129" i="34" s="1"/>
  <c r="AX128" i="34"/>
  <c r="AP128" i="34"/>
  <c r="AQ128" i="34" s="1"/>
  <c r="AR128" i="34" s="1"/>
  <c r="AX127" i="34"/>
  <c r="AP127" i="34"/>
  <c r="AQ127" i="34" s="1"/>
  <c r="AR127" i="34" s="1"/>
  <c r="AX126" i="34"/>
  <c r="AP126" i="34"/>
  <c r="AX125" i="34"/>
  <c r="AP125" i="34"/>
  <c r="AQ125" i="34" s="1"/>
  <c r="AR125" i="34" s="1"/>
  <c r="AX124" i="34"/>
  <c r="AP124" i="34"/>
  <c r="AQ124" i="34" s="1"/>
  <c r="AR124" i="34" s="1"/>
  <c r="AX123" i="34"/>
  <c r="AP123" i="34"/>
  <c r="AQ123" i="34" s="1"/>
  <c r="AR123" i="34" s="1"/>
  <c r="AX122" i="34"/>
  <c r="AP122" i="34"/>
  <c r="AQ122" i="34" s="1"/>
  <c r="AR122" i="34" s="1"/>
  <c r="AX121" i="34"/>
  <c r="AY121" i="34" s="1"/>
  <c r="AP121" i="34"/>
  <c r="AQ121" i="34" s="1"/>
  <c r="AR121" i="34" s="1"/>
  <c r="AX120" i="34"/>
  <c r="AP120" i="34"/>
  <c r="AQ120" i="34" s="1"/>
  <c r="AR120" i="34" s="1"/>
  <c r="AX119" i="34"/>
  <c r="AP119" i="34"/>
  <c r="AQ119" i="34" s="1"/>
  <c r="AR119" i="34" s="1"/>
  <c r="AX118" i="34"/>
  <c r="AP118" i="34"/>
  <c r="AQ118" i="34" s="1"/>
  <c r="AR118" i="34" s="1"/>
  <c r="AX117" i="34"/>
  <c r="AP117" i="34"/>
  <c r="AQ117" i="34" s="1"/>
  <c r="AR117" i="34" s="1"/>
  <c r="AX116" i="34"/>
  <c r="AP116" i="34"/>
  <c r="AQ116" i="34" s="1"/>
  <c r="AR116" i="34" s="1"/>
  <c r="AX115" i="34"/>
  <c r="AP115" i="34"/>
  <c r="AQ115" i="34" s="1"/>
  <c r="AR115" i="34" s="1"/>
  <c r="AX114" i="34"/>
  <c r="AP114" i="34"/>
  <c r="AX113" i="34"/>
  <c r="AP113" i="34"/>
  <c r="AQ113" i="34" s="1"/>
  <c r="AR113" i="34" s="1"/>
  <c r="AX112" i="34"/>
  <c r="AP112" i="34"/>
  <c r="AQ112" i="34" s="1"/>
  <c r="AR112" i="34" s="1"/>
  <c r="AX111" i="34"/>
  <c r="AP111" i="34"/>
  <c r="AQ111" i="34" s="1"/>
  <c r="AR111" i="34" s="1"/>
  <c r="AX110" i="34"/>
  <c r="AP110" i="34"/>
  <c r="AX109" i="34"/>
  <c r="AP109" i="34"/>
  <c r="AQ109" i="34" s="1"/>
  <c r="AR109" i="34" s="1"/>
  <c r="AX108" i="34"/>
  <c r="AP108" i="34"/>
  <c r="AQ108" i="34" s="1"/>
  <c r="AR108" i="34" s="1"/>
  <c r="AX107" i="34"/>
  <c r="AP107" i="34"/>
  <c r="AX106" i="34"/>
  <c r="AP106" i="34"/>
  <c r="AQ106" i="34" s="1"/>
  <c r="AR106" i="34" s="1"/>
  <c r="AX105" i="34"/>
  <c r="AP105" i="34"/>
  <c r="AQ105" i="34" s="1"/>
  <c r="AR105" i="34" s="1"/>
  <c r="AX104" i="34"/>
  <c r="AP104" i="34"/>
  <c r="AQ104" i="34" s="1"/>
  <c r="AR104" i="34" s="1"/>
  <c r="AX103" i="34"/>
  <c r="AP103" i="34"/>
  <c r="AQ103" i="34" s="1"/>
  <c r="AR103" i="34" s="1"/>
  <c r="AX102" i="34"/>
  <c r="AY102" i="34" s="1"/>
  <c r="AP102" i="34"/>
  <c r="AQ102" i="34" s="1"/>
  <c r="AR102" i="34" s="1"/>
  <c r="AX101" i="34"/>
  <c r="AP101" i="34"/>
  <c r="AQ101" i="34" s="1"/>
  <c r="AR101" i="34" s="1"/>
  <c r="AX100" i="34"/>
  <c r="AP100" i="34"/>
  <c r="AQ100" i="34" s="1"/>
  <c r="AR100" i="34" s="1"/>
  <c r="AX99" i="34"/>
  <c r="AP99" i="34"/>
  <c r="AX98" i="34"/>
  <c r="AP98" i="34"/>
  <c r="AQ98" i="34" s="1"/>
  <c r="AR98" i="34" s="1"/>
  <c r="AX97" i="34"/>
  <c r="AP97" i="34"/>
  <c r="AQ97" i="34" s="1"/>
  <c r="AR97" i="34" s="1"/>
  <c r="AX96" i="34"/>
  <c r="AP96" i="34"/>
  <c r="AQ96" i="34" s="1"/>
  <c r="AR96" i="34" s="1"/>
  <c r="AX95" i="34"/>
  <c r="AP95" i="34"/>
  <c r="AX94" i="34"/>
  <c r="AP94" i="34"/>
  <c r="AQ94" i="34" s="1"/>
  <c r="AR94" i="34" s="1"/>
  <c r="AX93" i="34"/>
  <c r="AP93" i="34"/>
  <c r="AQ93" i="34" s="1"/>
  <c r="AR93" i="34" s="1"/>
  <c r="AX92" i="34"/>
  <c r="AP92" i="34"/>
  <c r="AQ92" i="34" s="1"/>
  <c r="AR92" i="34" s="1"/>
  <c r="AX91" i="34"/>
  <c r="AP91" i="34"/>
  <c r="AX90" i="34"/>
  <c r="AY90" i="34" s="1"/>
  <c r="AP90" i="34"/>
  <c r="AQ90" i="34" s="1"/>
  <c r="AR90" i="34" s="1"/>
  <c r="AX89" i="34"/>
  <c r="AP89" i="34"/>
  <c r="AQ89" i="34" s="1"/>
  <c r="AR89" i="34" s="1"/>
  <c r="AX88" i="34"/>
  <c r="AP88" i="34"/>
  <c r="AX87" i="34"/>
  <c r="AP87" i="34"/>
  <c r="AQ87" i="34" s="1"/>
  <c r="AR87" i="34" s="1"/>
  <c r="AX86" i="34"/>
  <c r="AP86" i="34"/>
  <c r="AQ86" i="34" s="1"/>
  <c r="AR86" i="34" s="1"/>
  <c r="AX85" i="34"/>
  <c r="AP85" i="34"/>
  <c r="AQ85" i="34" s="1"/>
  <c r="AR85" i="34" s="1"/>
  <c r="AX84" i="34"/>
  <c r="AQ84" i="34"/>
  <c r="AR84" i="34" s="1"/>
  <c r="AP84" i="34"/>
  <c r="AX83" i="34"/>
  <c r="AP83" i="34"/>
  <c r="AQ83" i="34" s="1"/>
  <c r="AR83" i="34" s="1"/>
  <c r="AX82" i="34"/>
  <c r="AP82" i="34"/>
  <c r="AQ82" i="34" s="1"/>
  <c r="AR82" i="34" s="1"/>
  <c r="AX81" i="34"/>
  <c r="AP81" i="34"/>
  <c r="AQ81" i="34" s="1"/>
  <c r="AR81" i="34" s="1"/>
  <c r="AX80" i="34"/>
  <c r="AP80" i="34"/>
  <c r="AQ80" i="34" s="1"/>
  <c r="AR80" i="34" s="1"/>
  <c r="AX79" i="34"/>
  <c r="AP79" i="34"/>
  <c r="AQ79" i="34" s="1"/>
  <c r="AR79" i="34" s="1"/>
  <c r="AX78" i="34"/>
  <c r="AP78" i="34"/>
  <c r="AQ78" i="34" s="1"/>
  <c r="AR78" i="34" s="1"/>
  <c r="AX77" i="34"/>
  <c r="AP77" i="34"/>
  <c r="AQ77" i="34" s="1"/>
  <c r="AR77" i="34" s="1"/>
  <c r="AX76" i="34"/>
  <c r="AP76" i="34"/>
  <c r="AQ76" i="34" s="1"/>
  <c r="AR76" i="34" s="1"/>
  <c r="AX75" i="34"/>
  <c r="AP75" i="34"/>
  <c r="AQ75" i="34" s="1"/>
  <c r="AR75" i="34" s="1"/>
  <c r="AX74" i="34"/>
  <c r="AP74" i="34"/>
  <c r="AQ74" i="34" s="1"/>
  <c r="AR74" i="34" s="1"/>
  <c r="AX73" i="34"/>
  <c r="AP73" i="34"/>
  <c r="AQ73" i="34" s="1"/>
  <c r="AR73" i="34" s="1"/>
  <c r="AX72" i="34"/>
  <c r="AP72" i="34"/>
  <c r="AX71" i="34"/>
  <c r="AP71" i="34"/>
  <c r="AQ71" i="34" s="1"/>
  <c r="AR71" i="34" s="1"/>
  <c r="AX70" i="34"/>
  <c r="AP70" i="34"/>
  <c r="AQ70" i="34" s="1"/>
  <c r="AR70" i="34" s="1"/>
  <c r="AX69" i="34"/>
  <c r="AP69" i="34"/>
  <c r="AQ69" i="34" s="1"/>
  <c r="AR69" i="34" s="1"/>
  <c r="AX68" i="34"/>
  <c r="AP68" i="34"/>
  <c r="AQ68" i="34" s="1"/>
  <c r="AR68" i="34" s="1"/>
  <c r="AX67" i="34"/>
  <c r="AP67" i="34"/>
  <c r="AQ67" i="34" s="1"/>
  <c r="AR67" i="34" s="1"/>
  <c r="AX66" i="34"/>
  <c r="AP66" i="34"/>
  <c r="AQ66" i="34" s="1"/>
  <c r="AR66" i="34" s="1"/>
  <c r="AX65" i="34"/>
  <c r="AP65" i="34"/>
  <c r="AQ65" i="34" s="1"/>
  <c r="AR65" i="34" s="1"/>
  <c r="AX64" i="34"/>
  <c r="AP64" i="34"/>
  <c r="AQ64" i="34" s="1"/>
  <c r="AR64" i="34" s="1"/>
  <c r="AX63" i="34"/>
  <c r="AP63" i="34"/>
  <c r="AQ63" i="34" s="1"/>
  <c r="AR63" i="34" s="1"/>
  <c r="AX62" i="34"/>
  <c r="AP62" i="34"/>
  <c r="AQ62" i="34" s="1"/>
  <c r="AR62" i="34" s="1"/>
  <c r="AX61" i="34"/>
  <c r="AP61" i="34"/>
  <c r="AQ61" i="34" s="1"/>
  <c r="AR61" i="34" s="1"/>
  <c r="AX60" i="34"/>
  <c r="AY60" i="34" s="1"/>
  <c r="AP60" i="34"/>
  <c r="AQ60" i="34" s="1"/>
  <c r="AR60" i="34" s="1"/>
  <c r="AX59" i="34"/>
  <c r="AP59" i="34"/>
  <c r="AQ59" i="34" s="1"/>
  <c r="AR59" i="34" s="1"/>
  <c r="AX58" i="34"/>
  <c r="AP58" i="34"/>
  <c r="AQ58" i="34" s="1"/>
  <c r="AR58" i="34" s="1"/>
  <c r="AX57" i="34"/>
  <c r="AP57" i="34"/>
  <c r="AQ57" i="34" s="1"/>
  <c r="AR57" i="34" s="1"/>
  <c r="AX56" i="34"/>
  <c r="AP56" i="34"/>
  <c r="AQ56" i="34" s="1"/>
  <c r="AR56" i="34" s="1"/>
  <c r="AX55" i="34"/>
  <c r="AP55" i="34"/>
  <c r="AQ55" i="34" s="1"/>
  <c r="AR55" i="34" s="1"/>
  <c r="AX54" i="34"/>
  <c r="AP54" i="34"/>
  <c r="AQ54" i="34" s="1"/>
  <c r="AR54" i="34" s="1"/>
  <c r="AX53" i="34"/>
  <c r="AP53" i="34"/>
  <c r="AX52" i="34"/>
  <c r="AP52" i="34"/>
  <c r="AQ52" i="34" s="1"/>
  <c r="AR52" i="34" s="1"/>
  <c r="AX51" i="34"/>
  <c r="AP51" i="34"/>
  <c r="AQ51" i="34" s="1"/>
  <c r="AR51" i="34" s="1"/>
  <c r="AX50" i="34"/>
  <c r="AP50" i="34"/>
  <c r="AQ50" i="34" s="1"/>
  <c r="AR50" i="34" s="1"/>
  <c r="AX49" i="34"/>
  <c r="AP49" i="34"/>
  <c r="AQ49" i="34" s="1"/>
  <c r="AR49" i="34" s="1"/>
  <c r="AX48" i="34"/>
  <c r="AP48" i="34"/>
  <c r="AQ48" i="34" s="1"/>
  <c r="AR48" i="34" s="1"/>
  <c r="AX47" i="34"/>
  <c r="AP47" i="34"/>
  <c r="AQ47" i="34" s="1"/>
  <c r="AR47" i="34" s="1"/>
  <c r="AX46" i="34"/>
  <c r="AP46" i="34"/>
  <c r="AQ46" i="34" s="1"/>
  <c r="AR46" i="34" s="1"/>
  <c r="AX45" i="34"/>
  <c r="AP45" i="34"/>
  <c r="AQ45" i="34" s="1"/>
  <c r="AR45" i="34" s="1"/>
  <c r="AX44" i="34"/>
  <c r="AP44" i="34"/>
  <c r="AQ44" i="34" s="1"/>
  <c r="AR44" i="34" s="1"/>
  <c r="AW44" i="34" s="1"/>
  <c r="AX43" i="34"/>
  <c r="AP43" i="34"/>
  <c r="AQ43" i="34" s="1"/>
  <c r="AR43" i="34" s="1"/>
  <c r="AX42" i="34"/>
  <c r="AP42" i="34"/>
  <c r="AX41" i="34"/>
  <c r="AP41" i="34"/>
  <c r="AX40" i="34"/>
  <c r="AP40" i="34"/>
  <c r="AX39" i="34"/>
  <c r="AP39" i="34"/>
  <c r="AQ39" i="34" s="1"/>
  <c r="AR39" i="34" s="1"/>
  <c r="AX38" i="34"/>
  <c r="AY38" i="34" s="1"/>
  <c r="AP38" i="34"/>
  <c r="AQ38" i="34" s="1"/>
  <c r="AR38" i="34" s="1"/>
  <c r="AX37" i="34"/>
  <c r="AP37" i="34"/>
  <c r="AQ37" i="34" s="1"/>
  <c r="AR37" i="34" s="1"/>
  <c r="AX36" i="34"/>
  <c r="AP36" i="34"/>
  <c r="AQ36" i="34" s="1"/>
  <c r="AR36" i="34" s="1"/>
  <c r="AX35" i="34"/>
  <c r="AP35" i="34"/>
  <c r="AQ35" i="34" s="1"/>
  <c r="AR35" i="34" s="1"/>
  <c r="AX34" i="34"/>
  <c r="AP34" i="34"/>
  <c r="AQ34" i="34" s="1"/>
  <c r="AR34" i="34" s="1"/>
  <c r="AX33" i="34"/>
  <c r="AP33" i="34"/>
  <c r="AX32" i="34"/>
  <c r="AP32" i="34"/>
  <c r="AX31" i="34"/>
  <c r="AP31" i="34"/>
  <c r="AQ31" i="34" s="1"/>
  <c r="AR31" i="34" s="1"/>
  <c r="AX30" i="34"/>
  <c r="AY30" i="34" s="1"/>
  <c r="AP30" i="34"/>
  <c r="AX29" i="34"/>
  <c r="AP29" i="34"/>
  <c r="AX28" i="34"/>
  <c r="AP28" i="34"/>
  <c r="AQ28" i="34" s="1"/>
  <c r="AR28" i="34" s="1"/>
  <c r="AX27" i="34"/>
  <c r="AP27" i="34"/>
  <c r="AQ27" i="34" s="1"/>
  <c r="AR27" i="34" s="1"/>
  <c r="AX26" i="34"/>
  <c r="AP26" i="34"/>
  <c r="AQ26" i="34" s="1"/>
  <c r="AR26" i="34" s="1"/>
  <c r="AX25" i="34"/>
  <c r="AQ25" i="34"/>
  <c r="AR25" i="34" s="1"/>
  <c r="AP25" i="34"/>
  <c r="AX24" i="34"/>
  <c r="AP24" i="34"/>
  <c r="AQ24" i="34" s="1"/>
  <c r="AR24" i="34" s="1"/>
  <c r="AX23" i="34"/>
  <c r="AP23" i="34"/>
  <c r="AQ23" i="34" s="1"/>
  <c r="AR23" i="34" s="1"/>
  <c r="AX22" i="34"/>
  <c r="AP22" i="34"/>
  <c r="AX21" i="34"/>
  <c r="AY21" i="34" s="1"/>
  <c r="AP21" i="34"/>
  <c r="AQ21" i="34" s="1"/>
  <c r="AR21" i="34" s="1"/>
  <c r="AX20" i="34"/>
  <c r="AP20" i="34"/>
  <c r="AX19" i="34"/>
  <c r="AP19" i="34"/>
  <c r="AQ19" i="34" s="1"/>
  <c r="AR19" i="34" s="1"/>
  <c r="AX18" i="34"/>
  <c r="AP18" i="34"/>
  <c r="AQ18" i="34" s="1"/>
  <c r="AR18" i="34" s="1"/>
  <c r="AX17" i="34"/>
  <c r="AP17" i="34"/>
  <c r="AQ17" i="34" s="1"/>
  <c r="AR17" i="34" s="1"/>
  <c r="AX16" i="34"/>
  <c r="AP16" i="34"/>
  <c r="AQ16" i="34" s="1"/>
  <c r="AR16" i="34" s="1"/>
  <c r="AX15" i="34"/>
  <c r="AP15" i="34"/>
  <c r="AQ15" i="34" s="1"/>
  <c r="AR15" i="34" s="1"/>
  <c r="AX14" i="34"/>
  <c r="AP14" i="34"/>
  <c r="AX13" i="34"/>
  <c r="AP13" i="34"/>
  <c r="AQ13" i="34" s="1"/>
  <c r="AR13" i="34" s="1"/>
  <c r="AX12" i="34"/>
  <c r="AP12" i="34"/>
  <c r="AQ12" i="34" s="1"/>
  <c r="AR12" i="34" s="1"/>
  <c r="AX11" i="34"/>
  <c r="AP11" i="34"/>
  <c r="AQ11" i="34" s="1"/>
  <c r="AR11" i="34" s="1"/>
  <c r="AX10" i="34"/>
  <c r="AP10" i="34"/>
  <c r="AX9" i="34"/>
  <c r="AP9" i="34"/>
  <c r="AQ9" i="34" s="1"/>
  <c r="AR9" i="34" s="1"/>
  <c r="AX8" i="34"/>
  <c r="AQ8" i="34"/>
  <c r="AR8" i="34" s="1"/>
  <c r="AP8" i="34"/>
  <c r="AX7" i="34"/>
  <c r="AP7" i="34"/>
  <c r="AQ7" i="34" s="1"/>
  <c r="AR7" i="34" s="1"/>
  <c r="AX6" i="34"/>
  <c r="AP6" i="34"/>
  <c r="AV267" i="34" l="1"/>
  <c r="AV314" i="34"/>
  <c r="N8" i="35"/>
  <c r="AV271" i="34"/>
  <c r="AV287" i="34"/>
  <c r="AV330" i="34"/>
  <c r="AM433" i="34"/>
  <c r="AV433" i="34" s="1"/>
  <c r="AM386" i="34"/>
  <c r="AV384" i="34"/>
  <c r="AL368" i="34"/>
  <c r="AV368" i="34" s="1"/>
  <c r="AM359" i="34"/>
  <c r="AM339" i="34"/>
  <c r="AL336" i="34"/>
  <c r="AV336" i="34" s="1"/>
  <c r="AL324" i="34"/>
  <c r="AV324" i="34" s="1"/>
  <c r="AL318" i="34"/>
  <c r="AV318" i="34" s="1"/>
  <c r="AM267" i="34"/>
  <c r="AM252" i="34"/>
  <c r="AM236" i="34"/>
  <c r="AV236" i="34" s="1"/>
  <c r="AM207" i="34"/>
  <c r="AM191" i="34"/>
  <c r="AM179" i="34"/>
  <c r="AM163" i="34"/>
  <c r="AM146" i="34"/>
  <c r="AV146" i="34" s="1"/>
  <c r="AM143" i="34"/>
  <c r="AM135" i="34"/>
  <c r="AV135" i="34" s="1"/>
  <c r="AM119" i="34"/>
  <c r="AM103" i="34"/>
  <c r="AV103" i="34" s="1"/>
  <c r="AM41" i="34"/>
  <c r="AV41" i="34" s="1"/>
  <c r="AM36" i="34"/>
  <c r="AV36" i="34" s="1"/>
  <c r="AL27" i="34"/>
  <c r="AV27" i="34" s="1"/>
  <c r="AM9" i="34"/>
  <c r="AV9" i="34" s="1"/>
  <c r="W10" i="25"/>
  <c r="P8" i="36"/>
  <c r="P13" i="36" s="1"/>
  <c r="L31" i="46" s="1"/>
  <c r="O13" i="36"/>
  <c r="K31" i="46" s="1"/>
  <c r="AV425" i="34"/>
  <c r="AV361" i="34"/>
  <c r="AM429" i="34"/>
  <c r="AV429" i="34" s="1"/>
  <c r="AL376" i="34"/>
  <c r="AM361" i="34"/>
  <c r="AM353" i="34"/>
  <c r="AV353" i="34" s="1"/>
  <c r="AM341" i="34"/>
  <c r="AV341" i="34" s="1"/>
  <c r="AL330" i="34"/>
  <c r="AL314" i="34"/>
  <c r="AM264" i="34"/>
  <c r="AV264" i="34" s="1"/>
  <c r="AM248" i="34"/>
  <c r="AV248" i="34" s="1"/>
  <c r="AM232" i="34"/>
  <c r="AM214" i="34"/>
  <c r="AM211" i="34"/>
  <c r="AM175" i="34"/>
  <c r="AV175" i="34" s="1"/>
  <c r="AM159" i="34"/>
  <c r="AM132" i="34"/>
  <c r="AM116" i="34"/>
  <c r="AV116" i="34" s="1"/>
  <c r="AM100" i="34"/>
  <c r="AV100" i="34" s="1"/>
  <c r="AM77" i="34"/>
  <c r="AM61" i="34"/>
  <c r="AL43" i="34"/>
  <c r="N8" i="38"/>
  <c r="L48" i="46" s="1"/>
  <c r="K48" i="46"/>
  <c r="AM422" i="34"/>
  <c r="AV422" i="34" s="1"/>
  <c r="AM418" i="34"/>
  <c r="AV418" i="34" s="1"/>
  <c r="AM414" i="34"/>
  <c r="AM410" i="34"/>
  <c r="AM406" i="34"/>
  <c r="AM402" i="34"/>
  <c r="AV402" i="34" s="1"/>
  <c r="AM398" i="34"/>
  <c r="AM362" i="34"/>
  <c r="AL362" i="34"/>
  <c r="AV362" i="34" s="1"/>
  <c r="AM354" i="34"/>
  <c r="AL354" i="34"/>
  <c r="AL348" i="34"/>
  <c r="AM348" i="34"/>
  <c r="AM340" i="34"/>
  <c r="AV340" i="34" s="1"/>
  <c r="AL340" i="34"/>
  <c r="AM297" i="34"/>
  <c r="AL297" i="34"/>
  <c r="AV297" i="34" s="1"/>
  <c r="AM291" i="34"/>
  <c r="AV291" i="34" s="1"/>
  <c r="AL291" i="34"/>
  <c r="AM285" i="34"/>
  <c r="AL285" i="34"/>
  <c r="AM277" i="34"/>
  <c r="AV277" i="34" s="1"/>
  <c r="AL277" i="34"/>
  <c r="AM269" i="34"/>
  <c r="AL269" i="34"/>
  <c r="AV269" i="34" s="1"/>
  <c r="AM255" i="34"/>
  <c r="AL255" i="34"/>
  <c r="AM239" i="34"/>
  <c r="AL239" i="34"/>
  <c r="AV239" i="34" s="1"/>
  <c r="AL203" i="34"/>
  <c r="AV203" i="34" s="1"/>
  <c r="AM203" i="34"/>
  <c r="AM182" i="34"/>
  <c r="AL182" i="34"/>
  <c r="AV182" i="34" s="1"/>
  <c r="AM166" i="34"/>
  <c r="AL166" i="34"/>
  <c r="AM138" i="34"/>
  <c r="AL138" i="34"/>
  <c r="AV138" i="34" s="1"/>
  <c r="AL68" i="34"/>
  <c r="AM68" i="34"/>
  <c r="AM47" i="34"/>
  <c r="AL47" i="34"/>
  <c r="AV47" i="34" s="1"/>
  <c r="AM12" i="34"/>
  <c r="AL12" i="34"/>
  <c r="AM432" i="34"/>
  <c r="AM428" i="34"/>
  <c r="AV428" i="34" s="1"/>
  <c r="AM424" i="34"/>
  <c r="AV424" i="34" s="1"/>
  <c r="AL420" i="34"/>
  <c r="AL416" i="34"/>
  <c r="AV416" i="34" s="1"/>
  <c r="AL412" i="34"/>
  <c r="AL408" i="34"/>
  <c r="AL404" i="34"/>
  <c r="AL400" i="34"/>
  <c r="AV400" i="34" s="1"/>
  <c r="AL396" i="34"/>
  <c r="AV396" i="34" s="1"/>
  <c r="AL392" i="34"/>
  <c r="AV392" i="34" s="1"/>
  <c r="AL388" i="34"/>
  <c r="AL382" i="34"/>
  <c r="AL378" i="34"/>
  <c r="AV378" i="34" s="1"/>
  <c r="AL374" i="34"/>
  <c r="AV374" i="34" s="1"/>
  <c r="AM370" i="34"/>
  <c r="AL370" i="34"/>
  <c r="AV370" i="34" s="1"/>
  <c r="AL364" i="34"/>
  <c r="AM364" i="34"/>
  <c r="AV364" i="34" s="1"/>
  <c r="AM356" i="34"/>
  <c r="AL356" i="34"/>
  <c r="AM342" i="34"/>
  <c r="AL342" i="34"/>
  <c r="AL334" i="34"/>
  <c r="AV334" i="34" s="1"/>
  <c r="AL320" i="34"/>
  <c r="AL312" i="34"/>
  <c r="AM300" i="34"/>
  <c r="AV300" i="34" s="1"/>
  <c r="AL300" i="34"/>
  <c r="AM251" i="34"/>
  <c r="AL251" i="34"/>
  <c r="AV251" i="34" s="1"/>
  <c r="AM235" i="34"/>
  <c r="AL235" i="34"/>
  <c r="AM206" i="34"/>
  <c r="AL206" i="34"/>
  <c r="AV206" i="34" s="1"/>
  <c r="AM190" i="34"/>
  <c r="AL190" i="34"/>
  <c r="AM178" i="34"/>
  <c r="AL178" i="34"/>
  <c r="AV178" i="34" s="1"/>
  <c r="AM162" i="34"/>
  <c r="AL162" i="34"/>
  <c r="AL128" i="34"/>
  <c r="AM128" i="34"/>
  <c r="AL112" i="34"/>
  <c r="AM112" i="34"/>
  <c r="AL96" i="34"/>
  <c r="AM96" i="34"/>
  <c r="AL92" i="34"/>
  <c r="AV92" i="34" s="1"/>
  <c r="AM92" i="34"/>
  <c r="AL88" i="34"/>
  <c r="AM88" i="34"/>
  <c r="AL84" i="34"/>
  <c r="AV84" i="34" s="1"/>
  <c r="AM84" i="34"/>
  <c r="AL80" i="34"/>
  <c r="AM80" i="34"/>
  <c r="AL64" i="34"/>
  <c r="AV64" i="34" s="1"/>
  <c r="AM64" i="34"/>
  <c r="AM29" i="34"/>
  <c r="AL29" i="34"/>
  <c r="AM24" i="34"/>
  <c r="AL24" i="34"/>
  <c r="AV432" i="34"/>
  <c r="AV420" i="34"/>
  <c r="AV408" i="34"/>
  <c r="AM358" i="34"/>
  <c r="AL358" i="34"/>
  <c r="AM350" i="34"/>
  <c r="AL350" i="34"/>
  <c r="AM344" i="34"/>
  <c r="AL344" i="34"/>
  <c r="AV344" i="34" s="1"/>
  <c r="AM293" i="34"/>
  <c r="AV293" i="34" s="1"/>
  <c r="AL293" i="34"/>
  <c r="AM289" i="34"/>
  <c r="AL289" i="34"/>
  <c r="AV289" i="34" s="1"/>
  <c r="AM281" i="34"/>
  <c r="AV281" i="34" s="1"/>
  <c r="AL281" i="34"/>
  <c r="AM273" i="34"/>
  <c r="AL273" i="34"/>
  <c r="AV273" i="34" s="1"/>
  <c r="AM263" i="34"/>
  <c r="AL263" i="34"/>
  <c r="AM247" i="34"/>
  <c r="AL247" i="34"/>
  <c r="AV247" i="34" s="1"/>
  <c r="AM231" i="34"/>
  <c r="AL231" i="34"/>
  <c r="AL224" i="34"/>
  <c r="AM224" i="34"/>
  <c r="AL220" i="34"/>
  <c r="AM220" i="34"/>
  <c r="AL216" i="34"/>
  <c r="AM216" i="34"/>
  <c r="AV216" i="34" s="1"/>
  <c r="AM174" i="34"/>
  <c r="AL174" i="34"/>
  <c r="AM158" i="34"/>
  <c r="AL158" i="34"/>
  <c r="AV158" i="34" s="1"/>
  <c r="AL151" i="34"/>
  <c r="AV151" i="34" s="1"/>
  <c r="AM151" i="34"/>
  <c r="AM131" i="34"/>
  <c r="AL131" i="34"/>
  <c r="AM115" i="34"/>
  <c r="AV115" i="34" s="1"/>
  <c r="AL115" i="34"/>
  <c r="AM99" i="34"/>
  <c r="AL99" i="34"/>
  <c r="AL76" i="34"/>
  <c r="AV76" i="34" s="1"/>
  <c r="AM76" i="34"/>
  <c r="AL60" i="34"/>
  <c r="AM60" i="34"/>
  <c r="AM45" i="34"/>
  <c r="AV45" i="34" s="1"/>
  <c r="AL45" i="34"/>
  <c r="AM40" i="34"/>
  <c r="AL40" i="34"/>
  <c r="AV40" i="34" s="1"/>
  <c r="AL431" i="34"/>
  <c r="AV431" i="34" s="1"/>
  <c r="AL427" i="34"/>
  <c r="AM421" i="34"/>
  <c r="AV421" i="34" s="1"/>
  <c r="AM417" i="34"/>
  <c r="AM413" i="34"/>
  <c r="AV413" i="34" s="1"/>
  <c r="AM405" i="34"/>
  <c r="AM393" i="34"/>
  <c r="AV393" i="34" s="1"/>
  <c r="AM389" i="34"/>
  <c r="AV389" i="34" s="1"/>
  <c r="AM385" i="34"/>
  <c r="AV385" i="34" s="1"/>
  <c r="AM379" i="34"/>
  <c r="AM377" i="34"/>
  <c r="AV377" i="34" s="1"/>
  <c r="AM371" i="34"/>
  <c r="AV371" i="34" s="1"/>
  <c r="AM366" i="34"/>
  <c r="AV366" i="34" s="1"/>
  <c r="AL366" i="34"/>
  <c r="AM360" i="34"/>
  <c r="AL360" i="34"/>
  <c r="AV360" i="34" s="1"/>
  <c r="AL352" i="34"/>
  <c r="AV352" i="34" s="1"/>
  <c r="AM346" i="34"/>
  <c r="AL346" i="34"/>
  <c r="AV346" i="34" s="1"/>
  <c r="AL338" i="34"/>
  <c r="AV338" i="34" s="1"/>
  <c r="AM328" i="34"/>
  <c r="AL328" i="34"/>
  <c r="AL316" i="34"/>
  <c r="AL306" i="34"/>
  <c r="AV306" i="34" s="1"/>
  <c r="AM265" i="34"/>
  <c r="AL265" i="34"/>
  <c r="AM259" i="34"/>
  <c r="AL259" i="34"/>
  <c r="AV259" i="34" s="1"/>
  <c r="AM243" i="34"/>
  <c r="AL243" i="34"/>
  <c r="AM186" i="34"/>
  <c r="AL186" i="34"/>
  <c r="AV186" i="34" s="1"/>
  <c r="AM170" i="34"/>
  <c r="AL170" i="34"/>
  <c r="AM154" i="34"/>
  <c r="AL154" i="34"/>
  <c r="AV154" i="34" s="1"/>
  <c r="AL72" i="34"/>
  <c r="AV72" i="34" s="1"/>
  <c r="AM72" i="34"/>
  <c r="AL56" i="34"/>
  <c r="AM56" i="34"/>
  <c r="AV56" i="34" s="1"/>
  <c r="AM31" i="34"/>
  <c r="AL31" i="34"/>
  <c r="AM16" i="34"/>
  <c r="AL16" i="34"/>
  <c r="AV227" i="34"/>
  <c r="AM335" i="34"/>
  <c r="AM333" i="34"/>
  <c r="AV333" i="34" s="1"/>
  <c r="AL326" i="34"/>
  <c r="AV326" i="34" s="1"/>
  <c r="AM319" i="34"/>
  <c r="AV319" i="34" s="1"/>
  <c r="AM317" i="34"/>
  <c r="AM315" i="34"/>
  <c r="AV315" i="34" s="1"/>
  <c r="AM313" i="34"/>
  <c r="AM311" i="34"/>
  <c r="AV311" i="34" s="1"/>
  <c r="AM305" i="34"/>
  <c r="AV305" i="34" s="1"/>
  <c r="AM303" i="34"/>
  <c r="AV303" i="34" s="1"/>
  <c r="AM296" i="34"/>
  <c r="AV296" i="34" s="1"/>
  <c r="AM290" i="34"/>
  <c r="AV290" i="34" s="1"/>
  <c r="AM288" i="34"/>
  <c r="AM284" i="34"/>
  <c r="AM280" i="34"/>
  <c r="AV280" i="34" s="1"/>
  <c r="AM276" i="34"/>
  <c r="AM272" i="34"/>
  <c r="AL225" i="34"/>
  <c r="AV225" i="34" s="1"/>
  <c r="AM223" i="34"/>
  <c r="AV223" i="34" s="1"/>
  <c r="AL221" i="34"/>
  <c r="AM219" i="34"/>
  <c r="AL217" i="34"/>
  <c r="AV217" i="34" s="1"/>
  <c r="AM215" i="34"/>
  <c r="AV215" i="34" s="1"/>
  <c r="AM202" i="34"/>
  <c r="AV202" i="34" s="1"/>
  <c r="AM195" i="34"/>
  <c r="AV195" i="34" s="1"/>
  <c r="AL185" i="34"/>
  <c r="AV185" i="34" s="1"/>
  <c r="AL181" i="34"/>
  <c r="AV181" i="34" s="1"/>
  <c r="AL177" i="34"/>
  <c r="AV177" i="34" s="1"/>
  <c r="AL173" i="34"/>
  <c r="AV173" i="34" s="1"/>
  <c r="AL169" i="34"/>
  <c r="AV169" i="34" s="1"/>
  <c r="AL165" i="34"/>
  <c r="AV165" i="34" s="1"/>
  <c r="AL161" i="34"/>
  <c r="AV161" i="34" s="1"/>
  <c r="AL157" i="34"/>
  <c r="AV157" i="34" s="1"/>
  <c r="AM150" i="34"/>
  <c r="AV150" i="34" s="1"/>
  <c r="AM127" i="34"/>
  <c r="AV127" i="34" s="1"/>
  <c r="AM120" i="34"/>
  <c r="AV120" i="34" s="1"/>
  <c r="AM111" i="34"/>
  <c r="AM104" i="34"/>
  <c r="AV104" i="34" s="1"/>
  <c r="AM95" i="34"/>
  <c r="AL93" i="34"/>
  <c r="AV93" i="34" s="1"/>
  <c r="AM91" i="34"/>
  <c r="AL89" i="34"/>
  <c r="AM87" i="34"/>
  <c r="AV87" i="34" s="1"/>
  <c r="AL85" i="34"/>
  <c r="AM83" i="34"/>
  <c r="AV83" i="34" s="1"/>
  <c r="AL81" i="34"/>
  <c r="AL79" i="34"/>
  <c r="AV79" i="34" s="1"/>
  <c r="AL75" i="34"/>
  <c r="AV75" i="34" s="1"/>
  <c r="AL71" i="34"/>
  <c r="AV71" i="34" s="1"/>
  <c r="AL67" i="34"/>
  <c r="AV67" i="34" s="1"/>
  <c r="AL63" i="34"/>
  <c r="AV63" i="34" s="1"/>
  <c r="AL59" i="34"/>
  <c r="AV59" i="34" s="1"/>
  <c r="AL55" i="34"/>
  <c r="AV55" i="34" s="1"/>
  <c r="AM49" i="34"/>
  <c r="AV49" i="34" s="1"/>
  <c r="AM44" i="34"/>
  <c r="AV44" i="34" s="1"/>
  <c r="AL39" i="34"/>
  <c r="AM33" i="34"/>
  <c r="AM28" i="34"/>
  <c r="AV28" i="34" s="1"/>
  <c r="AL23" i="34"/>
  <c r="AV23" i="34" s="1"/>
  <c r="AM18" i="34"/>
  <c r="AL261" i="34"/>
  <c r="AL257" i="34"/>
  <c r="AL253" i="34"/>
  <c r="AV253" i="34" s="1"/>
  <c r="AL249" i="34"/>
  <c r="AL245" i="34"/>
  <c r="AV245" i="34" s="1"/>
  <c r="AL241" i="34"/>
  <c r="AV241" i="34" s="1"/>
  <c r="AL237" i="34"/>
  <c r="AV237" i="34" s="1"/>
  <c r="AL233" i="34"/>
  <c r="AL229" i="34"/>
  <c r="AV229" i="34" s="1"/>
  <c r="AL227" i="34"/>
  <c r="AM199" i="34"/>
  <c r="AM147" i="34"/>
  <c r="AM124" i="34"/>
  <c r="AV124" i="34" s="1"/>
  <c r="AM108" i="34"/>
  <c r="AV108" i="34" s="1"/>
  <c r="AL51" i="34"/>
  <c r="AV51" i="34" s="1"/>
  <c r="AL35" i="34"/>
  <c r="AV35" i="34" s="1"/>
  <c r="AL20" i="34"/>
  <c r="AV20" i="34" s="1"/>
  <c r="AM14" i="34"/>
  <c r="AM10" i="34"/>
  <c r="AV10" i="34" s="1"/>
  <c r="I10" i="35"/>
  <c r="H15" i="35"/>
  <c r="D33" i="46" s="1"/>
  <c r="AQ193" i="34"/>
  <c r="AR193" i="34" s="1"/>
  <c r="AL180" i="34"/>
  <c r="AM180" i="34"/>
  <c r="AL172" i="34"/>
  <c r="AM172" i="34"/>
  <c r="AL145" i="34"/>
  <c r="AM145" i="34"/>
  <c r="AL122" i="34"/>
  <c r="AV122" i="34" s="1"/>
  <c r="AM122" i="34"/>
  <c r="AL106" i="34"/>
  <c r="AM106" i="34"/>
  <c r="AV106" i="34" s="1"/>
  <c r="AL74" i="34"/>
  <c r="AV74" i="34" s="1"/>
  <c r="AM74" i="34"/>
  <c r="AL62" i="34"/>
  <c r="AM62" i="34"/>
  <c r="AL58" i="34"/>
  <c r="AM58" i="34"/>
  <c r="AL54" i="34"/>
  <c r="AM54" i="34"/>
  <c r="AL38" i="34"/>
  <c r="AM38" i="34"/>
  <c r="AL22" i="34"/>
  <c r="AM22" i="34"/>
  <c r="AW153" i="34"/>
  <c r="AV427" i="34"/>
  <c r="AL419" i="34"/>
  <c r="AM419" i="34"/>
  <c r="AV419" i="34" s="1"/>
  <c r="AL415" i="34"/>
  <c r="AV415" i="34" s="1"/>
  <c r="AM415" i="34"/>
  <c r="AL411" i="34"/>
  <c r="AM411" i="34"/>
  <c r="AL407" i="34"/>
  <c r="AM407" i="34"/>
  <c r="AL403" i="34"/>
  <c r="AM403" i="34"/>
  <c r="AL399" i="34"/>
  <c r="AM399" i="34"/>
  <c r="AL395" i="34"/>
  <c r="AM395" i="34"/>
  <c r="AL391" i="34"/>
  <c r="AV391" i="34" s="1"/>
  <c r="AM391" i="34"/>
  <c r="AL387" i="34"/>
  <c r="AM387" i="34"/>
  <c r="AL373" i="34"/>
  <c r="AV373" i="34" s="1"/>
  <c r="AM373" i="34"/>
  <c r="AL349" i="34"/>
  <c r="AM349" i="34"/>
  <c r="AV349" i="34"/>
  <c r="AL327" i="34"/>
  <c r="AM327" i="34"/>
  <c r="AL184" i="34"/>
  <c r="AM184" i="34"/>
  <c r="AV184" i="34" s="1"/>
  <c r="AL176" i="34"/>
  <c r="AM176" i="34"/>
  <c r="AV176" i="34" s="1"/>
  <c r="AL156" i="34"/>
  <c r="AM156" i="34"/>
  <c r="AV156" i="34" s="1"/>
  <c r="AL375" i="34"/>
  <c r="AM375" i="34"/>
  <c r="AL351" i="34"/>
  <c r="AV351" i="34" s="1"/>
  <c r="AM351" i="34"/>
  <c r="AL329" i="34"/>
  <c r="AM329" i="34"/>
  <c r="AL321" i="34"/>
  <c r="AM321" i="34"/>
  <c r="AV321" i="34" s="1"/>
  <c r="AL299" i="34"/>
  <c r="AM299" i="34"/>
  <c r="AV299" i="34"/>
  <c r="AL325" i="34"/>
  <c r="AV325" i="34" s="1"/>
  <c r="AM325" i="34"/>
  <c r="AL168" i="34"/>
  <c r="AM168" i="34"/>
  <c r="AL164" i="34"/>
  <c r="AV164" i="34" s="1"/>
  <c r="AM164" i="34"/>
  <c r="AL160" i="34"/>
  <c r="AM160" i="34"/>
  <c r="AL78" i="34"/>
  <c r="AM78" i="34"/>
  <c r="AV78" i="34"/>
  <c r="AL70" i="34"/>
  <c r="AV70" i="34" s="1"/>
  <c r="AM70" i="34"/>
  <c r="AL66" i="34"/>
  <c r="AM66" i="34"/>
  <c r="AV66" i="34"/>
  <c r="AQ388" i="34"/>
  <c r="AR388" i="34" s="1"/>
  <c r="AW388" i="34"/>
  <c r="AK434" i="34"/>
  <c r="AL430" i="34"/>
  <c r="AV430" i="34" s="1"/>
  <c r="AM430" i="34"/>
  <c r="AL426" i="34"/>
  <c r="AM426" i="34"/>
  <c r="AV404" i="34"/>
  <c r="AV388" i="34"/>
  <c r="AL331" i="34"/>
  <c r="AM331" i="34"/>
  <c r="AL323" i="34"/>
  <c r="AM323" i="34"/>
  <c r="AV323" i="34"/>
  <c r="AL301" i="34"/>
  <c r="AM301" i="34"/>
  <c r="AV405" i="34"/>
  <c r="AL409" i="34"/>
  <c r="AV409" i="34" s="1"/>
  <c r="AL401" i="34"/>
  <c r="AV401" i="34" s="1"/>
  <c r="AL397" i="34"/>
  <c r="AV397" i="34" s="1"/>
  <c r="AM383" i="34"/>
  <c r="AV383" i="34" s="1"/>
  <c r="AM381" i="34"/>
  <c r="AV381" i="34" s="1"/>
  <c r="AM367" i="34"/>
  <c r="AV367" i="34" s="1"/>
  <c r="AM365" i="34"/>
  <c r="AV365" i="34" s="1"/>
  <c r="AM337" i="34"/>
  <c r="AV337" i="34" s="1"/>
  <c r="AM309" i="34"/>
  <c r="AV309" i="34" s="1"/>
  <c r="AM307" i="34"/>
  <c r="AV307" i="34" s="1"/>
  <c r="AM294" i="34"/>
  <c r="AV294" i="34" s="1"/>
  <c r="AM292" i="34"/>
  <c r="AL226" i="34"/>
  <c r="AM226" i="34"/>
  <c r="AL222" i="34"/>
  <c r="AM222" i="34"/>
  <c r="AL218" i="34"/>
  <c r="AV218" i="34" s="1"/>
  <c r="AM218" i="34"/>
  <c r="AL262" i="34"/>
  <c r="AM262" i="34"/>
  <c r="AL258" i="34"/>
  <c r="AM258" i="34"/>
  <c r="AL254" i="34"/>
  <c r="AM254" i="34"/>
  <c r="AL250" i="34"/>
  <c r="AM250" i="34"/>
  <c r="AL246" i="34"/>
  <c r="AM246" i="34"/>
  <c r="AV246" i="34" s="1"/>
  <c r="AL242" i="34"/>
  <c r="AV242" i="34" s="1"/>
  <c r="AM242" i="34"/>
  <c r="AL238" i="34"/>
  <c r="AM238" i="34"/>
  <c r="AV238" i="34" s="1"/>
  <c r="AL234" i="34"/>
  <c r="AM234" i="34"/>
  <c r="AL230" i="34"/>
  <c r="AM230" i="34"/>
  <c r="AW157" i="34"/>
  <c r="AW247" i="34"/>
  <c r="AW292" i="34"/>
  <c r="AW391" i="34"/>
  <c r="AL286" i="34"/>
  <c r="AM286" i="34"/>
  <c r="AL282" i="34"/>
  <c r="AM282" i="34"/>
  <c r="AL278" i="34"/>
  <c r="AM278" i="34"/>
  <c r="AL274" i="34"/>
  <c r="AM274" i="34"/>
  <c r="AL270" i="34"/>
  <c r="AM270" i="34"/>
  <c r="AL266" i="34"/>
  <c r="AM266" i="34"/>
  <c r="AL213" i="34"/>
  <c r="AV213" i="34" s="1"/>
  <c r="AL209" i="34"/>
  <c r="AV209" i="34" s="1"/>
  <c r="AL205" i="34"/>
  <c r="AV205" i="34" s="1"/>
  <c r="AL201" i="34"/>
  <c r="AV201" i="34" s="1"/>
  <c r="AL197" i="34"/>
  <c r="AV197" i="34" s="1"/>
  <c r="AL193" i="34"/>
  <c r="AV193" i="34" s="1"/>
  <c r="AL189" i="34"/>
  <c r="AV189" i="34" s="1"/>
  <c r="AL149" i="34"/>
  <c r="AM149" i="34"/>
  <c r="AL126" i="34"/>
  <c r="AV126" i="34" s="1"/>
  <c r="AM126" i="34"/>
  <c r="AL110" i="34"/>
  <c r="AM110" i="34"/>
  <c r="AV110" i="34" s="1"/>
  <c r="AL94" i="34"/>
  <c r="AM94" i="34"/>
  <c r="AL90" i="34"/>
  <c r="AM90" i="34"/>
  <c r="AL86" i="34"/>
  <c r="AM86" i="34"/>
  <c r="AL82" i="34"/>
  <c r="AM82" i="34"/>
  <c r="AL50" i="34"/>
  <c r="AV50" i="34" s="1"/>
  <c r="AM50" i="34"/>
  <c r="AL34" i="34"/>
  <c r="AM34" i="34"/>
  <c r="AL19" i="34"/>
  <c r="AV19" i="34" s="1"/>
  <c r="AM19" i="34"/>
  <c r="AL153" i="34"/>
  <c r="AM153" i="34"/>
  <c r="AL137" i="34"/>
  <c r="AV137" i="34" s="1"/>
  <c r="AM137" i="34"/>
  <c r="AL130" i="34"/>
  <c r="AM130" i="34"/>
  <c r="AL114" i="34"/>
  <c r="AV114" i="34" s="1"/>
  <c r="AM114" i="34"/>
  <c r="AL98" i="34"/>
  <c r="AM98" i="34"/>
  <c r="AL46" i="34"/>
  <c r="AM46" i="34"/>
  <c r="AL30" i="34"/>
  <c r="AM30" i="34"/>
  <c r="AV30" i="34" s="1"/>
  <c r="AL15" i="34"/>
  <c r="AM15" i="34"/>
  <c r="AL11" i="34"/>
  <c r="AM11" i="34"/>
  <c r="AL7" i="34"/>
  <c r="AM7" i="34"/>
  <c r="AL212" i="34"/>
  <c r="AM212" i="34"/>
  <c r="AL208" i="34"/>
  <c r="AV208" i="34" s="1"/>
  <c r="AM208" i="34"/>
  <c r="AL204" i="34"/>
  <c r="AM204" i="34"/>
  <c r="AL200" i="34"/>
  <c r="AM200" i="34"/>
  <c r="AL196" i="34"/>
  <c r="AM196" i="34"/>
  <c r="AV196" i="34" s="1"/>
  <c r="AL192" i="34"/>
  <c r="AV192" i="34" s="1"/>
  <c r="AM192" i="34"/>
  <c r="AL188" i="34"/>
  <c r="AM188" i="34"/>
  <c r="AV188" i="34" s="1"/>
  <c r="AL141" i="34"/>
  <c r="AV141" i="34" s="1"/>
  <c r="AM141" i="34"/>
  <c r="AL134" i="34"/>
  <c r="AM134" i="34"/>
  <c r="AL118" i="34"/>
  <c r="AV118" i="34" s="1"/>
  <c r="AM118" i="34"/>
  <c r="AL102" i="34"/>
  <c r="AM102" i="34"/>
  <c r="AL42" i="34"/>
  <c r="AM42" i="34"/>
  <c r="AL26" i="34"/>
  <c r="AM26" i="34"/>
  <c r="AV26" i="34" s="1"/>
  <c r="AM152" i="34"/>
  <c r="AM148" i="34"/>
  <c r="AM144" i="34"/>
  <c r="AM140" i="34"/>
  <c r="AV140" i="34" s="1"/>
  <c r="AM133" i="34"/>
  <c r="AV133" i="34" s="1"/>
  <c r="AM129" i="34"/>
  <c r="AM125" i="34"/>
  <c r="AM121" i="34"/>
  <c r="AV121" i="34" s="1"/>
  <c r="AM117" i="34"/>
  <c r="AV117" i="34" s="1"/>
  <c r="AM113" i="34"/>
  <c r="AV113" i="34" s="1"/>
  <c r="AM109" i="34"/>
  <c r="AV109" i="34" s="1"/>
  <c r="AM105" i="34"/>
  <c r="AV105" i="34" s="1"/>
  <c r="AM101" i="34"/>
  <c r="AV101" i="34" s="1"/>
  <c r="AM97" i="34"/>
  <c r="AV97" i="34" s="1"/>
  <c r="AM6" i="34"/>
  <c r="AQ251" i="34"/>
  <c r="AR251" i="34" s="1"/>
  <c r="AQ309" i="34"/>
  <c r="AR309" i="34" s="1"/>
  <c r="AQ425" i="34"/>
  <c r="AR425" i="34" s="1"/>
  <c r="AQ429" i="34"/>
  <c r="AR429" i="34" s="1"/>
  <c r="AP434" i="34"/>
  <c r="AQ369" i="34"/>
  <c r="AR369" i="34" s="1"/>
  <c r="AW8" i="34"/>
  <c r="AW9" i="34"/>
  <c r="AQ146" i="34"/>
  <c r="AR146" i="34" s="1"/>
  <c r="AW168" i="34"/>
  <c r="AQ184" i="34"/>
  <c r="AR184" i="34" s="1"/>
  <c r="AQ212" i="34"/>
  <c r="AR212" i="34" s="1"/>
  <c r="AW212" i="34"/>
  <c r="AQ256" i="34"/>
  <c r="AR256" i="34" s="1"/>
  <c r="AQ288" i="34"/>
  <c r="AR288" i="34" s="1"/>
  <c r="AQ339" i="34"/>
  <c r="AR339" i="34" s="1"/>
  <c r="AQ365" i="34"/>
  <c r="AR365" i="34" s="1"/>
  <c r="AW365" i="34"/>
  <c r="AW377" i="34"/>
  <c r="AQ402" i="34"/>
  <c r="AR402" i="34" s="1"/>
  <c r="AQ427" i="34"/>
  <c r="AR427" i="34" s="1"/>
  <c r="AW21" i="34"/>
  <c r="AQ95" i="34"/>
  <c r="AR95" i="34" s="1"/>
  <c r="AQ126" i="34"/>
  <c r="AR126" i="34" s="1"/>
  <c r="AQ132" i="34"/>
  <c r="AR132" i="34" s="1"/>
  <c r="AQ272" i="34"/>
  <c r="AR272" i="34" s="1"/>
  <c r="AQ373" i="34"/>
  <c r="AR373" i="34" s="1"/>
  <c r="AW421" i="34"/>
  <c r="AQ20" i="34"/>
  <c r="AR20" i="34" s="1"/>
  <c r="AW36" i="34"/>
  <c r="AW57" i="34"/>
  <c r="AW76" i="34"/>
  <c r="AQ107" i="34"/>
  <c r="AR107" i="34" s="1"/>
  <c r="AW118" i="34"/>
  <c r="AQ172" i="34"/>
  <c r="AR172" i="34" s="1"/>
  <c r="AQ234" i="34"/>
  <c r="AR234" i="34" s="1"/>
  <c r="AQ268" i="34"/>
  <c r="AR268" i="34" s="1"/>
  <c r="AQ298" i="34"/>
  <c r="AR298" i="34" s="1"/>
  <c r="AQ306" i="34"/>
  <c r="AR306" i="34" s="1"/>
  <c r="AQ317" i="34"/>
  <c r="AR317" i="34" s="1"/>
  <c r="AW317" i="34"/>
  <c r="AQ342" i="34"/>
  <c r="AR342" i="34" s="1"/>
  <c r="AW381" i="34"/>
  <c r="AW12" i="34"/>
  <c r="AW16" i="34"/>
  <c r="AW24" i="34"/>
  <c r="AQ29" i="34"/>
  <c r="AR29" i="34" s="1"/>
  <c r="AQ32" i="34"/>
  <c r="AR32" i="34" s="1"/>
  <c r="AW46" i="34"/>
  <c r="AW49" i="34"/>
  <c r="AQ53" i="34"/>
  <c r="AR53" i="34" s="1"/>
  <c r="AW65" i="34"/>
  <c r="AW68" i="34"/>
  <c r="AQ72" i="34"/>
  <c r="AR72" i="34" s="1"/>
  <c r="AQ99" i="34"/>
  <c r="AR99" i="34" s="1"/>
  <c r="AQ114" i="34"/>
  <c r="AR114" i="34" s="1"/>
  <c r="AQ171" i="34"/>
  <c r="AR171" i="34" s="1"/>
  <c r="AW219" i="34"/>
  <c r="AW222" i="34"/>
  <c r="AQ227" i="34"/>
  <c r="AR227" i="34" s="1"/>
  <c r="AQ284" i="34"/>
  <c r="AR284" i="34" s="1"/>
  <c r="AW346" i="34"/>
  <c r="AQ361" i="34"/>
  <c r="AR361" i="34" s="1"/>
  <c r="AQ401" i="34"/>
  <c r="AR401" i="34" s="1"/>
  <c r="AW407" i="34"/>
  <c r="AW422" i="34"/>
  <c r="AW385" i="34"/>
  <c r="AW394" i="34"/>
  <c r="AW81" i="34"/>
  <c r="AW84" i="34"/>
  <c r="AQ88" i="34"/>
  <c r="AR88" i="34" s="1"/>
  <c r="AQ91" i="34"/>
  <c r="AR91" i="34" s="1"/>
  <c r="AQ110" i="34"/>
  <c r="AR110" i="34" s="1"/>
  <c r="AW129" i="34"/>
  <c r="AW149" i="34"/>
  <c r="AQ150" i="34"/>
  <c r="AR150" i="34" s="1"/>
  <c r="AQ151" i="34"/>
  <c r="AR151" i="34" s="1"/>
  <c r="AQ155" i="34"/>
  <c r="AR155" i="34" s="1"/>
  <c r="AQ159" i="34"/>
  <c r="AR159" i="34" s="1"/>
  <c r="AQ175" i="34"/>
  <c r="AR175" i="34" s="1"/>
  <c r="AQ176" i="34"/>
  <c r="AR176" i="34" s="1"/>
  <c r="AW177" i="34"/>
  <c r="AQ187" i="34"/>
  <c r="AR187" i="34" s="1"/>
  <c r="AQ188" i="34"/>
  <c r="AR188" i="34" s="1"/>
  <c r="AW191" i="34"/>
  <c r="AW192" i="34"/>
  <c r="AQ200" i="34"/>
  <c r="AR200" i="34" s="1"/>
  <c r="AW203" i="34"/>
  <c r="AW204" i="34"/>
  <c r="AQ206" i="34"/>
  <c r="AR206" i="34" s="1"/>
  <c r="AQ208" i="34"/>
  <c r="AR208" i="34" s="1"/>
  <c r="AW211" i="34"/>
  <c r="AW230" i="34"/>
  <c r="AW243" i="34"/>
  <c r="AW246" i="34"/>
  <c r="AQ260" i="34"/>
  <c r="AR260" i="34" s="1"/>
  <c r="AW264" i="34"/>
  <c r="AQ276" i="34"/>
  <c r="AR276" i="34" s="1"/>
  <c r="AW280" i="34"/>
  <c r="AQ312" i="34"/>
  <c r="AR312" i="34" s="1"/>
  <c r="AQ320" i="34"/>
  <c r="AR320" i="34" s="1"/>
  <c r="AW328" i="34"/>
  <c r="AW336" i="34"/>
  <c r="AW349" i="34"/>
  <c r="AW353" i="34"/>
  <c r="AW357" i="34"/>
  <c r="AW397" i="34"/>
  <c r="AW398" i="34"/>
  <c r="AW412" i="34"/>
  <c r="AW423" i="34"/>
  <c r="AW17" i="34"/>
  <c r="AW25" i="34"/>
  <c r="AV37" i="34"/>
  <c r="AW39" i="34"/>
  <c r="AW13" i="34"/>
  <c r="AW18" i="34"/>
  <c r="AW26" i="34"/>
  <c r="AW37" i="34"/>
  <c r="AV88" i="34"/>
  <c r="AQ197" i="34"/>
  <c r="AR197" i="34" s="1"/>
  <c r="AQ304" i="34"/>
  <c r="AR304" i="34" s="1"/>
  <c r="AQ6" i="34"/>
  <c r="AW7" i="34"/>
  <c r="AV8" i="34"/>
  <c r="AQ10" i="34"/>
  <c r="AR10" i="34" s="1"/>
  <c r="AW11" i="34"/>
  <c r="AV12" i="34"/>
  <c r="AV13" i="34"/>
  <c r="AQ14" i="34"/>
  <c r="AR14" i="34" s="1"/>
  <c r="AW15" i="34"/>
  <c r="AV16" i="34"/>
  <c r="AV17" i="34"/>
  <c r="AW19" i="34"/>
  <c r="AV21" i="34"/>
  <c r="AQ22" i="34"/>
  <c r="AR22" i="34" s="1"/>
  <c r="AW23" i="34"/>
  <c r="AV25" i="34"/>
  <c r="AW27" i="34"/>
  <c r="AV29" i="34"/>
  <c r="AQ30" i="34"/>
  <c r="AR30" i="34" s="1"/>
  <c r="AV32" i="34"/>
  <c r="AQ33" i="34"/>
  <c r="AR33" i="34" s="1"/>
  <c r="AW34" i="34"/>
  <c r="AW38" i="34"/>
  <c r="AV39" i="34"/>
  <c r="AQ40" i="34"/>
  <c r="AR40" i="34" s="1"/>
  <c r="AQ42" i="34"/>
  <c r="AR42" i="34" s="1"/>
  <c r="AW58" i="34"/>
  <c r="AW61" i="34"/>
  <c r="AV68" i="34"/>
  <c r="AW77" i="34"/>
  <c r="AV91" i="34"/>
  <c r="AW100" i="34"/>
  <c r="AW103" i="34"/>
  <c r="AW119" i="34"/>
  <c r="AW122" i="34"/>
  <c r="AV143" i="34"/>
  <c r="AV152" i="34"/>
  <c r="AQ161" i="34"/>
  <c r="AR161" i="34" s="1"/>
  <c r="AW161" i="34" s="1"/>
  <c r="AQ181" i="34"/>
  <c r="AR181" i="34" s="1"/>
  <c r="AV204" i="34"/>
  <c r="AQ216" i="34"/>
  <c r="AR216" i="34" s="1"/>
  <c r="AQ229" i="34"/>
  <c r="AR229" i="34" s="1"/>
  <c r="AQ376" i="34"/>
  <c r="AR376" i="34" s="1"/>
  <c r="AQ417" i="34"/>
  <c r="AR417" i="34" s="1"/>
  <c r="AV14" i="34"/>
  <c r="AW28" i="34"/>
  <c r="AW31" i="34"/>
  <c r="AV33" i="34"/>
  <c r="AW35" i="34"/>
  <c r="AQ41" i="34"/>
  <c r="AR41" i="34" s="1"/>
  <c r="AV43" i="34"/>
  <c r="AW43" i="34"/>
  <c r="AW45" i="34"/>
  <c r="AW54" i="34"/>
  <c r="AW73" i="34"/>
  <c r="AV80" i="34"/>
  <c r="AW89" i="34"/>
  <c r="AW96" i="34"/>
  <c r="AW115" i="34"/>
  <c r="AV125" i="34"/>
  <c r="AR140" i="34"/>
  <c r="AW140" i="34"/>
  <c r="AQ148" i="34"/>
  <c r="AR148" i="34" s="1"/>
  <c r="AQ165" i="34"/>
  <c r="AR165" i="34" s="1"/>
  <c r="AV53" i="34"/>
  <c r="AV95" i="34"/>
  <c r="AQ133" i="34"/>
  <c r="AR133" i="34" s="1"/>
  <c r="AW133" i="34"/>
  <c r="AR144" i="34"/>
  <c r="AW144" i="34" s="1"/>
  <c r="AV261" i="34"/>
  <c r="AQ360" i="34"/>
  <c r="AR360" i="34" s="1"/>
  <c r="AV42" i="34"/>
  <c r="AW50" i="34"/>
  <c r="AV57" i="34"/>
  <c r="AW64" i="34"/>
  <c r="AW69" i="34"/>
  <c r="AW80" i="34"/>
  <c r="AW85" i="34"/>
  <c r="AW92" i="34"/>
  <c r="AV99" i="34"/>
  <c r="AW106" i="34"/>
  <c r="AW111" i="34"/>
  <c r="AW125" i="34"/>
  <c r="AV129" i="34"/>
  <c r="AV139" i="34"/>
  <c r="AV160" i="34"/>
  <c r="AV163" i="34"/>
  <c r="AW47" i="34"/>
  <c r="AW51" i="34"/>
  <c r="AW55" i="34"/>
  <c r="AW59" i="34"/>
  <c r="AW62" i="34"/>
  <c r="AW66" i="34"/>
  <c r="AW70" i="34"/>
  <c r="AW74" i="34"/>
  <c r="AW78" i="34"/>
  <c r="AW82" i="34"/>
  <c r="AW86" i="34"/>
  <c r="AW90" i="34"/>
  <c r="AW93" i="34"/>
  <c r="AW97" i="34"/>
  <c r="AW101" i="34"/>
  <c r="AW104" i="34"/>
  <c r="AW108" i="34"/>
  <c r="AW112" i="34"/>
  <c r="AW116" i="34"/>
  <c r="AW120" i="34"/>
  <c r="AW123" i="34"/>
  <c r="AW127" i="34"/>
  <c r="AW131" i="34"/>
  <c r="AV132" i="34"/>
  <c r="AW135" i="34"/>
  <c r="AV136" i="34"/>
  <c r="AV147" i="34"/>
  <c r="AV167" i="34"/>
  <c r="AV183" i="34"/>
  <c r="AV199" i="34"/>
  <c r="AV232" i="34"/>
  <c r="AV233" i="34"/>
  <c r="AQ237" i="34"/>
  <c r="AR237" i="34" s="1"/>
  <c r="AV257" i="34"/>
  <c r="AQ293" i="34"/>
  <c r="AR293" i="34" s="1"/>
  <c r="AV46" i="34"/>
  <c r="AW48" i="34"/>
  <c r="AW52" i="34"/>
  <c r="AW56" i="34"/>
  <c r="AW60" i="34"/>
  <c r="AV61" i="34"/>
  <c r="AW63" i="34"/>
  <c r="AV65" i="34"/>
  <c r="AW67" i="34"/>
  <c r="AV69" i="34"/>
  <c r="AW71" i="34"/>
  <c r="AV73" i="34"/>
  <c r="AW75" i="34"/>
  <c r="AV77" i="34"/>
  <c r="AW79" i="34"/>
  <c r="AV81" i="34"/>
  <c r="AW83" i="34"/>
  <c r="AV85" i="34"/>
  <c r="AW87" i="34"/>
  <c r="AV89" i="34"/>
  <c r="AW94" i="34"/>
  <c r="AV96" i="34"/>
  <c r="AW98" i="34"/>
  <c r="AW102" i="34"/>
  <c r="AW105" i="34"/>
  <c r="AV107" i="34"/>
  <c r="AW109" i="34"/>
  <c r="AV111" i="34"/>
  <c r="AW113" i="34"/>
  <c r="AW117" i="34"/>
  <c r="AV119" i="34"/>
  <c r="AW121" i="34"/>
  <c r="AW124" i="34"/>
  <c r="AW128" i="34"/>
  <c r="AW130" i="34"/>
  <c r="AW136" i="34"/>
  <c r="AW139" i="34"/>
  <c r="AW143" i="34"/>
  <c r="AV144" i="34"/>
  <c r="AQ152" i="34"/>
  <c r="AR152" i="34" s="1"/>
  <c r="AQ156" i="34"/>
  <c r="AR156" i="34" s="1"/>
  <c r="AQ160" i="34"/>
  <c r="AR160" i="34" s="1"/>
  <c r="AW163" i="34"/>
  <c r="AW169" i="34"/>
  <c r="AV171" i="34"/>
  <c r="AW179" i="34"/>
  <c r="AV180" i="34"/>
  <c r="AW185" i="34"/>
  <c r="AV187" i="34"/>
  <c r="AW195" i="34"/>
  <c r="AW201" i="34"/>
  <c r="AW209" i="34"/>
  <c r="AV211" i="34"/>
  <c r="AW214" i="34"/>
  <c r="AW220" i="34"/>
  <c r="AQ221" i="34"/>
  <c r="AR221" i="34" s="1"/>
  <c r="AV224" i="34"/>
  <c r="AW226" i="34"/>
  <c r="AW233" i="34"/>
  <c r="AQ239" i="34"/>
  <c r="AR239" i="34" s="1"/>
  <c r="AV285" i="34"/>
  <c r="AV131" i="34"/>
  <c r="AW137" i="34"/>
  <c r="AW141" i="34"/>
  <c r="AW145" i="34"/>
  <c r="AW147" i="34"/>
  <c r="AV148" i="34"/>
  <c r="AV155" i="34"/>
  <c r="AV159" i="34"/>
  <c r="AW162" i="34"/>
  <c r="AW164" i="34"/>
  <c r="AW167" i="34"/>
  <c r="AV168" i="34"/>
  <c r="AW173" i="34"/>
  <c r="AW180" i="34"/>
  <c r="AW183" i="34"/>
  <c r="AW189" i="34"/>
  <c r="AV191" i="34"/>
  <c r="AW196" i="34"/>
  <c r="AW199" i="34"/>
  <c r="AV200" i="34"/>
  <c r="AW205" i="34"/>
  <c r="AW207" i="34"/>
  <c r="AW215" i="34"/>
  <c r="AW218" i="34"/>
  <c r="AV219" i="34"/>
  <c r="AW225" i="34"/>
  <c r="AV265" i="34"/>
  <c r="AW134" i="34"/>
  <c r="AW138" i="34"/>
  <c r="AW142" i="34"/>
  <c r="AW154" i="34"/>
  <c r="AW158" i="34"/>
  <c r="AW166" i="34"/>
  <c r="AW170" i="34"/>
  <c r="AW174" i="34"/>
  <c r="AW178" i="34"/>
  <c r="AV179" i="34"/>
  <c r="AW182" i="34"/>
  <c r="AW186" i="34"/>
  <c r="AW190" i="34"/>
  <c r="AW194" i="34"/>
  <c r="AW198" i="34"/>
  <c r="AW202" i="34"/>
  <c r="AV207" i="34"/>
  <c r="AW210" i="34"/>
  <c r="AW213" i="34"/>
  <c r="AV214" i="34"/>
  <c r="AW217" i="34"/>
  <c r="AW228" i="34"/>
  <c r="AV230" i="34"/>
  <c r="AW236" i="34"/>
  <c r="AW240" i="34"/>
  <c r="AW250" i="34"/>
  <c r="AW253" i="34"/>
  <c r="AQ321" i="34"/>
  <c r="AR321" i="34" s="1"/>
  <c r="AV221" i="34"/>
  <c r="AV222" i="34"/>
  <c r="AW223" i="34"/>
  <c r="AW231" i="34"/>
  <c r="AW238" i="34"/>
  <c r="AW244" i="34"/>
  <c r="AQ302" i="34"/>
  <c r="AR302" i="34" s="1"/>
  <c r="AV335" i="34"/>
  <c r="AW224" i="34"/>
  <c r="AW232" i="34"/>
  <c r="AW242" i="34"/>
  <c r="AW248" i="34"/>
  <c r="AW296" i="34"/>
  <c r="AQ297" i="34"/>
  <c r="AR297" i="34" s="1"/>
  <c r="AW300" i="34"/>
  <c r="AV316" i="34"/>
  <c r="AV322" i="34"/>
  <c r="AQ324" i="34"/>
  <c r="AR324" i="34" s="1"/>
  <c r="AV249" i="34"/>
  <c r="AV252" i="34"/>
  <c r="AW254" i="34"/>
  <c r="AW258" i="34"/>
  <c r="AW262" i="34"/>
  <c r="AW266" i="34"/>
  <c r="AW270" i="34"/>
  <c r="AW274" i="34"/>
  <c r="AW278" i="34"/>
  <c r="AW282" i="34"/>
  <c r="AW286" i="34"/>
  <c r="AW290" i="34"/>
  <c r="AW291" i="34"/>
  <c r="AV292" i="34"/>
  <c r="AW295" i="34"/>
  <c r="AV312" i="34"/>
  <c r="AW316" i="34"/>
  <c r="AW335" i="34"/>
  <c r="AW338" i="34"/>
  <c r="AV339" i="34"/>
  <c r="AV343" i="34"/>
  <c r="AQ364" i="34"/>
  <c r="AR364" i="34" s="1"/>
  <c r="AQ380" i="34"/>
  <c r="AR380" i="34" s="1"/>
  <c r="AQ383" i="34"/>
  <c r="AR383" i="34" s="1"/>
  <c r="AW241" i="34"/>
  <c r="AW245" i="34"/>
  <c r="AW249" i="34"/>
  <c r="AW252" i="34"/>
  <c r="AV256" i="34"/>
  <c r="AV260" i="34"/>
  <c r="AV268" i="34"/>
  <c r="AV272" i="34"/>
  <c r="AV276" i="34"/>
  <c r="AV284" i="34"/>
  <c r="AV288" i="34"/>
  <c r="AV308" i="34"/>
  <c r="AV327" i="34"/>
  <c r="AV328" i="34"/>
  <c r="AW331" i="34"/>
  <c r="AQ345" i="34"/>
  <c r="AR345" i="34" s="1"/>
  <c r="AV347" i="34"/>
  <c r="AQ352" i="34"/>
  <c r="AR352" i="34" s="1"/>
  <c r="AQ368" i="34"/>
  <c r="AR368" i="34" s="1"/>
  <c r="AQ382" i="34"/>
  <c r="AR382" i="34" s="1"/>
  <c r="AQ387" i="34"/>
  <c r="AR387" i="34" s="1"/>
  <c r="AW257" i="34"/>
  <c r="AW261" i="34"/>
  <c r="AW265" i="34"/>
  <c r="AW269" i="34"/>
  <c r="AW273" i="34"/>
  <c r="AW277" i="34"/>
  <c r="AW281" i="34"/>
  <c r="AW285" i="34"/>
  <c r="AW289" i="34"/>
  <c r="AV295" i="34"/>
  <c r="AV302" i="34"/>
  <c r="AV304" i="34"/>
  <c r="AW308" i="34"/>
  <c r="AW313" i="34"/>
  <c r="AV320" i="34"/>
  <c r="AW327" i="34"/>
  <c r="AW340" i="34"/>
  <c r="AQ356" i="34"/>
  <c r="AR356" i="34" s="1"/>
  <c r="AV358" i="34"/>
  <c r="AQ372" i="34"/>
  <c r="AR372" i="34" s="1"/>
  <c r="AW307" i="34"/>
  <c r="AW310" i="34"/>
  <c r="AW314" i="34"/>
  <c r="AW318" i="34"/>
  <c r="AW322" i="34"/>
  <c r="AW325" i="34"/>
  <c r="AW329" i="34"/>
  <c r="AW333" i="34"/>
  <c r="AW337" i="34"/>
  <c r="AW341" i="34"/>
  <c r="AV348" i="34"/>
  <c r="AV363" i="34"/>
  <c r="AV379" i="34"/>
  <c r="AV398" i="34"/>
  <c r="AV426" i="34"/>
  <c r="AW255" i="34"/>
  <c r="AW259" i="34"/>
  <c r="AW263" i="34"/>
  <c r="AW267" i="34"/>
  <c r="AW271" i="34"/>
  <c r="AW275" i="34"/>
  <c r="AW279" i="34"/>
  <c r="AW283" i="34"/>
  <c r="AW287" i="34"/>
  <c r="AW294" i="34"/>
  <c r="AW299" i="34"/>
  <c r="AW301" i="34"/>
  <c r="AW303" i="34"/>
  <c r="AW305" i="34"/>
  <c r="AW311" i="34"/>
  <c r="AV313" i="34"/>
  <c r="AW315" i="34"/>
  <c r="AV317" i="34"/>
  <c r="AW319" i="34"/>
  <c r="AW323" i="34"/>
  <c r="AW326" i="34"/>
  <c r="AW330" i="34"/>
  <c r="AW334" i="34"/>
  <c r="AV355" i="34"/>
  <c r="AV359" i="34"/>
  <c r="AQ384" i="34"/>
  <c r="AR384" i="34" s="1"/>
  <c r="AV386" i="34"/>
  <c r="AQ399" i="34"/>
  <c r="AR399" i="34" s="1"/>
  <c r="AV332" i="34"/>
  <c r="AV342" i="34"/>
  <c r="AW344" i="34"/>
  <c r="AV345" i="34"/>
  <c r="AW348" i="34"/>
  <c r="AW351" i="34"/>
  <c r="AW355" i="34"/>
  <c r="AV356" i="34"/>
  <c r="AW359" i="34"/>
  <c r="AW363" i="34"/>
  <c r="AW367" i="34"/>
  <c r="AW371" i="34"/>
  <c r="AV372" i="34"/>
  <c r="AW375" i="34"/>
  <c r="AV376" i="34"/>
  <c r="AW379" i="34"/>
  <c r="AV380" i="34"/>
  <c r="AW395" i="34"/>
  <c r="AQ410" i="34"/>
  <c r="AR410" i="34" s="1"/>
  <c r="AQ419" i="34"/>
  <c r="AR419" i="34" s="1"/>
  <c r="AW343" i="34"/>
  <c r="AW347" i="34"/>
  <c r="AW350" i="34"/>
  <c r="AW354" i="34"/>
  <c r="AW358" i="34"/>
  <c r="AW362" i="34"/>
  <c r="AW366" i="34"/>
  <c r="AW370" i="34"/>
  <c r="AW374" i="34"/>
  <c r="AW378" i="34"/>
  <c r="AW389" i="34"/>
  <c r="AV390" i="34"/>
  <c r="AW405" i="34"/>
  <c r="AV406" i="34"/>
  <c r="AV414" i="34"/>
  <c r="AW432" i="34"/>
  <c r="AV382" i="34"/>
  <c r="AW386" i="34"/>
  <c r="AV387" i="34"/>
  <c r="AW390" i="34"/>
  <c r="AW393" i="34"/>
  <c r="AV394" i="34"/>
  <c r="AV395" i="34"/>
  <c r="AW403" i="34"/>
  <c r="AW406" i="34"/>
  <c r="AW409" i="34"/>
  <c r="AW411" i="34"/>
  <c r="AV412" i="34"/>
  <c r="AW414" i="34"/>
  <c r="AW416" i="34"/>
  <c r="AW418" i="34"/>
  <c r="AW424" i="34"/>
  <c r="AW426" i="34"/>
  <c r="AW428" i="34"/>
  <c r="AW430" i="34"/>
  <c r="AW433" i="34"/>
  <c r="AW392" i="34"/>
  <c r="AW396" i="34"/>
  <c r="AW400" i="34"/>
  <c r="AW404" i="34"/>
  <c r="AW408" i="34"/>
  <c r="AW413" i="34"/>
  <c r="AW415" i="34"/>
  <c r="AW420" i="34"/>
  <c r="AW431" i="34"/>
  <c r="AV403" i="34"/>
  <c r="AV410" i="34"/>
  <c r="AV423" i="34"/>
  <c r="AV417" i="34"/>
  <c r="AV270" i="34" l="1"/>
  <c r="AV278" i="34"/>
  <c r="AV286" i="34"/>
  <c r="AV234" i="34"/>
  <c r="AV250" i="34"/>
  <c r="AV258" i="34"/>
  <c r="AV226" i="34"/>
  <c r="AV331" i="34"/>
  <c r="AV22" i="34"/>
  <c r="AV54" i="34"/>
  <c r="AV62" i="34"/>
  <c r="AV172" i="34"/>
  <c r="O8" i="35"/>
  <c r="AW320" i="34"/>
  <c r="AV38" i="34"/>
  <c r="AV58" i="34"/>
  <c r="X10" i="25"/>
  <c r="AW364" i="34"/>
  <c r="AV411" i="34"/>
  <c r="AV60" i="34"/>
  <c r="AV128" i="34"/>
  <c r="AW382" i="34"/>
  <c r="AW72" i="34"/>
  <c r="AW146" i="34"/>
  <c r="AV15" i="34"/>
  <c r="AV301" i="34"/>
  <c r="AV329" i="34"/>
  <c r="AV375" i="34"/>
  <c r="AV399" i="34"/>
  <c r="AV407" i="34"/>
  <c r="AV31" i="34"/>
  <c r="AV170" i="34"/>
  <c r="AV243" i="34"/>
  <c r="AV174" i="34"/>
  <c r="AV220" i="34"/>
  <c r="AV231" i="34"/>
  <c r="AV263" i="34"/>
  <c r="AV350" i="34"/>
  <c r="AV24" i="34"/>
  <c r="AV112" i="34"/>
  <c r="AV162" i="34"/>
  <c r="AV190" i="34"/>
  <c r="AV235" i="34"/>
  <c r="AV166" i="34"/>
  <c r="AV255" i="34"/>
  <c r="AV354" i="34"/>
  <c r="J10" i="35"/>
  <c r="I15" i="35"/>
  <c r="E33" i="46" s="1"/>
  <c r="AW345" i="34"/>
  <c r="AW383" i="34"/>
  <c r="AW187" i="34"/>
  <c r="AW114" i="34"/>
  <c r="AW427" i="34"/>
  <c r="AW256" i="34"/>
  <c r="AW184" i="34"/>
  <c r="AM434" i="34"/>
  <c r="AV102" i="34"/>
  <c r="AV134" i="34"/>
  <c r="AV212" i="34"/>
  <c r="AV11" i="34"/>
  <c r="AV98" i="34"/>
  <c r="AV130" i="34"/>
  <c r="AV153" i="34"/>
  <c r="AV34" i="34"/>
  <c r="AV82" i="34"/>
  <c r="AV90" i="34"/>
  <c r="AV149" i="34"/>
  <c r="AW356" i="34"/>
  <c r="AW387" i="34"/>
  <c r="AW312" i="34"/>
  <c r="AW91" i="34"/>
  <c r="AW95" i="34"/>
  <c r="AW306" i="34"/>
  <c r="AV266" i="34"/>
  <c r="AV274" i="34"/>
  <c r="AV282" i="34"/>
  <c r="AV254" i="34"/>
  <c r="AV262" i="34"/>
  <c r="AV145" i="34"/>
  <c r="AW200" i="34"/>
  <c r="AW368" i="34"/>
  <c r="AW208" i="34"/>
  <c r="AW88" i="34"/>
  <c r="AW361" i="34"/>
  <c r="AW227" i="34"/>
  <c r="AW342" i="34"/>
  <c r="AW373" i="34"/>
  <c r="AW126" i="34"/>
  <c r="AW429" i="34"/>
  <c r="AW251" i="34"/>
  <c r="AL434" i="34"/>
  <c r="AV7" i="34"/>
  <c r="AV86" i="34"/>
  <c r="AV94" i="34"/>
  <c r="AW193" i="34"/>
  <c r="AW155" i="34"/>
  <c r="AW372" i="34"/>
  <c r="AW221" i="34"/>
  <c r="AW206" i="34"/>
  <c r="AW172" i="34"/>
  <c r="AW288" i="34"/>
  <c r="AW380" i="34"/>
  <c r="AW360" i="34"/>
  <c r="AW229" i="34"/>
  <c r="AW276" i="34"/>
  <c r="AW175" i="34"/>
  <c r="AW150" i="34"/>
  <c r="AW171" i="34"/>
  <c r="AW268" i="34"/>
  <c r="AW20" i="34"/>
  <c r="AW401" i="34"/>
  <c r="AW284" i="34"/>
  <c r="AW32" i="34"/>
  <c r="AW402" i="34"/>
  <c r="AW425" i="34"/>
  <c r="AW176" i="34"/>
  <c r="AW151" i="34"/>
  <c r="AW272" i="34"/>
  <c r="AW53" i="34"/>
  <c r="AW384" i="34"/>
  <c r="AW376" i="34"/>
  <c r="AW156" i="34"/>
  <c r="AW197" i="34"/>
  <c r="AW42" i="34"/>
  <c r="AW260" i="34"/>
  <c r="AW188" i="34"/>
  <c r="AW159" i="34"/>
  <c r="AW110" i="34"/>
  <c r="AW298" i="34"/>
  <c r="AW234" i="34"/>
  <c r="AW107" i="34"/>
  <c r="AW132" i="34"/>
  <c r="AW339" i="34"/>
  <c r="AW99" i="34"/>
  <c r="AW29" i="34"/>
  <c r="AW369" i="34"/>
  <c r="AW309" i="34"/>
  <c r="AW33" i="34"/>
  <c r="AV18" i="34"/>
  <c r="AW410" i="34"/>
  <c r="AW352" i="34"/>
  <c r="AW302" i="34"/>
  <c r="AW321" i="34"/>
  <c r="AW165" i="34"/>
  <c r="AW148" i="34"/>
  <c r="AW417" i="34"/>
  <c r="AW216" i="34"/>
  <c r="AQ434" i="34"/>
  <c r="AR6" i="34"/>
  <c r="AW30" i="34"/>
  <c r="AW10" i="34"/>
  <c r="AW419" i="34"/>
  <c r="AW324" i="34"/>
  <c r="AW297" i="34"/>
  <c r="AW160" i="34"/>
  <c r="AW41" i="34"/>
  <c r="AW14" i="34"/>
  <c r="AW22" i="34"/>
  <c r="AW40" i="34"/>
  <c r="AW399" i="34"/>
  <c r="AW239" i="34"/>
  <c r="AW293" i="34"/>
  <c r="AW237" i="34"/>
  <c r="AW152" i="34"/>
  <c r="AV6" i="34"/>
  <c r="AW181" i="34"/>
  <c r="AW304" i="34"/>
  <c r="Y10" i="25" l="1"/>
  <c r="P8" i="35"/>
  <c r="K10" i="35"/>
  <c r="J15" i="35"/>
  <c r="F33" i="46" s="1"/>
  <c r="AR434" i="34"/>
  <c r="AW6" i="34"/>
  <c r="K15" i="35" l="1"/>
  <c r="G33" i="46" s="1"/>
  <c r="L10" i="35"/>
  <c r="Z10" i="25"/>
  <c r="Q64" i="29"/>
  <c r="G67" i="46" s="1"/>
  <c r="P64" i="29"/>
  <c r="F67" i="46" s="1"/>
  <c r="O64" i="29"/>
  <c r="E67" i="46" s="1"/>
  <c r="N24" i="29"/>
  <c r="N23" i="29"/>
  <c r="N22" i="29"/>
  <c r="N21" i="29"/>
  <c r="AB21" i="32"/>
  <c r="AB22" i="32"/>
  <c r="AB23" i="32"/>
  <c r="AB24" i="32"/>
  <c r="AB25" i="32"/>
  <c r="AB28" i="32"/>
  <c r="AB29" i="32"/>
  <c r="AB30" i="32"/>
  <c r="AB31" i="32"/>
  <c r="M10" i="35" l="1"/>
  <c r="L15" i="35"/>
  <c r="H33" i="46" s="1"/>
  <c r="N64" i="29"/>
  <c r="D67" i="46" s="1"/>
  <c r="G71" i="46"/>
  <c r="E71" i="46"/>
  <c r="F71" i="46"/>
  <c r="P31" i="31"/>
  <c r="Q31" i="31" s="1"/>
  <c r="R31" i="31" s="1"/>
  <c r="S31" i="31" s="1"/>
  <c r="T31" i="31" s="1"/>
  <c r="U31" i="31" s="1"/>
  <c r="V31" i="31" s="1"/>
  <c r="W31" i="31" s="1"/>
  <c r="X31" i="31" s="1"/>
  <c r="P32" i="31"/>
  <c r="Q32" i="31" s="1"/>
  <c r="R32" i="31" s="1"/>
  <c r="S32" i="31" s="1"/>
  <c r="T32" i="31" s="1"/>
  <c r="U32" i="31" s="1"/>
  <c r="V32" i="31" s="1"/>
  <c r="W32" i="31" s="1"/>
  <c r="X32" i="31" s="1"/>
  <c r="P33" i="31"/>
  <c r="Q33" i="31" s="1"/>
  <c r="R33" i="31" s="1"/>
  <c r="S33" i="31" s="1"/>
  <c r="T33" i="31" s="1"/>
  <c r="U33" i="31" s="1"/>
  <c r="V33" i="31" s="1"/>
  <c r="W33" i="31" s="1"/>
  <c r="X33" i="31" s="1"/>
  <c r="P34" i="31"/>
  <c r="Q34" i="31" s="1"/>
  <c r="R34" i="31" s="1"/>
  <c r="S34" i="31" s="1"/>
  <c r="T34" i="31" s="1"/>
  <c r="U34" i="31" s="1"/>
  <c r="V34" i="31" s="1"/>
  <c r="W34" i="31" s="1"/>
  <c r="X34" i="31" s="1"/>
  <c r="B17" i="33"/>
  <c r="C16" i="33"/>
  <c r="D16" i="33" s="1"/>
  <c r="C15" i="33"/>
  <c r="D15" i="33" s="1"/>
  <c r="C14" i="33"/>
  <c r="D14" i="33" s="1"/>
  <c r="C13" i="33"/>
  <c r="D13" i="33" s="1"/>
  <c r="C12" i="33"/>
  <c r="D12" i="33" s="1"/>
  <c r="C11" i="33"/>
  <c r="D11" i="33" s="1"/>
  <c r="C10" i="33"/>
  <c r="D10" i="33" s="1"/>
  <c r="C9" i="33"/>
  <c r="D9" i="33" s="1"/>
  <c r="C8" i="33"/>
  <c r="D8" i="33" s="1"/>
  <c r="G7" i="33"/>
  <c r="G8" i="33" s="1"/>
  <c r="C7" i="33"/>
  <c r="D7" i="33" s="1"/>
  <c r="C6" i="33"/>
  <c r="D6" i="33" s="1"/>
  <c r="N10" i="35" l="1"/>
  <c r="M15" i="35"/>
  <c r="I33" i="46" s="1"/>
  <c r="G9" i="33"/>
  <c r="O10" i="35" l="1"/>
  <c r="N15" i="35"/>
  <c r="J33" i="46" s="1"/>
  <c r="G10" i="33"/>
  <c r="G11" i="33" s="1"/>
  <c r="P10" i="35" l="1"/>
  <c r="P15" i="35" s="1"/>
  <c r="L33" i="46" s="1"/>
  <c r="O15" i="35"/>
  <c r="K33" i="46" s="1"/>
  <c r="G12" i="33"/>
  <c r="G13" i="33" l="1"/>
  <c r="G14" i="33" l="1"/>
  <c r="G15" i="33" l="1"/>
  <c r="G16" i="33" s="1"/>
  <c r="G17" i="33" s="1"/>
  <c r="J17" i="33" l="1"/>
  <c r="K17" i="33" s="1"/>
  <c r="G4" i="32"/>
  <c r="H4" i="32" s="1"/>
  <c r="L4" i="32"/>
  <c r="M4" i="32"/>
  <c r="N4" i="32" s="1"/>
  <c r="Q4" i="32" s="1"/>
  <c r="R4" i="32" s="1"/>
  <c r="U4" i="32" s="1"/>
  <c r="V4" i="32" s="1"/>
  <c r="P4" i="32"/>
  <c r="T4" i="32"/>
  <c r="X4" i="32"/>
  <c r="G5" i="32"/>
  <c r="H5" i="32" s="1"/>
  <c r="L5" i="32"/>
  <c r="M5" i="32"/>
  <c r="N5" i="32" s="1"/>
  <c r="Q5" i="32" s="1"/>
  <c r="R5" i="32" s="1"/>
  <c r="U5" i="32" s="1"/>
  <c r="V5" i="32" s="1"/>
  <c r="P5" i="32"/>
  <c r="T5" i="32"/>
  <c r="X5" i="32"/>
  <c r="G6" i="32"/>
  <c r="H6" i="32" s="1"/>
  <c r="L6" i="32"/>
  <c r="M6" i="32"/>
  <c r="N6" i="32" s="1"/>
  <c r="Q6" i="32" s="1"/>
  <c r="R6" i="32" s="1"/>
  <c r="U6" i="32" s="1"/>
  <c r="V6" i="32" s="1"/>
  <c r="P6" i="32"/>
  <c r="T6" i="32"/>
  <c r="X6" i="32"/>
  <c r="AB6" i="32" s="1"/>
  <c r="G7" i="32"/>
  <c r="H7" i="32" s="1"/>
  <c r="L7" i="32"/>
  <c r="M7" i="32"/>
  <c r="N7" i="32"/>
  <c r="Q7" i="32" s="1"/>
  <c r="R7" i="32" s="1"/>
  <c r="U7" i="32" s="1"/>
  <c r="V7" i="32" s="1"/>
  <c r="P7" i="32"/>
  <c r="T7" i="32"/>
  <c r="X7" i="32"/>
  <c r="G8" i="32"/>
  <c r="H8" i="32" s="1"/>
  <c r="L8" i="32"/>
  <c r="M8" i="32"/>
  <c r="N8" i="32" s="1"/>
  <c r="Q8" i="32" s="1"/>
  <c r="R8" i="32" s="1"/>
  <c r="U8" i="32" s="1"/>
  <c r="V8" i="32" s="1"/>
  <c r="P8" i="32"/>
  <c r="T8" i="32"/>
  <c r="X8" i="32"/>
  <c r="G9" i="32"/>
  <c r="H9" i="32" s="1"/>
  <c r="T9" i="32"/>
  <c r="U9" i="32"/>
  <c r="V9" i="32" s="1"/>
  <c r="X9" i="32"/>
  <c r="G10" i="32"/>
  <c r="H10" i="32" s="1"/>
  <c r="L10" i="32"/>
  <c r="M10" i="32"/>
  <c r="N10" i="32" s="1"/>
  <c r="Q10" i="32" s="1"/>
  <c r="R10" i="32" s="1"/>
  <c r="U10" i="32" s="1"/>
  <c r="V10" i="32" s="1"/>
  <c r="P10" i="32"/>
  <c r="T10" i="32"/>
  <c r="X10" i="32"/>
  <c r="AB10" i="32" s="1"/>
  <c r="G11" i="32"/>
  <c r="H11" i="32" s="1"/>
  <c r="P11" i="32"/>
  <c r="Q11" i="32"/>
  <c r="R11" i="32" s="1"/>
  <c r="U11" i="32" s="1"/>
  <c r="V11" i="32" s="1"/>
  <c r="T11" i="32"/>
  <c r="X11" i="32"/>
  <c r="X32" i="32" s="1"/>
  <c r="G12" i="32"/>
  <c r="H12" i="32" s="1"/>
  <c r="L12" i="32"/>
  <c r="M12" i="32"/>
  <c r="N12" i="32" s="1"/>
  <c r="Q12" i="32" s="1"/>
  <c r="R12" i="32" s="1"/>
  <c r="U12" i="32" s="1"/>
  <c r="V12" i="32" s="1"/>
  <c r="P12" i="32"/>
  <c r="T12" i="32"/>
  <c r="X12" i="32"/>
  <c r="G13" i="32"/>
  <c r="H13" i="32" s="1"/>
  <c r="P13" i="32"/>
  <c r="Q13" i="32"/>
  <c r="R13" i="32" s="1"/>
  <c r="U13" i="32" s="1"/>
  <c r="V13" i="32" s="1"/>
  <c r="T13" i="32"/>
  <c r="X13" i="32"/>
  <c r="G14" i="32"/>
  <c r="H14" i="32" s="1"/>
  <c r="L14" i="32"/>
  <c r="M14" i="32"/>
  <c r="N14" i="32" s="1"/>
  <c r="Q14" i="32" s="1"/>
  <c r="R14" i="32" s="1"/>
  <c r="U14" i="32" s="1"/>
  <c r="V14" i="32" s="1"/>
  <c r="P14" i="32"/>
  <c r="T14" i="32"/>
  <c r="X14" i="32"/>
  <c r="G15" i="32"/>
  <c r="H15" i="32" s="1"/>
  <c r="L15" i="32"/>
  <c r="M15" i="32"/>
  <c r="N15" i="32" s="1"/>
  <c r="Q15" i="32" s="1"/>
  <c r="R15" i="32" s="1"/>
  <c r="U15" i="32" s="1"/>
  <c r="V15" i="32" s="1"/>
  <c r="P15" i="32"/>
  <c r="T15" i="32"/>
  <c r="X15" i="32"/>
  <c r="G16" i="32"/>
  <c r="H16" i="32" s="1"/>
  <c r="L16" i="32"/>
  <c r="M16" i="32"/>
  <c r="N16" i="32" s="1"/>
  <c r="Q16" i="32" s="1"/>
  <c r="R16" i="32" s="1"/>
  <c r="U16" i="32" s="1"/>
  <c r="V16" i="32" s="1"/>
  <c r="P16" i="32"/>
  <c r="T16" i="32"/>
  <c r="X16" i="32"/>
  <c r="G17" i="32"/>
  <c r="H17" i="32" s="1"/>
  <c r="L17" i="32"/>
  <c r="M17" i="32"/>
  <c r="N17" i="32" s="1"/>
  <c r="Q17" i="32" s="1"/>
  <c r="R17" i="32" s="1"/>
  <c r="U17" i="32" s="1"/>
  <c r="V17" i="32" s="1"/>
  <c r="P17" i="32"/>
  <c r="T17" i="32"/>
  <c r="X17" i="32"/>
  <c r="G18" i="32"/>
  <c r="H18" i="32"/>
  <c r="P18" i="32"/>
  <c r="Q18" i="32"/>
  <c r="R18" i="32" s="1"/>
  <c r="U18" i="32" s="1"/>
  <c r="V18" i="32" s="1"/>
  <c r="T18" i="32"/>
  <c r="X18" i="32"/>
  <c r="G19" i="32"/>
  <c r="H19" i="32" s="1"/>
  <c r="P19" i="32"/>
  <c r="Q19" i="32"/>
  <c r="R19" i="32" s="1"/>
  <c r="U19" i="32" s="1"/>
  <c r="V19" i="32" s="1"/>
  <c r="T19" i="32"/>
  <c r="X19" i="32"/>
  <c r="G20" i="32"/>
  <c r="H20" i="32" s="1"/>
  <c r="P20" i="32"/>
  <c r="Q20" i="32"/>
  <c r="R20" i="32" s="1"/>
  <c r="U20" i="32" s="1"/>
  <c r="V20" i="32" s="1"/>
  <c r="T20" i="32"/>
  <c r="X20" i="32"/>
  <c r="G21" i="32"/>
  <c r="G22" i="32"/>
  <c r="G23" i="32"/>
  <c r="G24" i="32"/>
  <c r="G25" i="32"/>
  <c r="T26" i="32"/>
  <c r="U26" i="32"/>
  <c r="V26" i="32" s="1"/>
  <c r="X26" i="32"/>
  <c r="X27" i="32"/>
  <c r="AB27" i="32" s="1"/>
  <c r="AB26" i="32" l="1"/>
  <c r="AB5" i="32"/>
  <c r="AB20" i="32"/>
  <c r="D71" i="46"/>
  <c r="AB16" i="32"/>
  <c r="AB7" i="32"/>
  <c r="AB19" i="32"/>
  <c r="AB17" i="32"/>
  <c r="AB14" i="32"/>
  <c r="AB13" i="32"/>
  <c r="AB11" i="32"/>
  <c r="AB9" i="32"/>
  <c r="P32" i="32"/>
  <c r="AB18" i="32"/>
  <c r="AB15" i="32"/>
  <c r="AB12" i="32"/>
  <c r="AB8" i="32"/>
  <c r="AB4" i="32"/>
  <c r="L32" i="32"/>
  <c r="H32" i="32"/>
  <c r="T32" i="32"/>
  <c r="AB32" i="32" l="1"/>
  <c r="C66" i="46" s="1"/>
  <c r="O8" i="31"/>
  <c r="P8" i="31" s="1"/>
  <c r="Q8" i="31" s="1"/>
  <c r="R8" i="31" s="1"/>
  <c r="S8" i="31" s="1"/>
  <c r="T8" i="31" s="1"/>
  <c r="U8" i="31" s="1"/>
  <c r="V8" i="31" s="1"/>
  <c r="W8" i="31" s="1"/>
  <c r="X8" i="31" s="1"/>
  <c r="O9" i="31"/>
  <c r="P9" i="31" s="1"/>
  <c r="Q9" i="31" s="1"/>
  <c r="R9" i="31" s="1"/>
  <c r="S9" i="31" s="1"/>
  <c r="T9" i="31" s="1"/>
  <c r="U9" i="31" s="1"/>
  <c r="V9" i="31" s="1"/>
  <c r="W9" i="31" s="1"/>
  <c r="X9" i="31" s="1"/>
  <c r="O10" i="31"/>
  <c r="P10" i="31" s="1"/>
  <c r="Q10" i="31" s="1"/>
  <c r="R10" i="31" s="1"/>
  <c r="S10" i="31" s="1"/>
  <c r="T10" i="31" s="1"/>
  <c r="U10" i="31" s="1"/>
  <c r="V10" i="31" s="1"/>
  <c r="W10" i="31" s="1"/>
  <c r="X10" i="31" s="1"/>
  <c r="O11" i="31"/>
  <c r="P11" i="31" s="1"/>
  <c r="Q11" i="31" s="1"/>
  <c r="R11" i="31" s="1"/>
  <c r="S11" i="31" s="1"/>
  <c r="T11" i="31" s="1"/>
  <c r="U11" i="31" s="1"/>
  <c r="V11" i="31" s="1"/>
  <c r="W11" i="31" s="1"/>
  <c r="X11" i="31" s="1"/>
  <c r="O12" i="31"/>
  <c r="P12" i="31" s="1"/>
  <c r="Q12" i="31" s="1"/>
  <c r="R12" i="31" s="1"/>
  <c r="S12" i="31" s="1"/>
  <c r="T12" i="31" s="1"/>
  <c r="U12" i="31" s="1"/>
  <c r="V12" i="31" s="1"/>
  <c r="W12" i="31" s="1"/>
  <c r="X12" i="31" s="1"/>
  <c r="O13" i="31"/>
  <c r="P13" i="31" s="1"/>
  <c r="Q13" i="31" s="1"/>
  <c r="R13" i="31" s="1"/>
  <c r="S13" i="31" s="1"/>
  <c r="T13" i="31" s="1"/>
  <c r="U13" i="31" s="1"/>
  <c r="V13" i="31" s="1"/>
  <c r="W13" i="31" s="1"/>
  <c r="X13" i="31" s="1"/>
  <c r="O14" i="31"/>
  <c r="P14" i="31" s="1"/>
  <c r="Q14" i="31" s="1"/>
  <c r="R14" i="31" s="1"/>
  <c r="S14" i="31" s="1"/>
  <c r="T14" i="31" s="1"/>
  <c r="U14" i="31" s="1"/>
  <c r="V14" i="31" s="1"/>
  <c r="W14" i="31" s="1"/>
  <c r="X14" i="31" s="1"/>
  <c r="O15" i="31"/>
  <c r="P15" i="31" s="1"/>
  <c r="Q15" i="31" s="1"/>
  <c r="R15" i="31" s="1"/>
  <c r="S15" i="31" s="1"/>
  <c r="T15" i="31" s="1"/>
  <c r="U15" i="31" s="1"/>
  <c r="V15" i="31" s="1"/>
  <c r="W15" i="31" s="1"/>
  <c r="X15" i="31" s="1"/>
  <c r="O16" i="31"/>
  <c r="P16" i="31" s="1"/>
  <c r="Q16" i="31" s="1"/>
  <c r="R16" i="31" s="1"/>
  <c r="S16" i="31" s="1"/>
  <c r="T16" i="31" s="1"/>
  <c r="U16" i="31" s="1"/>
  <c r="V16" i="31" s="1"/>
  <c r="W16" i="31" s="1"/>
  <c r="X16" i="31" s="1"/>
  <c r="O17" i="31"/>
  <c r="P17" i="31" s="1"/>
  <c r="Q17" i="31" s="1"/>
  <c r="R17" i="31" s="1"/>
  <c r="S17" i="31" s="1"/>
  <c r="T17" i="31" s="1"/>
  <c r="U17" i="31" s="1"/>
  <c r="V17" i="31" s="1"/>
  <c r="W17" i="31" s="1"/>
  <c r="X17" i="31" s="1"/>
  <c r="O18" i="31"/>
  <c r="P18" i="31" s="1"/>
  <c r="Q18" i="31" s="1"/>
  <c r="R18" i="31" s="1"/>
  <c r="S18" i="31" s="1"/>
  <c r="T18" i="31" s="1"/>
  <c r="U18" i="31" s="1"/>
  <c r="V18" i="31" s="1"/>
  <c r="W18" i="31" s="1"/>
  <c r="X18" i="31" s="1"/>
  <c r="O19" i="31"/>
  <c r="P19" i="31" s="1"/>
  <c r="Q19" i="31" s="1"/>
  <c r="R19" i="31" s="1"/>
  <c r="S19" i="31" s="1"/>
  <c r="T19" i="31" s="1"/>
  <c r="U19" i="31" s="1"/>
  <c r="V19" i="31" s="1"/>
  <c r="W19" i="31" s="1"/>
  <c r="X19" i="31" s="1"/>
  <c r="O20" i="31"/>
  <c r="P20" i="31" s="1"/>
  <c r="Q20" i="31" s="1"/>
  <c r="R20" i="31" s="1"/>
  <c r="S20" i="31" s="1"/>
  <c r="T20" i="31" s="1"/>
  <c r="U20" i="31" s="1"/>
  <c r="V20" i="31" s="1"/>
  <c r="W20" i="31" s="1"/>
  <c r="X20" i="31" s="1"/>
  <c r="O21" i="31"/>
  <c r="P21" i="31" s="1"/>
  <c r="Q21" i="31" s="1"/>
  <c r="R21" i="31" s="1"/>
  <c r="S21" i="31" s="1"/>
  <c r="T21" i="31" s="1"/>
  <c r="U21" i="31" s="1"/>
  <c r="V21" i="31" s="1"/>
  <c r="W21" i="31" s="1"/>
  <c r="X21" i="31" s="1"/>
  <c r="O22" i="31"/>
  <c r="P22" i="31" s="1"/>
  <c r="Q22" i="31" s="1"/>
  <c r="R22" i="31" s="1"/>
  <c r="S22" i="31" s="1"/>
  <c r="T22" i="31" s="1"/>
  <c r="U22" i="31" s="1"/>
  <c r="V22" i="31" s="1"/>
  <c r="W22" i="31" s="1"/>
  <c r="X22" i="31" s="1"/>
  <c r="O23" i="31"/>
  <c r="P23" i="31" s="1"/>
  <c r="Q23" i="31" s="1"/>
  <c r="R23" i="31" s="1"/>
  <c r="S23" i="31" s="1"/>
  <c r="T23" i="31" s="1"/>
  <c r="U23" i="31" s="1"/>
  <c r="V23" i="31" s="1"/>
  <c r="W23" i="31" s="1"/>
  <c r="X23" i="31" s="1"/>
  <c r="O24" i="31"/>
  <c r="P24" i="31" s="1"/>
  <c r="Q24" i="31" s="1"/>
  <c r="R24" i="31" s="1"/>
  <c r="S24" i="31" s="1"/>
  <c r="T24" i="31" s="1"/>
  <c r="U24" i="31" s="1"/>
  <c r="V24" i="31" s="1"/>
  <c r="W24" i="31" s="1"/>
  <c r="X24" i="31" s="1"/>
  <c r="O25" i="31"/>
  <c r="P25" i="31" s="1"/>
  <c r="Q25" i="31" s="1"/>
  <c r="R25" i="31" s="1"/>
  <c r="S25" i="31" s="1"/>
  <c r="T25" i="31" s="1"/>
  <c r="U25" i="31" s="1"/>
  <c r="V25" i="31" s="1"/>
  <c r="W25" i="31" s="1"/>
  <c r="X25" i="31" s="1"/>
  <c r="O26" i="31"/>
  <c r="P26" i="31" s="1"/>
  <c r="Q26" i="31" s="1"/>
  <c r="R26" i="31" s="1"/>
  <c r="S26" i="31" s="1"/>
  <c r="T26" i="31" s="1"/>
  <c r="U26" i="31" s="1"/>
  <c r="V26" i="31" s="1"/>
  <c r="W26" i="31" s="1"/>
  <c r="X26" i="31" s="1"/>
  <c r="O27" i="31"/>
  <c r="P27" i="31" s="1"/>
  <c r="Q27" i="31" s="1"/>
  <c r="R27" i="31" s="1"/>
  <c r="S27" i="31" s="1"/>
  <c r="T27" i="31" s="1"/>
  <c r="U27" i="31" s="1"/>
  <c r="V27" i="31" s="1"/>
  <c r="W27" i="31" s="1"/>
  <c r="X27" i="31" s="1"/>
  <c r="O28" i="31"/>
  <c r="P28" i="31" s="1"/>
  <c r="Q28" i="31" s="1"/>
  <c r="R28" i="31" s="1"/>
  <c r="S28" i="31" s="1"/>
  <c r="T28" i="31" s="1"/>
  <c r="U28" i="31" s="1"/>
  <c r="V28" i="31" s="1"/>
  <c r="W28" i="31" s="1"/>
  <c r="X28" i="31" s="1"/>
  <c r="O29" i="31"/>
  <c r="P29" i="31" s="1"/>
  <c r="Q29" i="31" s="1"/>
  <c r="R29" i="31" s="1"/>
  <c r="S29" i="31" s="1"/>
  <c r="T29" i="31" s="1"/>
  <c r="U29" i="31" s="1"/>
  <c r="V29" i="31" s="1"/>
  <c r="W29" i="31" s="1"/>
  <c r="X29" i="31" s="1"/>
  <c r="O30" i="31"/>
  <c r="P30" i="31" s="1"/>
  <c r="Q30" i="31" s="1"/>
  <c r="R30" i="31" s="1"/>
  <c r="S30" i="31" s="1"/>
  <c r="T30" i="31" s="1"/>
  <c r="U30" i="31" s="1"/>
  <c r="V30" i="31" s="1"/>
  <c r="W30" i="31" s="1"/>
  <c r="X30" i="31" s="1"/>
  <c r="O7" i="31"/>
  <c r="N35" i="31"/>
  <c r="M35" i="31"/>
  <c r="L35" i="31"/>
  <c r="K35" i="31"/>
  <c r="J35" i="31"/>
  <c r="I35" i="31"/>
  <c r="H35" i="31"/>
  <c r="G35" i="31"/>
  <c r="F35" i="31"/>
  <c r="E35" i="31"/>
  <c r="D35" i="31"/>
  <c r="C35" i="31"/>
  <c r="O35" i="31" l="1"/>
  <c r="C20" i="46" s="1"/>
  <c r="P7" i="31"/>
  <c r="M59" i="29"/>
  <c r="M58" i="29"/>
  <c r="M43" i="29"/>
  <c r="M42" i="29"/>
  <c r="M41" i="29"/>
  <c r="M40" i="29"/>
  <c r="H62" i="29"/>
  <c r="H51" i="29"/>
  <c r="H29" i="29"/>
  <c r="H8" i="29"/>
  <c r="P35" i="31" l="1"/>
  <c r="D20" i="46" s="1"/>
  <c r="Q7" i="31"/>
  <c r="M64" i="29"/>
  <c r="H63" i="29"/>
  <c r="C67" i="46" l="1"/>
  <c r="C71" i="46" s="1"/>
  <c r="E12" i="27"/>
  <c r="F12" i="27" s="1"/>
  <c r="G12" i="27" s="1"/>
  <c r="H12" i="27" s="1"/>
  <c r="I12" i="27" s="1"/>
  <c r="J12" i="27" s="1"/>
  <c r="K12" i="27" s="1"/>
  <c r="L12" i="27" s="1"/>
  <c r="M12" i="27" s="1"/>
  <c r="N12" i="27" s="1"/>
  <c r="D24" i="46"/>
  <c r="C24" i="46"/>
  <c r="R7" i="31"/>
  <c r="Q35" i="31"/>
  <c r="E20" i="46" s="1"/>
  <c r="E24" i="46" s="1"/>
  <c r="S7" i="31" l="1"/>
  <c r="R35" i="31"/>
  <c r="F20" i="46" s="1"/>
  <c r="F24" i="46" s="1"/>
  <c r="C27" i="27"/>
  <c r="C15" i="27"/>
  <c r="S35" i="31" l="1"/>
  <c r="G20" i="46" s="1"/>
  <c r="G24" i="46" s="1"/>
  <c r="T7" i="31"/>
  <c r="C29" i="27"/>
  <c r="D15" i="27"/>
  <c r="D27" i="27"/>
  <c r="U7" i="31" l="1"/>
  <c r="T35" i="31"/>
  <c r="H20" i="46" s="1"/>
  <c r="H24" i="46" s="1"/>
  <c r="E27" i="27"/>
  <c r="D29" i="27"/>
  <c r="U35" i="31" l="1"/>
  <c r="I20" i="46" s="1"/>
  <c r="I24" i="46" s="1"/>
  <c r="V7" i="31"/>
  <c r="V35" i="31" l="1"/>
  <c r="J20" i="46" s="1"/>
  <c r="J24" i="46" s="1"/>
  <c r="W7" i="31"/>
  <c r="X7" i="31" l="1"/>
  <c r="X35" i="31" s="1"/>
  <c r="L20" i="46" s="1"/>
  <c r="L24" i="46" s="1"/>
  <c r="W35" i="31"/>
  <c r="K20" i="46" s="1"/>
  <c r="K24" i="46" s="1"/>
  <c r="AA11" i="15" l="1"/>
  <c r="AA12" i="15"/>
  <c r="AA13" i="15"/>
  <c r="AA14" i="15"/>
  <c r="AA15" i="15"/>
  <c r="AA16" i="15"/>
  <c r="AA17" i="15"/>
  <c r="AA18" i="15"/>
  <c r="AA19" i="15"/>
  <c r="AA20" i="15"/>
  <c r="AA21" i="15"/>
  <c r="AA22" i="15"/>
  <c r="AA23" i="15"/>
  <c r="AA24" i="15"/>
  <c r="AA25" i="15"/>
  <c r="AA26" i="15"/>
  <c r="AA27" i="15"/>
  <c r="AA28" i="15"/>
  <c r="AA29" i="15"/>
  <c r="AA30" i="15"/>
  <c r="AA31" i="15"/>
  <c r="AA32" i="15"/>
  <c r="AA10" i="15"/>
  <c r="AF10" i="15" l="1"/>
  <c r="AF11" i="15"/>
  <c r="AF9" i="15"/>
  <c r="AE12" i="15"/>
  <c r="E40" i="15"/>
  <c r="F40" i="15"/>
  <c r="D40" i="15"/>
  <c r="F34" i="15"/>
  <c r="G34" i="15"/>
  <c r="F9" i="15"/>
  <c r="G9" i="15"/>
  <c r="E9" i="15"/>
  <c r="K33" i="15"/>
  <c r="D11" i="15" l="1"/>
  <c r="D15" i="15"/>
  <c r="D19" i="15"/>
  <c r="D23" i="15"/>
  <c r="D27" i="15"/>
  <c r="D31" i="15"/>
  <c r="D8" i="15"/>
  <c r="D17" i="15"/>
  <c r="D25" i="15"/>
  <c r="D33" i="15"/>
  <c r="D18" i="15"/>
  <c r="D26" i="15"/>
  <c r="D10" i="15"/>
  <c r="D12" i="15"/>
  <c r="D16" i="15"/>
  <c r="D20" i="15"/>
  <c r="D24" i="15"/>
  <c r="D28" i="15"/>
  <c r="D32" i="15"/>
  <c r="D7" i="15"/>
  <c r="D13" i="15"/>
  <c r="D21" i="15"/>
  <c r="D29" i="15"/>
  <c r="D14" i="15"/>
  <c r="D22" i="15"/>
  <c r="D30" i="15"/>
  <c r="AA37" i="15"/>
  <c r="AC37" i="15" s="1"/>
  <c r="AA36" i="15"/>
  <c r="AC36" i="15" s="1"/>
  <c r="AA38" i="15"/>
  <c r="AC38" i="15" s="1"/>
  <c r="AA39" i="15"/>
  <c r="AC39" i="15" s="1"/>
  <c r="AA35" i="15"/>
  <c r="AC35" i="15" s="1"/>
  <c r="F41" i="15"/>
  <c r="AG9" i="15"/>
  <c r="AG10" i="15"/>
  <c r="AF12" i="15"/>
  <c r="E33" i="15" l="1"/>
  <c r="D34" i="15" l="1"/>
  <c r="D9" i="15"/>
  <c r="E20" i="25" l="1"/>
  <c r="B19" i="25"/>
  <c r="B20" i="25" l="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F20" i="25"/>
  <c r="P20" i="25"/>
  <c r="O20" i="25"/>
  <c r="N20" i="25"/>
  <c r="M20" i="25"/>
  <c r="I20" i="25"/>
  <c r="H20" i="25"/>
  <c r="F66" i="25"/>
  <c r="E31" i="25"/>
  <c r="E23" i="25"/>
  <c r="E30" i="25"/>
  <c r="E26" i="25"/>
  <c r="E22" i="25"/>
  <c r="E27" i="25"/>
  <c r="E19" i="25"/>
  <c r="E29" i="25"/>
  <c r="E25" i="25"/>
  <c r="E21" i="25"/>
  <c r="E28" i="25"/>
  <c r="E24" i="25"/>
  <c r="D64" i="25"/>
  <c r="F64" i="25" s="1"/>
  <c r="D69" i="25"/>
  <c r="F69" i="25" s="1"/>
  <c r="D68" i="25"/>
  <c r="F68" i="25" s="1"/>
  <c r="D70" i="25"/>
  <c r="F70" i="25" s="1"/>
  <c r="D65" i="25"/>
  <c r="F65" i="25" s="1"/>
  <c r="D67" i="25"/>
  <c r="F67" i="25" s="1"/>
  <c r="P24" i="25" l="1"/>
  <c r="O24" i="25"/>
  <c r="N24" i="25"/>
  <c r="M24" i="25"/>
  <c r="I24" i="25"/>
  <c r="H24" i="25"/>
  <c r="P29" i="25"/>
  <c r="O29" i="25"/>
  <c r="N29" i="25"/>
  <c r="M29" i="25"/>
  <c r="I29" i="25"/>
  <c r="H29" i="25"/>
  <c r="P26" i="25"/>
  <c r="O26" i="25"/>
  <c r="N26" i="25"/>
  <c r="M26" i="25"/>
  <c r="I26" i="25"/>
  <c r="H26" i="25"/>
  <c r="P28" i="25"/>
  <c r="O28" i="25"/>
  <c r="N28" i="25"/>
  <c r="M28" i="25"/>
  <c r="I28" i="25"/>
  <c r="H28" i="25"/>
  <c r="P19" i="25"/>
  <c r="O19" i="25"/>
  <c r="N19" i="25"/>
  <c r="M19" i="25"/>
  <c r="I19" i="25"/>
  <c r="H19" i="25"/>
  <c r="P30" i="25"/>
  <c r="O30" i="25"/>
  <c r="N30" i="25"/>
  <c r="M30" i="25"/>
  <c r="I30" i="25"/>
  <c r="H30" i="25"/>
  <c r="P21" i="25"/>
  <c r="O21" i="25"/>
  <c r="N21" i="25"/>
  <c r="M21" i="25"/>
  <c r="I21" i="25"/>
  <c r="H21" i="25"/>
  <c r="P27" i="25"/>
  <c r="O27" i="25"/>
  <c r="N27" i="25"/>
  <c r="M27" i="25"/>
  <c r="I27" i="25"/>
  <c r="H27" i="25"/>
  <c r="P23" i="25"/>
  <c r="O23" i="25"/>
  <c r="N23" i="25"/>
  <c r="M23" i="25"/>
  <c r="I23" i="25"/>
  <c r="H23" i="25"/>
  <c r="P25" i="25"/>
  <c r="O25" i="25"/>
  <c r="N25" i="25"/>
  <c r="M25" i="25"/>
  <c r="I25" i="25"/>
  <c r="H25" i="25"/>
  <c r="P22" i="25"/>
  <c r="O22" i="25"/>
  <c r="N22" i="25"/>
  <c r="M22" i="25"/>
  <c r="I22" i="25"/>
  <c r="H22" i="25"/>
  <c r="P31" i="25"/>
  <c r="O31" i="25"/>
  <c r="N31" i="25"/>
  <c r="M31" i="25"/>
  <c r="I31" i="25"/>
  <c r="H31" i="25"/>
  <c r="F30" i="25"/>
  <c r="F23" i="25"/>
  <c r="F24" i="25"/>
  <c r="F29" i="25"/>
  <c r="F26" i="25"/>
  <c r="F28" i="25"/>
  <c r="F19" i="25"/>
  <c r="F21" i="25"/>
  <c r="F27" i="25"/>
  <c r="F25" i="25"/>
  <c r="F22" i="25"/>
  <c r="F31" i="25"/>
  <c r="E40" i="25"/>
  <c r="E44" i="25"/>
  <c r="E41" i="25"/>
  <c r="E43" i="25"/>
  <c r="E38" i="25"/>
  <c r="E42" i="25"/>
  <c r="E39" i="25"/>
  <c r="E48" i="25"/>
  <c r="E52" i="25"/>
  <c r="E45" i="25"/>
  <c r="E49" i="25"/>
  <c r="E53" i="25"/>
  <c r="E51" i="25"/>
  <c r="E46" i="25"/>
  <c r="E50" i="25"/>
  <c r="E54" i="25"/>
  <c r="E47" i="25"/>
  <c r="E55" i="25"/>
  <c r="E32" i="25"/>
  <c r="E36" i="25"/>
  <c r="E33" i="25"/>
  <c r="E37" i="25"/>
  <c r="E35" i="25"/>
  <c r="E34" i="25"/>
  <c r="E12" i="25"/>
  <c r="E16" i="25"/>
  <c r="E13" i="25"/>
  <c r="E17" i="25"/>
  <c r="E14" i="25"/>
  <c r="E18" i="25"/>
  <c r="E15" i="25"/>
  <c r="E56" i="25"/>
  <c r="E57" i="25"/>
  <c r="E59" i="25"/>
  <c r="E58" i="25"/>
  <c r="E11" i="25"/>
  <c r="G47" i="25"/>
  <c r="J25" i="25"/>
  <c r="G21" i="25"/>
  <c r="H11" i="25" l="1"/>
  <c r="P17" i="25"/>
  <c r="O17" i="25"/>
  <c r="N17" i="25"/>
  <c r="M17" i="25"/>
  <c r="I17" i="25"/>
  <c r="H17" i="25"/>
  <c r="P53" i="25"/>
  <c r="O53" i="25"/>
  <c r="N53" i="25"/>
  <c r="M53" i="25"/>
  <c r="I53" i="25"/>
  <c r="H53" i="25"/>
  <c r="P58" i="25"/>
  <c r="O58" i="25"/>
  <c r="N58" i="25"/>
  <c r="M58" i="25"/>
  <c r="I58" i="25"/>
  <c r="H58" i="25"/>
  <c r="P15" i="25"/>
  <c r="O15" i="25"/>
  <c r="N15" i="25"/>
  <c r="M15" i="25"/>
  <c r="I15" i="25"/>
  <c r="H15" i="25"/>
  <c r="P13" i="25"/>
  <c r="O13" i="25"/>
  <c r="N13" i="25"/>
  <c r="M13" i="25"/>
  <c r="I13" i="25"/>
  <c r="H13" i="25"/>
  <c r="P35" i="25"/>
  <c r="O35" i="25"/>
  <c r="N35" i="25"/>
  <c r="M35" i="25"/>
  <c r="I35" i="25"/>
  <c r="H35" i="25"/>
  <c r="P32" i="25"/>
  <c r="O32" i="25"/>
  <c r="N32" i="25"/>
  <c r="M32" i="25"/>
  <c r="I32" i="25"/>
  <c r="H32" i="25"/>
  <c r="P50" i="25"/>
  <c r="O50" i="25"/>
  <c r="N50" i="25"/>
  <c r="M50" i="25"/>
  <c r="I50" i="25"/>
  <c r="H50" i="25"/>
  <c r="P49" i="25"/>
  <c r="O49" i="25"/>
  <c r="N49" i="25"/>
  <c r="M49" i="25"/>
  <c r="I49" i="25"/>
  <c r="H49" i="25"/>
  <c r="L39" i="25"/>
  <c r="P39" i="25"/>
  <c r="O39" i="25"/>
  <c r="N39" i="25"/>
  <c r="M39" i="25"/>
  <c r="I39" i="25"/>
  <c r="H39" i="25"/>
  <c r="L41" i="25"/>
  <c r="P41" i="25"/>
  <c r="O41" i="25"/>
  <c r="N41" i="25"/>
  <c r="M41" i="25"/>
  <c r="I41" i="25"/>
  <c r="H41" i="25"/>
  <c r="P56" i="25"/>
  <c r="O56" i="25"/>
  <c r="N56" i="25"/>
  <c r="M56" i="25"/>
  <c r="I56" i="25"/>
  <c r="H56" i="25"/>
  <c r="P36" i="25"/>
  <c r="O36" i="25"/>
  <c r="N36" i="25"/>
  <c r="M36" i="25"/>
  <c r="I36" i="25"/>
  <c r="H36" i="25"/>
  <c r="P48" i="25"/>
  <c r="O48" i="25"/>
  <c r="N48" i="25"/>
  <c r="M48" i="25"/>
  <c r="I48" i="25"/>
  <c r="H48" i="25"/>
  <c r="P59" i="25"/>
  <c r="O59" i="25"/>
  <c r="N59" i="25"/>
  <c r="M59" i="25"/>
  <c r="I59" i="25"/>
  <c r="H59" i="25"/>
  <c r="P18" i="25"/>
  <c r="O18" i="25"/>
  <c r="N18" i="25"/>
  <c r="M18" i="25"/>
  <c r="I18" i="25"/>
  <c r="H18" i="25"/>
  <c r="P16" i="25"/>
  <c r="O16" i="25"/>
  <c r="N16" i="25"/>
  <c r="M16" i="25"/>
  <c r="I16" i="25"/>
  <c r="H16" i="25"/>
  <c r="P37" i="25"/>
  <c r="O37" i="25"/>
  <c r="N37" i="25"/>
  <c r="M37" i="25"/>
  <c r="I37" i="25"/>
  <c r="H37" i="25"/>
  <c r="P55" i="25"/>
  <c r="O55" i="25"/>
  <c r="N55" i="25"/>
  <c r="M55" i="25"/>
  <c r="I55" i="25"/>
  <c r="H55" i="25"/>
  <c r="P46" i="25"/>
  <c r="O46" i="25"/>
  <c r="N46" i="25"/>
  <c r="M46" i="25"/>
  <c r="I46" i="25"/>
  <c r="H46" i="25"/>
  <c r="P45" i="25"/>
  <c r="O45" i="25"/>
  <c r="N45" i="25"/>
  <c r="M45" i="25"/>
  <c r="I45" i="25"/>
  <c r="H45" i="25"/>
  <c r="L42" i="25"/>
  <c r="P42" i="25"/>
  <c r="O42" i="25"/>
  <c r="N42" i="25"/>
  <c r="M42" i="25"/>
  <c r="I42" i="25"/>
  <c r="H42" i="25"/>
  <c r="L44" i="25"/>
  <c r="P44" i="25"/>
  <c r="O44" i="25"/>
  <c r="N44" i="25"/>
  <c r="M44" i="25"/>
  <c r="I44" i="25"/>
  <c r="H44" i="25"/>
  <c r="P34" i="25"/>
  <c r="O34" i="25"/>
  <c r="N34" i="25"/>
  <c r="M34" i="25"/>
  <c r="I34" i="25"/>
  <c r="H34" i="25"/>
  <c r="P54" i="25"/>
  <c r="O54" i="25"/>
  <c r="N54" i="25"/>
  <c r="M54" i="25"/>
  <c r="I54" i="25"/>
  <c r="H54" i="25"/>
  <c r="L43" i="25"/>
  <c r="P43" i="25"/>
  <c r="O43" i="25"/>
  <c r="N43" i="25"/>
  <c r="M43" i="25"/>
  <c r="I43" i="25"/>
  <c r="H43" i="25"/>
  <c r="P57" i="25"/>
  <c r="O57" i="25"/>
  <c r="N57" i="25"/>
  <c r="M57" i="25"/>
  <c r="I57" i="25"/>
  <c r="H57" i="25"/>
  <c r="P14" i="25"/>
  <c r="O14" i="25"/>
  <c r="N14" i="25"/>
  <c r="M14" i="25"/>
  <c r="I14" i="25"/>
  <c r="H14" i="25"/>
  <c r="P12" i="25"/>
  <c r="O12" i="25"/>
  <c r="N12" i="25"/>
  <c r="M12" i="25"/>
  <c r="I12" i="25"/>
  <c r="H12" i="25"/>
  <c r="P33" i="25"/>
  <c r="O33" i="25"/>
  <c r="N33" i="25"/>
  <c r="M33" i="25"/>
  <c r="I33" i="25"/>
  <c r="H33" i="25"/>
  <c r="P47" i="25"/>
  <c r="O47" i="25"/>
  <c r="N47" i="25"/>
  <c r="M47" i="25"/>
  <c r="I47" i="25"/>
  <c r="H47" i="25"/>
  <c r="P51" i="25"/>
  <c r="O51" i="25"/>
  <c r="N51" i="25"/>
  <c r="M51" i="25"/>
  <c r="I51" i="25"/>
  <c r="H51" i="25"/>
  <c r="P52" i="25"/>
  <c r="O52" i="25"/>
  <c r="N52" i="25"/>
  <c r="M52" i="25"/>
  <c r="I52" i="25"/>
  <c r="H52" i="25"/>
  <c r="L38" i="25"/>
  <c r="P38" i="25"/>
  <c r="O38" i="25"/>
  <c r="N38" i="25"/>
  <c r="M38" i="25"/>
  <c r="I38" i="25"/>
  <c r="H38" i="25"/>
  <c r="L40" i="25"/>
  <c r="P40" i="25"/>
  <c r="O40" i="25"/>
  <c r="N40" i="25"/>
  <c r="M40" i="25"/>
  <c r="I40" i="25"/>
  <c r="H40" i="25"/>
  <c r="F57" i="25"/>
  <c r="F33" i="25"/>
  <c r="F51" i="25"/>
  <c r="F38" i="25"/>
  <c r="F56" i="25"/>
  <c r="F34" i="25"/>
  <c r="F48" i="25"/>
  <c r="F58" i="25"/>
  <c r="F15" i="25"/>
  <c r="F13" i="25"/>
  <c r="F35" i="25"/>
  <c r="F32" i="25"/>
  <c r="F50" i="25"/>
  <c r="F49" i="25"/>
  <c r="F39" i="25"/>
  <c r="F41" i="25"/>
  <c r="F14" i="25"/>
  <c r="F12" i="25"/>
  <c r="F47" i="25"/>
  <c r="F52" i="25"/>
  <c r="F11" i="25"/>
  <c r="F17" i="25"/>
  <c r="F36" i="25"/>
  <c r="F53" i="25"/>
  <c r="F43" i="25"/>
  <c r="F59" i="25"/>
  <c r="F18" i="25"/>
  <c r="F16" i="25"/>
  <c r="F37" i="25"/>
  <c r="F55" i="25"/>
  <c r="F46" i="25"/>
  <c r="F45" i="25"/>
  <c r="F42" i="25"/>
  <c r="F44" i="25"/>
  <c r="F40" i="25"/>
  <c r="J43" i="25"/>
  <c r="L54" i="25"/>
  <c r="F54" i="25"/>
  <c r="J54" i="25"/>
  <c r="G54" i="25"/>
  <c r="M11" i="25"/>
  <c r="K11" i="25"/>
  <c r="P11" i="25"/>
  <c r="L11" i="25"/>
  <c r="J11" i="25"/>
  <c r="O11" i="25"/>
  <c r="I11" i="25"/>
  <c r="N11" i="25"/>
  <c r="G11" i="25"/>
  <c r="J47" i="25"/>
  <c r="K47" i="25"/>
  <c r="L47" i="25"/>
  <c r="K21" i="25"/>
  <c r="K54" i="25"/>
  <c r="K58" i="25"/>
  <c r="G58" i="25"/>
  <c r="J58" i="25"/>
  <c r="F71" i="25"/>
  <c r="G17" i="25"/>
  <c r="L20" i="25"/>
  <c r="K43" i="25"/>
  <c r="G43" i="25"/>
  <c r="L21" i="25"/>
  <c r="K20" i="25"/>
  <c r="J35" i="25"/>
  <c r="G25" i="25"/>
  <c r="L25" i="25"/>
  <c r="K25" i="25"/>
  <c r="J21" i="25"/>
  <c r="G20" i="25"/>
  <c r="J20" i="25"/>
  <c r="K19" i="25"/>
  <c r="G19" i="25"/>
  <c r="J19" i="25"/>
  <c r="L19" i="25"/>
  <c r="G18" i="25"/>
  <c r="J18" i="25"/>
  <c r="J45" i="25"/>
  <c r="K45" i="25"/>
  <c r="L45" i="25"/>
  <c r="G45" i="25"/>
  <c r="K34" i="25"/>
  <c r="J34" i="25"/>
  <c r="G34" i="25"/>
  <c r="L34" i="25"/>
  <c r="G27" i="25"/>
  <c r="J27" i="25"/>
  <c r="K27" i="25"/>
  <c r="L27" i="25"/>
  <c r="Q27" i="25" l="1"/>
  <c r="Q20" i="25"/>
  <c r="R20" i="25" s="1"/>
  <c r="S20" i="25" s="1"/>
  <c r="T20" i="25" s="1"/>
  <c r="U20" i="25" s="1"/>
  <c r="V20" i="25" s="1"/>
  <c r="W20" i="25" s="1"/>
  <c r="X20" i="25" s="1"/>
  <c r="Y20" i="25" s="1"/>
  <c r="Z20" i="25" s="1"/>
  <c r="Q25" i="25"/>
  <c r="R25" i="25" s="1"/>
  <c r="S25" i="25" s="1"/>
  <c r="T25" i="25" s="1"/>
  <c r="U25" i="25" s="1"/>
  <c r="V25" i="25" s="1"/>
  <c r="W25" i="25" s="1"/>
  <c r="X25" i="25" s="1"/>
  <c r="Y25" i="25" s="1"/>
  <c r="Z25" i="25" s="1"/>
  <c r="Q54" i="25"/>
  <c r="R54" i="25" s="1"/>
  <c r="S54" i="25" s="1"/>
  <c r="T54" i="25" s="1"/>
  <c r="U54" i="25" s="1"/>
  <c r="V54" i="25" s="1"/>
  <c r="W54" i="25" s="1"/>
  <c r="X54" i="25" s="1"/>
  <c r="Y54" i="25" s="1"/>
  <c r="Z54" i="25" s="1"/>
  <c r="Q34" i="25"/>
  <c r="Q19" i="25"/>
  <c r="R19" i="25" s="1"/>
  <c r="S19" i="25" s="1"/>
  <c r="T19" i="25" s="1"/>
  <c r="U19" i="25" s="1"/>
  <c r="V19" i="25" s="1"/>
  <c r="W19" i="25" s="1"/>
  <c r="X19" i="25" s="1"/>
  <c r="Y19" i="25" s="1"/>
  <c r="Z19" i="25" s="1"/>
  <c r="Q21" i="25"/>
  <c r="R21" i="25" s="1"/>
  <c r="S21" i="25" s="1"/>
  <c r="T21" i="25" s="1"/>
  <c r="U21" i="25" s="1"/>
  <c r="V21" i="25" s="1"/>
  <c r="W21" i="25" s="1"/>
  <c r="X21" i="25" s="1"/>
  <c r="Y21" i="25" s="1"/>
  <c r="Z21" i="25" s="1"/>
  <c r="Q43" i="25"/>
  <c r="R43" i="25" s="1"/>
  <c r="S43" i="25" s="1"/>
  <c r="T43" i="25" s="1"/>
  <c r="U43" i="25" s="1"/>
  <c r="V43" i="25" s="1"/>
  <c r="W43" i="25" s="1"/>
  <c r="X43" i="25" s="1"/>
  <c r="Y43" i="25" s="1"/>
  <c r="Z43" i="25" s="1"/>
  <c r="Q11" i="25"/>
  <c r="Q45" i="25"/>
  <c r="R45" i="25" s="1"/>
  <c r="S45" i="25" s="1"/>
  <c r="T45" i="25" s="1"/>
  <c r="U45" i="25" s="1"/>
  <c r="V45" i="25" s="1"/>
  <c r="W45" i="25" s="1"/>
  <c r="X45" i="25" s="1"/>
  <c r="Y45" i="25" s="1"/>
  <c r="Z45" i="25" s="1"/>
  <c r="Q47" i="25"/>
  <c r="R47" i="25" s="1"/>
  <c r="S47" i="25" s="1"/>
  <c r="T47" i="25" s="1"/>
  <c r="U47" i="25" s="1"/>
  <c r="V47" i="25" s="1"/>
  <c r="W47" i="25" s="1"/>
  <c r="X47" i="25" s="1"/>
  <c r="Y47" i="25" s="1"/>
  <c r="Z47" i="25" s="1"/>
  <c r="R27" i="25"/>
  <c r="S27" i="25" s="1"/>
  <c r="T27" i="25" s="1"/>
  <c r="U27" i="25" s="1"/>
  <c r="V27" i="25" s="1"/>
  <c r="W27" i="25" s="1"/>
  <c r="X27" i="25" s="1"/>
  <c r="Y27" i="25" s="1"/>
  <c r="Z27" i="25" s="1"/>
  <c r="R34" i="25"/>
  <c r="S34" i="25" s="1"/>
  <c r="T34" i="25" s="1"/>
  <c r="U34" i="25" s="1"/>
  <c r="V34" i="25" s="1"/>
  <c r="W34" i="25" s="1"/>
  <c r="X34" i="25" s="1"/>
  <c r="Y34" i="25" s="1"/>
  <c r="Z34" i="25" s="1"/>
  <c r="G35" i="25"/>
  <c r="L18" i="25"/>
  <c r="K18" i="25"/>
  <c r="L35" i="25"/>
  <c r="K35" i="25"/>
  <c r="K15" i="25"/>
  <c r="J15" i="25"/>
  <c r="L15" i="25"/>
  <c r="G15" i="25"/>
  <c r="K17" i="25"/>
  <c r="J17" i="25"/>
  <c r="L55" i="25"/>
  <c r="J55" i="25"/>
  <c r="K55" i="25"/>
  <c r="G55" i="25"/>
  <c r="E60" i="25"/>
  <c r="L17" i="25"/>
  <c r="K52" i="25"/>
  <c r="J52" i="25"/>
  <c r="G52" i="25"/>
  <c r="L52" i="25"/>
  <c r="J48" i="25"/>
  <c r="G48" i="25"/>
  <c r="K48" i="25"/>
  <c r="L48" i="25"/>
  <c r="K12" i="25"/>
  <c r="L12" i="25"/>
  <c r="G12" i="25"/>
  <c r="J12" i="25"/>
  <c r="K13" i="25"/>
  <c r="G13" i="25"/>
  <c r="L13" i="25"/>
  <c r="J13" i="25"/>
  <c r="L16" i="25"/>
  <c r="G16" i="25"/>
  <c r="J16" i="25"/>
  <c r="K16" i="25"/>
  <c r="L36" i="25"/>
  <c r="G36" i="25"/>
  <c r="K36" i="25"/>
  <c r="J36" i="25"/>
  <c r="L58" i="25"/>
  <c r="Q58" i="25" s="1"/>
  <c r="K14" i="25"/>
  <c r="L14" i="25"/>
  <c r="G14" i="25"/>
  <c r="J14" i="25"/>
  <c r="G37" i="25"/>
  <c r="L37" i="25"/>
  <c r="J37" i="25"/>
  <c r="K37" i="25"/>
  <c r="J32" i="25"/>
  <c r="L32" i="25"/>
  <c r="K32" i="25"/>
  <c r="G32" i="25"/>
  <c r="L33" i="25"/>
  <c r="G33" i="25"/>
  <c r="K33" i="25"/>
  <c r="J33" i="25"/>
  <c r="G40" i="25"/>
  <c r="J40" i="25"/>
  <c r="K40" i="25"/>
  <c r="K49" i="25"/>
  <c r="L49" i="25"/>
  <c r="J49" i="25"/>
  <c r="G49" i="25"/>
  <c r="K38" i="25"/>
  <c r="G38" i="25"/>
  <c r="J38" i="25"/>
  <c r="K57" i="25"/>
  <c r="G57" i="25"/>
  <c r="J57" i="25"/>
  <c r="L57" i="25"/>
  <c r="K50" i="25"/>
  <c r="L50" i="25"/>
  <c r="G50" i="25"/>
  <c r="J50" i="25"/>
  <c r="J23" i="25"/>
  <c r="K23" i="25"/>
  <c r="L23" i="25"/>
  <c r="G23" i="25"/>
  <c r="K44" i="25"/>
  <c r="G44" i="25"/>
  <c r="J44" i="25"/>
  <c r="K42" i="25"/>
  <c r="G42" i="25"/>
  <c r="J42" i="25"/>
  <c r="L28" i="25"/>
  <c r="K28" i="25"/>
  <c r="G28" i="25"/>
  <c r="J28" i="25"/>
  <c r="L31" i="25"/>
  <c r="K31" i="25"/>
  <c r="J31" i="25"/>
  <c r="G31" i="25"/>
  <c r="K30" i="25"/>
  <c r="L30" i="25"/>
  <c r="J30" i="25"/>
  <c r="G30" i="25"/>
  <c r="J41" i="25"/>
  <c r="K41" i="25"/>
  <c r="G41" i="25"/>
  <c r="L24" i="25"/>
  <c r="J24" i="25"/>
  <c r="G24" i="25"/>
  <c r="K24" i="25"/>
  <c r="G22" i="25"/>
  <c r="L22" i="25"/>
  <c r="K22" i="25"/>
  <c r="J22" i="25"/>
  <c r="L29" i="25"/>
  <c r="J29" i="25"/>
  <c r="K29" i="25"/>
  <c r="G29" i="25"/>
  <c r="G26" i="25"/>
  <c r="L26" i="25"/>
  <c r="K26" i="25"/>
  <c r="J26" i="25"/>
  <c r="G53" i="25"/>
  <c r="J53" i="25"/>
  <c r="L53" i="25"/>
  <c r="K53" i="25"/>
  <c r="J59" i="25"/>
  <c r="L59" i="25"/>
  <c r="K59" i="25"/>
  <c r="G59" i="25"/>
  <c r="J39" i="25"/>
  <c r="G39" i="25"/>
  <c r="K39" i="25"/>
  <c r="K51" i="25"/>
  <c r="J51" i="25"/>
  <c r="L51" i="25"/>
  <c r="G51" i="25"/>
  <c r="K46" i="25"/>
  <c r="J46" i="25"/>
  <c r="L46" i="25"/>
  <c r="G46" i="25"/>
  <c r="K56" i="25"/>
  <c r="J56" i="25"/>
  <c r="G56" i="25"/>
  <c r="L56" i="25"/>
  <c r="Q44" i="25" l="1"/>
  <c r="Q41" i="25"/>
  <c r="Q53" i="25"/>
  <c r="R53" i="25" s="1"/>
  <c r="S53" i="25" s="1"/>
  <c r="T53" i="25" s="1"/>
  <c r="U53" i="25" s="1"/>
  <c r="V53" i="25" s="1"/>
  <c r="W53" i="25" s="1"/>
  <c r="X53" i="25" s="1"/>
  <c r="Y53" i="25" s="1"/>
  <c r="Z53" i="25" s="1"/>
  <c r="Q57" i="25"/>
  <c r="R57" i="25" s="1"/>
  <c r="S57" i="25" s="1"/>
  <c r="T57" i="25" s="1"/>
  <c r="U57" i="25" s="1"/>
  <c r="V57" i="25" s="1"/>
  <c r="W57" i="25" s="1"/>
  <c r="X57" i="25" s="1"/>
  <c r="Y57" i="25" s="1"/>
  <c r="Z57" i="25" s="1"/>
  <c r="Q32" i="25"/>
  <c r="Q49" i="25"/>
  <c r="R49" i="25" s="1"/>
  <c r="S49" i="25" s="1"/>
  <c r="T49" i="25" s="1"/>
  <c r="U49" i="25" s="1"/>
  <c r="V49" i="25" s="1"/>
  <c r="W49" i="25" s="1"/>
  <c r="X49" i="25" s="1"/>
  <c r="Y49" i="25" s="1"/>
  <c r="Z49" i="25" s="1"/>
  <c r="Q14" i="25"/>
  <c r="R14" i="25" s="1"/>
  <c r="S14" i="25" s="1"/>
  <c r="T14" i="25" s="1"/>
  <c r="U14" i="25" s="1"/>
  <c r="V14" i="25" s="1"/>
  <c r="W14" i="25" s="1"/>
  <c r="X14" i="25" s="1"/>
  <c r="Y14" i="25" s="1"/>
  <c r="Z14" i="25" s="1"/>
  <c r="Q15" i="25"/>
  <c r="R15" i="25" s="1"/>
  <c r="S15" i="25" s="1"/>
  <c r="T15" i="25" s="1"/>
  <c r="U15" i="25" s="1"/>
  <c r="V15" i="25" s="1"/>
  <c r="W15" i="25" s="1"/>
  <c r="X15" i="25" s="1"/>
  <c r="Y15" i="25" s="1"/>
  <c r="Z15" i="25" s="1"/>
  <c r="Q35" i="25"/>
  <c r="Q59" i="25"/>
  <c r="R59" i="25" s="1"/>
  <c r="S59" i="25" s="1"/>
  <c r="T59" i="25" s="1"/>
  <c r="U59" i="25" s="1"/>
  <c r="V59" i="25" s="1"/>
  <c r="W59" i="25" s="1"/>
  <c r="X59" i="25" s="1"/>
  <c r="Y59" i="25" s="1"/>
  <c r="Z59" i="25" s="1"/>
  <c r="Q46" i="25"/>
  <c r="R46" i="25" s="1"/>
  <c r="S46" i="25" s="1"/>
  <c r="T46" i="25" s="1"/>
  <c r="U46" i="25" s="1"/>
  <c r="V46" i="25" s="1"/>
  <c r="W46" i="25" s="1"/>
  <c r="X46" i="25" s="1"/>
  <c r="Y46" i="25" s="1"/>
  <c r="Z46" i="25" s="1"/>
  <c r="Q33" i="25"/>
  <c r="R33" i="25" s="1"/>
  <c r="S33" i="25" s="1"/>
  <c r="T33" i="25" s="1"/>
  <c r="U33" i="25" s="1"/>
  <c r="V33" i="25" s="1"/>
  <c r="W33" i="25" s="1"/>
  <c r="X33" i="25" s="1"/>
  <c r="Y33" i="25" s="1"/>
  <c r="Z33" i="25" s="1"/>
  <c r="Q42" i="25"/>
  <c r="Q51" i="25"/>
  <c r="R51" i="25" s="1"/>
  <c r="S51" i="25" s="1"/>
  <c r="T51" i="25" s="1"/>
  <c r="U51" i="25" s="1"/>
  <c r="V51" i="25" s="1"/>
  <c r="W51" i="25" s="1"/>
  <c r="X51" i="25" s="1"/>
  <c r="Y51" i="25" s="1"/>
  <c r="Z51" i="25" s="1"/>
  <c r="Q24" i="25"/>
  <c r="R24" i="25" s="1"/>
  <c r="S24" i="25" s="1"/>
  <c r="T24" i="25" s="1"/>
  <c r="U24" i="25" s="1"/>
  <c r="V24" i="25" s="1"/>
  <c r="W24" i="25" s="1"/>
  <c r="X24" i="25" s="1"/>
  <c r="Y24" i="25" s="1"/>
  <c r="Z24" i="25" s="1"/>
  <c r="Q23" i="25"/>
  <c r="R23" i="25" s="1"/>
  <c r="S23" i="25" s="1"/>
  <c r="T23" i="25" s="1"/>
  <c r="U23" i="25" s="1"/>
  <c r="V23" i="25" s="1"/>
  <c r="W23" i="25" s="1"/>
  <c r="X23" i="25" s="1"/>
  <c r="Y23" i="25" s="1"/>
  <c r="Z23" i="25" s="1"/>
  <c r="Q12" i="25"/>
  <c r="Q52" i="25"/>
  <c r="R52" i="25" s="1"/>
  <c r="S52" i="25" s="1"/>
  <c r="T52" i="25" s="1"/>
  <c r="U52" i="25" s="1"/>
  <c r="V52" i="25" s="1"/>
  <c r="W52" i="25" s="1"/>
  <c r="X52" i="25" s="1"/>
  <c r="Y52" i="25" s="1"/>
  <c r="Z52" i="25" s="1"/>
  <c r="Q56" i="25"/>
  <c r="R56" i="25" s="1"/>
  <c r="S56" i="25" s="1"/>
  <c r="T56" i="25" s="1"/>
  <c r="U56" i="25" s="1"/>
  <c r="V56" i="25" s="1"/>
  <c r="W56" i="25" s="1"/>
  <c r="X56" i="25" s="1"/>
  <c r="Y56" i="25" s="1"/>
  <c r="Z56" i="25" s="1"/>
  <c r="Q39" i="25"/>
  <c r="R39" i="25" s="1"/>
  <c r="S39" i="25" s="1"/>
  <c r="T39" i="25" s="1"/>
  <c r="U39" i="25" s="1"/>
  <c r="V39" i="25" s="1"/>
  <c r="W39" i="25" s="1"/>
  <c r="X39" i="25" s="1"/>
  <c r="Y39" i="25" s="1"/>
  <c r="Z39" i="25" s="1"/>
  <c r="Q50" i="25"/>
  <c r="Q38" i="25"/>
  <c r="R38" i="25" s="1"/>
  <c r="S38" i="25" s="1"/>
  <c r="T38" i="25" s="1"/>
  <c r="U38" i="25" s="1"/>
  <c r="V38" i="25" s="1"/>
  <c r="W38" i="25" s="1"/>
  <c r="X38" i="25" s="1"/>
  <c r="Y38" i="25" s="1"/>
  <c r="Z38" i="25" s="1"/>
  <c r="Q40" i="25"/>
  <c r="R40" i="25" s="1"/>
  <c r="S40" i="25" s="1"/>
  <c r="T40" i="25" s="1"/>
  <c r="U40" i="25" s="1"/>
  <c r="V40" i="25" s="1"/>
  <c r="W40" i="25" s="1"/>
  <c r="X40" i="25" s="1"/>
  <c r="Y40" i="25" s="1"/>
  <c r="Z40" i="25" s="1"/>
  <c r="Q37" i="25"/>
  <c r="R37" i="25" s="1"/>
  <c r="S37" i="25" s="1"/>
  <c r="T37" i="25" s="1"/>
  <c r="U37" i="25" s="1"/>
  <c r="V37" i="25" s="1"/>
  <c r="W37" i="25" s="1"/>
  <c r="X37" i="25" s="1"/>
  <c r="Y37" i="25" s="1"/>
  <c r="Z37" i="25" s="1"/>
  <c r="Q36" i="25"/>
  <c r="Q16" i="25"/>
  <c r="R16" i="25" s="1"/>
  <c r="S16" i="25" s="1"/>
  <c r="T16" i="25" s="1"/>
  <c r="U16" i="25" s="1"/>
  <c r="V16" i="25" s="1"/>
  <c r="W16" i="25" s="1"/>
  <c r="X16" i="25" s="1"/>
  <c r="Y16" i="25" s="1"/>
  <c r="Z16" i="25" s="1"/>
  <c r="Q13" i="25"/>
  <c r="R13" i="25" s="1"/>
  <c r="S13" i="25" s="1"/>
  <c r="T13" i="25" s="1"/>
  <c r="U13" i="25" s="1"/>
  <c r="V13" i="25" s="1"/>
  <c r="W13" i="25" s="1"/>
  <c r="X13" i="25" s="1"/>
  <c r="Y13" i="25" s="1"/>
  <c r="Z13" i="25" s="1"/>
  <c r="Q48" i="25"/>
  <c r="R48" i="25" s="1"/>
  <c r="S48" i="25" s="1"/>
  <c r="T48" i="25" s="1"/>
  <c r="U48" i="25" s="1"/>
  <c r="V48" i="25" s="1"/>
  <c r="W48" i="25" s="1"/>
  <c r="X48" i="25" s="1"/>
  <c r="Y48" i="25" s="1"/>
  <c r="Z48" i="25" s="1"/>
  <c r="Q55" i="25"/>
  <c r="Q17" i="25"/>
  <c r="R17" i="25" s="1"/>
  <c r="S17" i="25" s="1"/>
  <c r="T17" i="25" s="1"/>
  <c r="U17" i="25" s="1"/>
  <c r="V17" i="25" s="1"/>
  <c r="W17" i="25" s="1"/>
  <c r="X17" i="25" s="1"/>
  <c r="Y17" i="25" s="1"/>
  <c r="Z17" i="25" s="1"/>
  <c r="Q18" i="25"/>
  <c r="R18" i="25" s="1"/>
  <c r="S18" i="25" s="1"/>
  <c r="T18" i="25" s="1"/>
  <c r="U18" i="25" s="1"/>
  <c r="V18" i="25" s="1"/>
  <c r="W18" i="25" s="1"/>
  <c r="X18" i="25" s="1"/>
  <c r="Y18" i="25" s="1"/>
  <c r="Z18" i="25" s="1"/>
  <c r="Q22" i="25"/>
  <c r="R22" i="25" s="1"/>
  <c r="S22" i="25" s="1"/>
  <c r="T22" i="25" s="1"/>
  <c r="U22" i="25" s="1"/>
  <c r="V22" i="25" s="1"/>
  <c r="W22" i="25" s="1"/>
  <c r="X22" i="25" s="1"/>
  <c r="Y22" i="25" s="1"/>
  <c r="Z22" i="25" s="1"/>
  <c r="Q30" i="25"/>
  <c r="R58" i="25"/>
  <c r="S58" i="25" s="1"/>
  <c r="T58" i="25" s="1"/>
  <c r="U58" i="25" s="1"/>
  <c r="V58" i="25" s="1"/>
  <c r="W58" i="25" s="1"/>
  <c r="X58" i="25" s="1"/>
  <c r="Y58" i="25" s="1"/>
  <c r="Z58" i="25" s="1"/>
  <c r="Q26" i="25"/>
  <c r="R26" i="25" s="1"/>
  <c r="S26" i="25" s="1"/>
  <c r="T26" i="25" s="1"/>
  <c r="U26" i="25" s="1"/>
  <c r="V26" i="25" s="1"/>
  <c r="W26" i="25" s="1"/>
  <c r="X26" i="25" s="1"/>
  <c r="Y26" i="25" s="1"/>
  <c r="Z26" i="25" s="1"/>
  <c r="Q31" i="25"/>
  <c r="R31" i="25" s="1"/>
  <c r="S31" i="25" s="1"/>
  <c r="T31" i="25" s="1"/>
  <c r="U31" i="25" s="1"/>
  <c r="V31" i="25" s="1"/>
  <c r="W31" i="25" s="1"/>
  <c r="X31" i="25" s="1"/>
  <c r="Y31" i="25" s="1"/>
  <c r="Z31" i="25" s="1"/>
  <c r="Q29" i="25"/>
  <c r="Q28" i="25"/>
  <c r="R28" i="25" s="1"/>
  <c r="S28" i="25" s="1"/>
  <c r="T28" i="25" s="1"/>
  <c r="U28" i="25" s="1"/>
  <c r="V28" i="25" s="1"/>
  <c r="W28" i="25" s="1"/>
  <c r="X28" i="25" s="1"/>
  <c r="Y28" i="25" s="1"/>
  <c r="Z28" i="25" s="1"/>
  <c r="R11" i="25"/>
  <c r="R41" i="25"/>
  <c r="S41" i="25" s="1"/>
  <c r="T41" i="25" s="1"/>
  <c r="U41" i="25" s="1"/>
  <c r="V41" i="25" s="1"/>
  <c r="W41" i="25" s="1"/>
  <c r="X41" i="25" s="1"/>
  <c r="Y41" i="25" s="1"/>
  <c r="Z41" i="25" s="1"/>
  <c r="R12" i="25"/>
  <c r="S12" i="25" s="1"/>
  <c r="T12" i="25" s="1"/>
  <c r="U12" i="25" s="1"/>
  <c r="V12" i="25" s="1"/>
  <c r="W12" i="25" s="1"/>
  <c r="X12" i="25" s="1"/>
  <c r="Y12" i="25" s="1"/>
  <c r="Z12" i="25" s="1"/>
  <c r="R50" i="25"/>
  <c r="S50" i="25" s="1"/>
  <c r="T50" i="25" s="1"/>
  <c r="U50" i="25" s="1"/>
  <c r="V50" i="25" s="1"/>
  <c r="W50" i="25" s="1"/>
  <c r="X50" i="25" s="1"/>
  <c r="Y50" i="25" s="1"/>
  <c r="Z50" i="25" s="1"/>
  <c r="R36" i="25"/>
  <c r="S36" i="25" s="1"/>
  <c r="T36" i="25" s="1"/>
  <c r="U36" i="25" s="1"/>
  <c r="V36" i="25" s="1"/>
  <c r="W36" i="25" s="1"/>
  <c r="X36" i="25" s="1"/>
  <c r="Y36" i="25" s="1"/>
  <c r="Z36" i="25" s="1"/>
  <c r="R55" i="25"/>
  <c r="S55" i="25" s="1"/>
  <c r="T55" i="25" s="1"/>
  <c r="U55" i="25" s="1"/>
  <c r="V55" i="25" s="1"/>
  <c r="W55" i="25" s="1"/>
  <c r="X55" i="25" s="1"/>
  <c r="Y55" i="25" s="1"/>
  <c r="Z55" i="25" s="1"/>
  <c r="R44" i="25"/>
  <c r="S44" i="25" s="1"/>
  <c r="T44" i="25" s="1"/>
  <c r="U44" i="25" s="1"/>
  <c r="V44" i="25" s="1"/>
  <c r="W44" i="25" s="1"/>
  <c r="X44" i="25" s="1"/>
  <c r="Y44" i="25" s="1"/>
  <c r="Z44" i="25" s="1"/>
  <c r="R32" i="25"/>
  <c r="S32" i="25" s="1"/>
  <c r="T32" i="25" s="1"/>
  <c r="U32" i="25" s="1"/>
  <c r="V32" i="25" s="1"/>
  <c r="W32" i="25" s="1"/>
  <c r="X32" i="25" s="1"/>
  <c r="Y32" i="25" s="1"/>
  <c r="Z32" i="25" s="1"/>
  <c r="R30" i="25"/>
  <c r="S30" i="25" s="1"/>
  <c r="T30" i="25" s="1"/>
  <c r="U30" i="25" s="1"/>
  <c r="V30" i="25" s="1"/>
  <c r="W30" i="25" s="1"/>
  <c r="X30" i="25" s="1"/>
  <c r="Y30" i="25" s="1"/>
  <c r="Z30" i="25" s="1"/>
  <c r="R29" i="25"/>
  <c r="S29" i="25" s="1"/>
  <c r="T29" i="25" s="1"/>
  <c r="U29" i="25" s="1"/>
  <c r="V29" i="25" s="1"/>
  <c r="W29" i="25" s="1"/>
  <c r="X29" i="25" s="1"/>
  <c r="Y29" i="25" s="1"/>
  <c r="Z29" i="25" s="1"/>
  <c r="R42" i="25"/>
  <c r="S42" i="25" s="1"/>
  <c r="T42" i="25" s="1"/>
  <c r="U42" i="25" s="1"/>
  <c r="V42" i="25" s="1"/>
  <c r="W42" i="25" s="1"/>
  <c r="X42" i="25" s="1"/>
  <c r="Y42" i="25" s="1"/>
  <c r="Z42" i="25" s="1"/>
  <c r="R35" i="25"/>
  <c r="S35" i="25" s="1"/>
  <c r="T35" i="25" s="1"/>
  <c r="U35" i="25" s="1"/>
  <c r="V35" i="25" s="1"/>
  <c r="W35" i="25" s="1"/>
  <c r="X35" i="25" s="1"/>
  <c r="Y35" i="25" s="1"/>
  <c r="Z35" i="25" s="1"/>
  <c r="L60" i="25"/>
  <c r="M60" i="25"/>
  <c r="G60" i="25"/>
  <c r="J60" i="25"/>
  <c r="K60" i="25"/>
  <c r="N60" i="25"/>
  <c r="P60" i="25"/>
  <c r="I60" i="25"/>
  <c r="O60" i="25"/>
  <c r="H60" i="25"/>
  <c r="Q60" i="25" l="1"/>
  <c r="S11" i="25"/>
  <c r="R60" i="25"/>
  <c r="D44" i="46" s="1"/>
  <c r="D32" i="46" l="1"/>
  <c r="D60" i="46" s="1"/>
  <c r="C44" i="46"/>
  <c r="C32" i="46" s="1"/>
  <c r="C60" i="46" s="1"/>
  <c r="C13" i="46" s="1"/>
  <c r="T11" i="25"/>
  <c r="S60" i="25"/>
  <c r="E44" i="46" s="1"/>
  <c r="D13" i="46" l="1"/>
  <c r="E32" i="46"/>
  <c r="E60" i="46" s="1"/>
  <c r="U11" i="25"/>
  <c r="T60" i="25"/>
  <c r="F44" i="46" s="1"/>
  <c r="F32" i="46" s="1"/>
  <c r="F60" i="46" s="1"/>
  <c r="C26" i="14"/>
  <c r="C27" i="14" s="1"/>
  <c r="C28" i="14" s="1"/>
  <c r="C29" i="14" s="1"/>
  <c r="C30" i="14" s="1"/>
  <c r="C31" i="14" s="1"/>
  <c r="C32" i="14" s="1"/>
  <c r="C33" i="14" s="1"/>
  <c r="C34" i="14" s="1"/>
  <c r="C35" i="14" s="1"/>
  <c r="C36" i="14" s="1"/>
  <c r="C37" i="14" s="1"/>
  <c r="C38" i="14" s="1"/>
  <c r="C39" i="14" s="1"/>
  <c r="E13" i="46" l="1"/>
  <c r="U60" i="25"/>
  <c r="G44" i="46" s="1"/>
  <c r="G32" i="46" s="1"/>
  <c r="G60" i="46" s="1"/>
  <c r="V11" i="25"/>
  <c r="W11" i="25" l="1"/>
  <c r="V60" i="25"/>
  <c r="H44" i="46" s="1"/>
  <c r="H32" i="46" s="1"/>
  <c r="H60" i="46" s="1"/>
  <c r="G13" i="46"/>
  <c r="F13" i="46"/>
  <c r="C91" i="46"/>
  <c r="D91" i="46" s="1"/>
  <c r="H15" i="46" l="1"/>
  <c r="J32" i="27" s="1"/>
  <c r="H13" i="46"/>
  <c r="X11" i="25"/>
  <c r="W60" i="25"/>
  <c r="I44" i="46" s="1"/>
  <c r="I32" i="46" s="1"/>
  <c r="I60" i="46" s="1"/>
  <c r="E91" i="46"/>
  <c r="I15" i="46" l="1"/>
  <c r="K32" i="27" s="1"/>
  <c r="I13" i="46"/>
  <c r="Y11" i="25"/>
  <c r="X60" i="25"/>
  <c r="J44" i="46" s="1"/>
  <c r="J32" i="46" s="1"/>
  <c r="J60" i="46" s="1"/>
  <c r="F91" i="46"/>
  <c r="J15" i="46" l="1"/>
  <c r="L32" i="27" s="1"/>
  <c r="J13" i="46"/>
  <c r="Z11" i="25"/>
  <c r="Z60" i="25" s="1"/>
  <c r="L44" i="46" s="1"/>
  <c r="L32" i="46" s="1"/>
  <c r="L60" i="46" s="1"/>
  <c r="Y60" i="25"/>
  <c r="K44" i="46" s="1"/>
  <c r="K32" i="46" s="1"/>
  <c r="K60" i="46" s="1"/>
  <c r="G91" i="46"/>
  <c r="J58" i="14"/>
  <c r="D67" i="14"/>
  <c r="C84" i="14"/>
  <c r="C85" i="14"/>
  <c r="C86" i="14"/>
  <c r="C87" i="14"/>
  <c r="C88" i="14"/>
  <c r="C89" i="14"/>
  <c r="C90" i="14"/>
  <c r="C91" i="14"/>
  <c r="C92" i="14"/>
  <c r="C93" i="14"/>
  <c r="C94" i="14"/>
  <c r="C95" i="14"/>
  <c r="C96" i="14"/>
  <c r="C97" i="14"/>
  <c r="D66" i="14"/>
  <c r="L15" i="46" l="1"/>
  <c r="N32" i="27" s="1"/>
  <c r="L13" i="46"/>
  <c r="K15" i="46"/>
  <c r="M32" i="27" s="1"/>
  <c r="K13" i="46"/>
  <c r="F92" i="14"/>
  <c r="F93" i="14"/>
  <c r="R33" i="15" l="1"/>
  <c r="X4" i="15" l="1"/>
  <c r="X35" i="15" s="1"/>
  <c r="Z35" i="15" s="1"/>
  <c r="V4" i="15"/>
  <c r="T4" i="15"/>
  <c r="T12" i="15" s="1"/>
  <c r="U12" i="15" s="1"/>
  <c r="V15" i="15" l="1"/>
  <c r="X38" i="15"/>
  <c r="Z38" i="15" s="1"/>
  <c r="T11" i="15"/>
  <c r="U11" i="15" s="1"/>
  <c r="T10" i="15"/>
  <c r="U10" i="15" s="1"/>
  <c r="V29" i="15"/>
  <c r="V14" i="15"/>
  <c r="V32" i="15"/>
  <c r="V26" i="15"/>
  <c r="V22" i="15"/>
  <c r="V18" i="15"/>
  <c r="V28" i="15"/>
  <c r="V25" i="15"/>
  <c r="V21" i="15"/>
  <c r="V17" i="15"/>
  <c r="X37" i="15"/>
  <c r="Z37" i="15" s="1"/>
  <c r="T8" i="15"/>
  <c r="U8" i="15" s="1"/>
  <c r="V31" i="15"/>
  <c r="V27" i="15"/>
  <c r="V24" i="15"/>
  <c r="V20" i="15"/>
  <c r="V16" i="15"/>
  <c r="X36" i="15"/>
  <c r="Z36" i="15" s="1"/>
  <c r="T7" i="15"/>
  <c r="U7" i="15" s="1"/>
  <c r="V13" i="15"/>
  <c r="V30" i="15"/>
  <c r="V23" i="15"/>
  <c r="V19" i="15"/>
  <c r="X34" i="15"/>
  <c r="Z34" i="15" s="1"/>
  <c r="E20" i="15"/>
  <c r="H11" i="15"/>
  <c r="K11" i="15" s="1"/>
  <c r="E11" i="15"/>
  <c r="R11" i="15" l="1"/>
  <c r="H14" i="15" l="1"/>
  <c r="K14" i="15" s="1"/>
  <c r="H12" i="15"/>
  <c r="K12" i="15" s="1"/>
  <c r="E12" i="15"/>
  <c r="E34" i="15" l="1"/>
  <c r="E41" i="15" s="1"/>
  <c r="R14" i="15"/>
  <c r="R12" i="15"/>
  <c r="H39" i="15" l="1"/>
  <c r="R39" i="15" l="1"/>
  <c r="H38" i="15" l="1"/>
  <c r="R38" i="15" l="1"/>
  <c r="M41" i="15" l="1"/>
  <c r="G75" i="46" s="1"/>
  <c r="G78" i="46" s="1"/>
  <c r="G15" i="46" s="1"/>
  <c r="I32" i="27" s="1"/>
  <c r="N41" i="15"/>
  <c r="H75" i="46" s="1"/>
  <c r="G36" i="15" l="1"/>
  <c r="G40" i="15" s="1"/>
  <c r="G41" i="15" s="1"/>
  <c r="L41" i="15"/>
  <c r="F75" i="46" s="1"/>
  <c r="F78" i="46" s="1"/>
  <c r="F15" i="46" s="1"/>
  <c r="H32" i="27" s="1"/>
  <c r="H37" i="15"/>
  <c r="H36" i="15"/>
  <c r="H35" i="15"/>
  <c r="H32" i="15"/>
  <c r="K32" i="15" s="1"/>
  <c r="H31" i="15"/>
  <c r="K31" i="15" s="1"/>
  <c r="H30" i="15"/>
  <c r="K30" i="15" s="1"/>
  <c r="H29" i="15"/>
  <c r="K29" i="15" s="1"/>
  <c r="H28" i="15"/>
  <c r="K28" i="15" s="1"/>
  <c r="H27" i="15"/>
  <c r="K27" i="15" s="1"/>
  <c r="H26" i="15"/>
  <c r="K26" i="15" s="1"/>
  <c r="H25" i="15"/>
  <c r="K25" i="15" s="1"/>
  <c r="H24" i="15"/>
  <c r="K24" i="15" s="1"/>
  <c r="H23" i="15"/>
  <c r="K23" i="15" s="1"/>
  <c r="H22" i="15"/>
  <c r="K22" i="15" s="1"/>
  <c r="H21" i="15"/>
  <c r="K21" i="15" s="1"/>
  <c r="H20" i="15"/>
  <c r="K20" i="15" s="1"/>
  <c r="H19" i="15"/>
  <c r="K19" i="15" s="1"/>
  <c r="H18" i="15"/>
  <c r="K18" i="15" s="1"/>
  <c r="H10" i="15"/>
  <c r="H17" i="15"/>
  <c r="K17" i="15" s="1"/>
  <c r="H16" i="15"/>
  <c r="K16" i="15" s="1"/>
  <c r="H15" i="15"/>
  <c r="K15" i="15" s="1"/>
  <c r="G20" i="27" s="1"/>
  <c r="H20" i="27" s="1"/>
  <c r="I20" i="27" s="1"/>
  <c r="J20" i="27" s="1"/>
  <c r="K20" i="27" s="1"/>
  <c r="L20" i="27" s="1"/>
  <c r="M20" i="27" s="1"/>
  <c r="H13" i="15"/>
  <c r="K13" i="15" s="1"/>
  <c r="H8" i="15"/>
  <c r="J8" i="15" s="1"/>
  <c r="H7" i="15"/>
  <c r="K45" i="15" l="1"/>
  <c r="H9" i="15"/>
  <c r="H40" i="15"/>
  <c r="K10" i="15"/>
  <c r="K41" i="15" s="1"/>
  <c r="E75" i="46" s="1"/>
  <c r="E78" i="46" s="1"/>
  <c r="E15" i="46" s="1"/>
  <c r="G32" i="27" s="1"/>
  <c r="H34" i="15"/>
  <c r="R35" i="15"/>
  <c r="R36" i="15"/>
  <c r="R37" i="15"/>
  <c r="Y6" i="15"/>
  <c r="R16" i="15"/>
  <c r="R19" i="15"/>
  <c r="R23" i="15"/>
  <c r="R30" i="15"/>
  <c r="R13" i="15"/>
  <c r="R17" i="15"/>
  <c r="R20" i="15"/>
  <c r="R24" i="15"/>
  <c r="R27" i="15"/>
  <c r="R31" i="15"/>
  <c r="R10" i="15"/>
  <c r="R21" i="15"/>
  <c r="R25" i="15"/>
  <c r="R28" i="15"/>
  <c r="R15" i="15"/>
  <c r="N20" i="27" s="1"/>
  <c r="R18" i="15"/>
  <c r="R22" i="15"/>
  <c r="R26" i="15"/>
  <c r="R29" i="15"/>
  <c r="R32" i="15"/>
  <c r="R8" i="15"/>
  <c r="J7" i="15"/>
  <c r="F19" i="27" s="1"/>
  <c r="G19" i="27" l="1"/>
  <c r="F27" i="27"/>
  <c r="K44" i="15"/>
  <c r="J44" i="15"/>
  <c r="AB9" i="15"/>
  <c r="AA34" i="15"/>
  <c r="AB34" i="15" s="1"/>
  <c r="H41" i="15"/>
  <c r="R7" i="15"/>
  <c r="W6" i="15"/>
  <c r="Y35" i="15"/>
  <c r="Y36" i="15"/>
  <c r="Y38" i="15"/>
  <c r="Y34" i="15"/>
  <c r="Y37" i="15"/>
  <c r="J41" i="15"/>
  <c r="D75" i="46" s="1"/>
  <c r="D78" i="46" s="1"/>
  <c r="D15" i="46" s="1"/>
  <c r="F32" i="27" s="1"/>
  <c r="I41" i="15"/>
  <c r="C75" i="46" s="1"/>
  <c r="C78" i="46" s="1"/>
  <c r="H19" i="27" l="1"/>
  <c r="G27" i="27"/>
  <c r="C15" i="46"/>
  <c r="E32" i="27" s="1"/>
  <c r="E6" i="27" s="1"/>
  <c r="F6" i="27" s="1"/>
  <c r="G6" i="27" s="1"/>
  <c r="H6" i="27" s="1"/>
  <c r="I6" i="27" s="1"/>
  <c r="J6" i="27" s="1"/>
  <c r="C11" i="46"/>
  <c r="AB32" i="15"/>
  <c r="AB28" i="15"/>
  <c r="AB24" i="15"/>
  <c r="AB20" i="15"/>
  <c r="AB16" i="15"/>
  <c r="AB12" i="15"/>
  <c r="AB30" i="15"/>
  <c r="AB22" i="15"/>
  <c r="AB14" i="15"/>
  <c r="AB29" i="15"/>
  <c r="AB21" i="15"/>
  <c r="AB13" i="15"/>
  <c r="AB31" i="15"/>
  <c r="AB27" i="15"/>
  <c r="AB23" i="15"/>
  <c r="AB19" i="15"/>
  <c r="AB15" i="15"/>
  <c r="AB11" i="15"/>
  <c r="AB26" i="15"/>
  <c r="AB18" i="15"/>
  <c r="AB10" i="15"/>
  <c r="AB25" i="15"/>
  <c r="AB17" i="15"/>
  <c r="AB36" i="15"/>
  <c r="AB35" i="15"/>
  <c r="AB37" i="15"/>
  <c r="AB38" i="15"/>
  <c r="AB39" i="15"/>
  <c r="W26" i="15"/>
  <c r="W32" i="15"/>
  <c r="W22" i="15"/>
  <c r="W29" i="15"/>
  <c r="W18" i="15"/>
  <c r="W14" i="15"/>
  <c r="W15" i="15"/>
  <c r="W30" i="15"/>
  <c r="W19" i="15"/>
  <c r="W28" i="15"/>
  <c r="W21" i="15"/>
  <c r="W25" i="15"/>
  <c r="W24" i="15"/>
  <c r="W16" i="15"/>
  <c r="W13" i="15"/>
  <c r="W27" i="15"/>
  <c r="W17" i="15"/>
  <c r="W31" i="15"/>
  <c r="W20" i="15"/>
  <c r="W23" i="15"/>
  <c r="D65" i="14"/>
  <c r="D64" i="14"/>
  <c r="D63" i="14"/>
  <c r="D62" i="14"/>
  <c r="D61" i="14"/>
  <c r="D60" i="14"/>
  <c r="D59" i="14"/>
  <c r="D58" i="14"/>
  <c r="D57" i="14"/>
  <c r="D56" i="14"/>
  <c r="D55" i="14"/>
  <c r="D54" i="14"/>
  <c r="D53" i="14"/>
  <c r="D52" i="14"/>
  <c r="D51" i="14"/>
  <c r="D50" i="14"/>
  <c r="D49" i="14"/>
  <c r="D48" i="14"/>
  <c r="D47" i="14"/>
  <c r="D46" i="14"/>
  <c r="D11" i="46" l="1"/>
  <c r="C92" i="46"/>
  <c r="K6" i="27"/>
  <c r="J15" i="27"/>
  <c r="I19" i="27"/>
  <c r="H27" i="27"/>
  <c r="E15" i="27"/>
  <c r="E29" i="27" s="1"/>
  <c r="L6" i="27" l="1"/>
  <c r="K15" i="27"/>
  <c r="J19" i="27"/>
  <c r="I27" i="27"/>
  <c r="E11" i="46"/>
  <c r="D92" i="46"/>
  <c r="F15" i="27"/>
  <c r="F29" i="27" s="1"/>
  <c r="K19" i="27" l="1"/>
  <c r="J27" i="27"/>
  <c r="J29" i="27" s="1"/>
  <c r="M6" i="27"/>
  <c r="L15" i="27"/>
  <c r="F11" i="46"/>
  <c r="E92" i="46"/>
  <c r="G15" i="27"/>
  <c r="G29" i="27" s="1"/>
  <c r="N6" i="27" l="1"/>
  <c r="N15" i="27" s="1"/>
  <c r="M15" i="27"/>
  <c r="G11" i="46"/>
  <c r="F92" i="46"/>
  <c r="L19" i="27"/>
  <c r="K27" i="27"/>
  <c r="K29" i="27" s="1"/>
  <c r="H15" i="27"/>
  <c r="H29" i="27" s="1"/>
  <c r="H11" i="46" l="1"/>
  <c r="I11" i="46" s="1"/>
  <c r="J11" i="46" s="1"/>
  <c r="K11" i="46" s="1"/>
  <c r="L11" i="46" s="1"/>
  <c r="G92" i="46"/>
  <c r="M19" i="27"/>
  <c r="L27" i="27"/>
  <c r="L29" i="27" s="1"/>
  <c r="I15" i="27"/>
  <c r="I29" i="27" s="1"/>
  <c r="M27" i="27" l="1"/>
  <c r="M29" i="27" s="1"/>
  <c r="N19" i="27"/>
  <c r="N27" i="27" s="1"/>
  <c r="N29" i="2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Administrador</author>
  </authors>
  <commentList>
    <comment ref="D49" authorId="0" shapeId="0" xr:uid="{00000000-0006-0000-0000-000001000000}">
      <text>
        <r>
          <rPr>
            <b/>
            <sz val="9"/>
            <color indexed="81"/>
            <rFont val="Tahoma"/>
            <family val="2"/>
          </rPr>
          <t>Administrador:</t>
        </r>
        <r>
          <rPr>
            <sz val="9"/>
            <color indexed="81"/>
            <rFont val="Tahoma"/>
            <family val="2"/>
          </rPr>
          <t xml:space="preserve">
Reducción del 50% del capital y 100% de intereses de acuerdo a acuerdo de pago</t>
        </r>
      </text>
    </comment>
    <comment ref="D50" authorId="0" shapeId="0" xr:uid="{00000000-0006-0000-0000-000002000000}">
      <text>
        <r>
          <rPr>
            <b/>
            <sz val="9"/>
            <color indexed="81"/>
            <rFont val="Tahoma"/>
            <family val="2"/>
          </rPr>
          <t>Administrador:</t>
        </r>
        <r>
          <rPr>
            <sz val="9"/>
            <color indexed="81"/>
            <rFont val="Tahoma"/>
            <family val="2"/>
          </rPr>
          <t xml:space="preserve">
Reducción del 50% del capital y 100% de intereses de acuerdo a acuerdo de pago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Olga Janeth</author>
  </authors>
  <commentList>
    <comment ref="M27" authorId="0" shapeId="0" xr:uid="{00000000-0006-0000-0800-000001000000}">
      <text>
        <r>
          <rPr>
            <b/>
            <sz val="9"/>
            <color indexed="81"/>
            <rFont val="Tahoma"/>
            <family val="2"/>
          </rPr>
          <t>Olga Janeth:</t>
        </r>
        <r>
          <rPr>
            <sz val="9"/>
            <color indexed="81"/>
            <rFont val="Tahoma"/>
            <family val="2"/>
          </rPr>
          <t xml:space="preserve">
Archivadores, escritorios, sillas y molinos que no se requieren para la reactivación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Olga Janeth</author>
  </authors>
  <commentList>
    <comment ref="A31" authorId="0" shapeId="0" xr:uid="{00000000-0006-0000-0900-000001000000}">
      <text>
        <r>
          <rPr>
            <b/>
            <sz val="9"/>
            <color indexed="81"/>
            <rFont val="Tahoma"/>
            <family val="2"/>
          </rPr>
          <t>Olga Janeth:</t>
        </r>
        <r>
          <rPr>
            <sz val="9"/>
            <color indexed="81"/>
            <rFont val="Tahoma"/>
            <family val="2"/>
          </rPr>
          <t xml:space="preserve">
Si la reactivación no se da en el año 1 se pueden arrendar en el último trimestre</t>
        </r>
      </text>
    </comment>
    <comment ref="A32" authorId="0" shapeId="0" xr:uid="{00000000-0006-0000-0900-000002000000}">
      <text>
        <r>
          <rPr>
            <b/>
            <sz val="9"/>
            <color indexed="81"/>
            <rFont val="Tahoma"/>
            <family val="2"/>
          </rPr>
          <t>Olga Janeth:</t>
        </r>
        <r>
          <rPr>
            <sz val="9"/>
            <color indexed="81"/>
            <rFont val="Tahoma"/>
            <family val="2"/>
          </rPr>
          <t xml:space="preserve">
Si la reactivación no se da en el año 1 se pueden arrendar en el último trimestre</t>
        </r>
      </text>
    </comment>
    <comment ref="A33" authorId="0" shapeId="0" xr:uid="{00000000-0006-0000-0900-000003000000}">
      <text>
        <r>
          <rPr>
            <b/>
            <sz val="9"/>
            <color indexed="81"/>
            <rFont val="Tahoma"/>
            <family val="2"/>
          </rPr>
          <t>Olga Janeth:</t>
        </r>
        <r>
          <rPr>
            <sz val="9"/>
            <color indexed="81"/>
            <rFont val="Tahoma"/>
            <family val="2"/>
          </rPr>
          <t xml:space="preserve">
Si la reactivación no se da en el año 1 se pueden arrendar en el último trimestre</t>
        </r>
      </text>
    </comment>
    <comment ref="A34" authorId="0" shapeId="0" xr:uid="{00000000-0006-0000-0900-000004000000}">
      <text>
        <r>
          <rPr>
            <b/>
            <sz val="9"/>
            <color indexed="81"/>
            <rFont val="Tahoma"/>
            <family val="2"/>
          </rPr>
          <t>Olga Janeth:</t>
        </r>
        <r>
          <rPr>
            <sz val="9"/>
            <color indexed="81"/>
            <rFont val="Tahoma"/>
            <family val="2"/>
          </rPr>
          <t xml:space="preserve">
Si la reactivación no se da en el año 1 se pueden arrendar en el último trimestre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Olga Janeth</author>
  </authors>
  <commentList>
    <comment ref="J17" authorId="0" shapeId="0" xr:uid="{00000000-0006-0000-0B00-000001000000}">
      <text>
        <r>
          <rPr>
            <b/>
            <sz val="9"/>
            <color indexed="81"/>
            <rFont val="Tahoma"/>
            <family val="2"/>
          </rPr>
          <t>Olga Janeth:</t>
        </r>
        <r>
          <rPr>
            <sz val="9"/>
            <color indexed="81"/>
            <rFont val="Tahoma"/>
            <family val="2"/>
          </rPr>
          <t xml:space="preserve">
Saldo en libros estimado al inicio de año</t>
        </r>
      </text>
    </comment>
    <comment ref="K17" authorId="0" shapeId="0" xr:uid="{00000000-0006-0000-0B00-000002000000}">
      <text>
        <r>
          <rPr>
            <b/>
            <sz val="9"/>
            <color indexed="81"/>
            <rFont val="Tahoma"/>
            <family val="2"/>
          </rPr>
          <t>Olga Janeth:</t>
        </r>
        <r>
          <rPr>
            <sz val="9"/>
            <color indexed="81"/>
            <rFont val="Tahoma"/>
            <family val="2"/>
          </rPr>
          <t xml:space="preserve">
Este sería el valor neto de liquidación de todo el inventario, dado que las existencias que quedan contienen artículos de alta obsolecencia.
Estimación realizada con el responsable de control interno y con base en toma física de inventario reciente.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ANALISTALOGTRANS</author>
  </authors>
  <commentList>
    <comment ref="J20" authorId="0" shapeId="0" xr:uid="{00000000-0006-0000-2700-000001000000}">
      <text>
        <r>
          <rPr>
            <b/>
            <sz val="9"/>
            <color indexed="81"/>
            <rFont val="Tahoma"/>
            <family val="2"/>
          </rPr>
          <t>ANALISTALOGTRANS:</t>
        </r>
        <r>
          <rPr>
            <sz val="9"/>
            <color indexed="81"/>
            <rFont val="Tahoma"/>
            <family val="2"/>
          </rPr>
          <t xml:space="preserve">
Tasa bomberil 3%
</t>
        </r>
      </text>
    </comment>
    <comment ref="J27" authorId="0" shapeId="0" xr:uid="{00000000-0006-0000-2700-000002000000}">
      <text>
        <r>
          <rPr>
            <b/>
            <sz val="9"/>
            <color indexed="81"/>
            <rFont val="Tahoma"/>
            <family val="2"/>
          </rPr>
          <t>ANALISTALOGTRANS:</t>
        </r>
        <r>
          <rPr>
            <sz val="9"/>
            <color indexed="81"/>
            <rFont val="Tahoma"/>
            <family val="2"/>
          </rPr>
          <t xml:space="preserve">
Tasa bomberil 2%
</t>
        </r>
      </text>
    </comment>
    <comment ref="J31" authorId="0" shapeId="0" xr:uid="{00000000-0006-0000-2700-000003000000}">
      <text>
        <r>
          <rPr>
            <b/>
            <sz val="9"/>
            <color indexed="81"/>
            <rFont val="Tahoma"/>
            <family val="2"/>
          </rPr>
          <t>ANALISTALOGTRANS:</t>
        </r>
        <r>
          <rPr>
            <sz val="9"/>
            <color indexed="81"/>
            <rFont val="Tahoma"/>
            <family val="2"/>
          </rPr>
          <t xml:space="preserve">
Tasa bomberi+sobret
asa ambiental urbana 12,74%
</t>
        </r>
      </text>
    </comment>
    <comment ref="J36" authorId="0" shapeId="0" xr:uid="{00000000-0006-0000-2700-000004000000}">
      <text>
        <r>
          <rPr>
            <b/>
            <sz val="9"/>
            <color indexed="81"/>
            <rFont val="Tahoma"/>
            <family val="2"/>
          </rPr>
          <t>ANALISTALOGTRANS:</t>
        </r>
        <r>
          <rPr>
            <sz val="9"/>
            <color indexed="81"/>
            <rFont val="Tahoma"/>
            <family val="2"/>
          </rPr>
          <t xml:space="preserve">
sobre tasa ambiental rural 25%
</t>
        </r>
      </text>
    </comment>
    <comment ref="J37" authorId="0" shapeId="0" xr:uid="{00000000-0006-0000-2700-000005000000}">
      <text>
        <r>
          <rPr>
            <b/>
            <sz val="9"/>
            <color indexed="81"/>
            <rFont val="Tahoma"/>
            <family val="2"/>
          </rPr>
          <t>ANALISTALOGTRANS:</t>
        </r>
        <r>
          <rPr>
            <sz val="9"/>
            <color indexed="81"/>
            <rFont val="Tahoma"/>
            <family val="2"/>
          </rPr>
          <t xml:space="preserve">
la sobretasa ambiental esta incluida en el impuesto
</t>
        </r>
      </text>
    </comment>
    <comment ref="J38" authorId="0" shapeId="0" xr:uid="{00000000-0006-0000-2700-000006000000}">
      <text>
        <r>
          <rPr>
            <b/>
            <sz val="9"/>
            <color indexed="81"/>
            <rFont val="Tahoma"/>
            <family val="2"/>
          </rPr>
          <t>ANALISTALOGTRANS:</t>
        </r>
        <r>
          <rPr>
            <sz val="9"/>
            <color indexed="81"/>
            <rFont val="Tahoma"/>
            <family val="2"/>
          </rPr>
          <t xml:space="preserve">
tasa bomberi 5%+soretasa ambiental 15%
</t>
        </r>
      </text>
    </comment>
    <comment ref="I40" authorId="0" shapeId="0" xr:uid="{00000000-0006-0000-2700-000007000000}">
      <text>
        <r>
          <rPr>
            <b/>
            <sz val="9"/>
            <color indexed="81"/>
            <rFont val="Tahoma"/>
            <family val="2"/>
          </rPr>
          <t>ANALISTALOGTRANS:</t>
        </r>
        <r>
          <rPr>
            <sz val="9"/>
            <color indexed="81"/>
            <rFont val="Tahoma"/>
            <family val="2"/>
          </rPr>
          <t xml:space="preserve">
Tarifa 9,5x1000
</t>
        </r>
      </text>
    </comment>
    <comment ref="I42" authorId="0" shapeId="0" xr:uid="{00000000-0006-0000-2700-000008000000}">
      <text>
        <r>
          <rPr>
            <b/>
            <sz val="9"/>
            <color indexed="81"/>
            <rFont val="Tahoma"/>
            <family val="2"/>
          </rPr>
          <t>ANALISTALOGTRANS:</t>
        </r>
        <r>
          <rPr>
            <sz val="9"/>
            <color indexed="81"/>
            <rFont val="Tahoma"/>
            <family val="2"/>
          </rPr>
          <t xml:space="preserve">
Tarifa 14x1000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Olga Janeth</author>
    <author>ANALISTALOGTRANS</author>
  </authors>
  <commentList>
    <comment ref="G14" authorId="0" shapeId="0" xr:uid="{00000000-0006-0000-2800-000001000000}">
      <text>
        <r>
          <rPr>
            <b/>
            <sz val="9"/>
            <color indexed="81"/>
            <rFont val="Tahoma"/>
            <family val="2"/>
          </rPr>
          <t>Olga Janeth:</t>
        </r>
        <r>
          <rPr>
            <sz val="9"/>
            <color indexed="81"/>
            <rFont val="Tahoma"/>
            <family val="2"/>
          </rPr>
          <t xml:space="preserve">
Archivadores, escritorios, sillas y molinos que no se requieren para la reactivación</t>
        </r>
      </text>
    </comment>
    <comment ref="G23" authorId="1" shapeId="0" xr:uid="{00000000-0006-0000-2800-000002000000}">
      <text>
        <r>
          <rPr>
            <b/>
            <sz val="9"/>
            <color indexed="81"/>
            <rFont val="Tahoma"/>
            <family val="2"/>
          </rPr>
          <t>ANALISTALOGTRANS:</t>
        </r>
        <r>
          <rPr>
            <sz val="9"/>
            <color indexed="81"/>
            <rFont val="Tahoma"/>
            <family val="2"/>
          </rPr>
          <t xml:space="preserve">
Valor tomado del plan operativo anual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ANALISTALOGTRANS</author>
  </authors>
  <commentList>
    <comment ref="L2" authorId="0" shapeId="0" xr:uid="{00000000-0006-0000-2A00-000001000000}">
      <text>
        <r>
          <rPr>
            <b/>
            <sz val="9"/>
            <color indexed="81"/>
            <rFont val="Tahoma"/>
            <family val="2"/>
          </rPr>
          <t>ANALISTALOGTRANS:</t>
        </r>
        <r>
          <rPr>
            <sz val="9"/>
            <color indexed="81"/>
            <rFont val="Tahoma"/>
            <family val="2"/>
          </rPr>
          <t xml:space="preserve">
falta sumar el valor de la contribucion a la superintendencia de la economia solidaria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Olga Janeth</author>
  </authors>
  <commentList>
    <comment ref="K11" authorId="0" shapeId="0" xr:uid="{00000000-0006-0000-2D00-000001000000}">
      <text>
        <r>
          <rPr>
            <b/>
            <sz val="9"/>
            <color indexed="81"/>
            <rFont val="Tahoma"/>
            <family val="2"/>
          </rPr>
          <t>Olga Janeth:</t>
        </r>
        <r>
          <rPr>
            <sz val="9"/>
            <color indexed="81"/>
            <rFont val="Tahoma"/>
            <family val="2"/>
          </rPr>
          <t xml:space="preserve">
sin fecha de nacimiento+</t>
        </r>
      </text>
    </comment>
    <comment ref="K19" authorId="0" shapeId="0" xr:uid="{00000000-0006-0000-2D00-000002000000}">
      <text>
        <r>
          <rPr>
            <b/>
            <sz val="9"/>
            <color indexed="81"/>
            <rFont val="Tahoma"/>
            <family val="2"/>
          </rPr>
          <t>Olga Janeth:</t>
        </r>
        <r>
          <rPr>
            <sz val="9"/>
            <color indexed="81"/>
            <rFont val="Tahoma"/>
            <family val="2"/>
          </rPr>
          <t xml:space="preserve">
sin fecha de nacimiento+</t>
        </r>
      </text>
    </comment>
    <comment ref="K23" authorId="0" shapeId="0" xr:uid="{00000000-0006-0000-2D00-000003000000}">
      <text>
        <r>
          <rPr>
            <b/>
            <sz val="9"/>
            <color indexed="81"/>
            <rFont val="Tahoma"/>
            <family val="2"/>
          </rPr>
          <t>Olga Janeth:</t>
        </r>
        <r>
          <rPr>
            <sz val="9"/>
            <color indexed="81"/>
            <rFont val="Tahoma"/>
            <family val="2"/>
          </rPr>
          <t xml:space="preserve">
sin fecha de nacimiento+</t>
        </r>
      </text>
    </comment>
    <comment ref="K83" authorId="0" shapeId="0" xr:uid="{00000000-0006-0000-2D00-000004000000}">
      <text>
        <r>
          <rPr>
            <b/>
            <sz val="9"/>
            <color indexed="81"/>
            <rFont val="Tahoma"/>
            <family val="2"/>
          </rPr>
          <t>Olga Janeth:</t>
        </r>
        <r>
          <rPr>
            <sz val="9"/>
            <color indexed="81"/>
            <rFont val="Tahoma"/>
            <family val="2"/>
          </rPr>
          <t xml:space="preserve">
sin fecha de nacimiento+</t>
        </r>
      </text>
    </comment>
    <comment ref="K89" authorId="0" shapeId="0" xr:uid="{00000000-0006-0000-2D00-000005000000}">
      <text>
        <r>
          <rPr>
            <b/>
            <sz val="9"/>
            <color indexed="81"/>
            <rFont val="Tahoma"/>
            <family val="2"/>
          </rPr>
          <t>Olga Janeth:</t>
        </r>
        <r>
          <rPr>
            <sz val="9"/>
            <color indexed="81"/>
            <rFont val="Tahoma"/>
            <family val="2"/>
          </rPr>
          <t xml:space="preserve">
sin fecha de nacimiento+</t>
        </r>
      </text>
    </comment>
    <comment ref="K94" authorId="0" shapeId="0" xr:uid="{00000000-0006-0000-2D00-000006000000}">
      <text>
        <r>
          <rPr>
            <b/>
            <sz val="9"/>
            <color indexed="81"/>
            <rFont val="Tahoma"/>
            <family val="2"/>
          </rPr>
          <t>Olga Janeth:</t>
        </r>
        <r>
          <rPr>
            <sz val="9"/>
            <color indexed="81"/>
            <rFont val="Tahoma"/>
            <family val="2"/>
          </rPr>
          <t xml:space="preserve">
sin fecha de nacimiento+</t>
        </r>
      </text>
    </comment>
    <comment ref="K102" authorId="0" shapeId="0" xr:uid="{00000000-0006-0000-2D00-000007000000}">
      <text>
        <r>
          <rPr>
            <b/>
            <sz val="9"/>
            <color indexed="81"/>
            <rFont val="Tahoma"/>
            <family val="2"/>
          </rPr>
          <t>Olga Janeth:</t>
        </r>
        <r>
          <rPr>
            <sz val="9"/>
            <color indexed="81"/>
            <rFont val="Tahoma"/>
            <family val="2"/>
          </rPr>
          <t xml:space="preserve">
sin fecha de nacimiento+</t>
        </r>
      </text>
    </comment>
    <comment ref="K139" authorId="0" shapeId="0" xr:uid="{00000000-0006-0000-2D00-000008000000}">
      <text>
        <r>
          <rPr>
            <b/>
            <sz val="9"/>
            <color indexed="81"/>
            <rFont val="Tahoma"/>
            <family val="2"/>
          </rPr>
          <t>Olga Janeth:</t>
        </r>
        <r>
          <rPr>
            <sz val="9"/>
            <color indexed="81"/>
            <rFont val="Tahoma"/>
            <family val="2"/>
          </rPr>
          <t xml:space="preserve">
sin fecha de nacimiento+</t>
        </r>
      </text>
    </comment>
    <comment ref="K152" authorId="0" shapeId="0" xr:uid="{00000000-0006-0000-2D00-000009000000}">
      <text>
        <r>
          <rPr>
            <b/>
            <sz val="9"/>
            <color indexed="81"/>
            <rFont val="Tahoma"/>
            <family val="2"/>
          </rPr>
          <t>Olga Janeth:</t>
        </r>
        <r>
          <rPr>
            <sz val="9"/>
            <color indexed="81"/>
            <rFont val="Tahoma"/>
            <family val="2"/>
          </rPr>
          <t xml:space="preserve">
sin fecha de nacimiento+</t>
        </r>
      </text>
    </comment>
  </commentList>
</comments>
</file>

<file path=xl/sharedStrings.xml><?xml version="1.0" encoding="utf-8"?>
<sst xmlns="http://schemas.openxmlformats.org/spreadsheetml/2006/main" count="22152" uniqueCount="3085">
  <si>
    <t>ACTIVO</t>
  </si>
  <si>
    <t>Total</t>
  </si>
  <si>
    <t>NOMBRE</t>
  </si>
  <si>
    <t>GLOBAL PARTNERSHIPS SOCIAL INVESTMENT FUND 6.0, LLC</t>
  </si>
  <si>
    <t>FAIRTRADE ACCESS FUND S.A., SICAV -SIF- y AGRIF COOPERATIEF UA</t>
  </si>
  <si>
    <t>BANCO DAVIVIENDA S.A.</t>
  </si>
  <si>
    <t>OIKOCREDIT ECUMENICAL DEVELOPMENT COOPERATIVE</t>
  </si>
  <si>
    <t>BANCO DE BOGOTA S.A.</t>
  </si>
  <si>
    <t>BANCO COOPCENTRAL</t>
  </si>
  <si>
    <t>CACHARRERIA MUNDIAL S.A.S.</t>
  </si>
  <si>
    <t>COOPERATIVA FINANCIERA CONFIAR</t>
  </si>
  <si>
    <t>MEXICHEM COLOMBIA S.A.S.</t>
  </si>
  <si>
    <t>DYNA Y CIA S.A.</t>
  </si>
  <si>
    <t>COOPERATIVA FINANCIERA COTRAFA</t>
  </si>
  <si>
    <t>YARA COLOMBIA S.A.</t>
  </si>
  <si>
    <t>DISTRITABORDAS</t>
  </si>
  <si>
    <t>BANCO POPULAR S.A.</t>
  </si>
  <si>
    <t>MONÓMEROS COLOMBO VENEZOLANOS</t>
  </si>
  <si>
    <t>CAJA DE COMPENSACIÓN FAMILIAR</t>
  </si>
  <si>
    <t>OSCAR IGNACIO USUGA SEPULVEDA</t>
  </si>
  <si>
    <t>CORDELES PASO FINO S.A.S.</t>
  </si>
  <si>
    <t>INDUSTRIAS DE ACERO S.A.S. IDEACE SAS</t>
  </si>
  <si>
    <t>FISUCOL FIBRAS Y SUMINISTROS COLOMBIA S.A.S.</t>
  </si>
  <si>
    <t>ARAGRO S.A.S.</t>
  </si>
  <si>
    <t>GALAGRO S.A.S.</t>
  </si>
  <si>
    <t>CORPOAGRO S.A.S.</t>
  </si>
  <si>
    <t>DISTRIBUCIONES AGRALBA S.A.</t>
  </si>
  <si>
    <t>ROOT CAPITAL INC</t>
  </si>
  <si>
    <t>MUNICIPIO</t>
  </si>
  <si>
    <t>ANDES</t>
  </si>
  <si>
    <t>TRILLADORA LA PRADERA</t>
  </si>
  <si>
    <t>004-3478</t>
  </si>
  <si>
    <t xml:space="preserve">ANDES </t>
  </si>
  <si>
    <t>004-16315</t>
  </si>
  <si>
    <t>004-31120</t>
  </si>
  <si>
    <t>004-11237</t>
  </si>
  <si>
    <t>COMPRAS DE CAFÉ SANTA RITA</t>
  </si>
  <si>
    <t>004-15830</t>
  </si>
  <si>
    <t>COMPRAS DE CAFÉ BUENOS AIRES</t>
  </si>
  <si>
    <t>004-16457</t>
  </si>
  <si>
    <t>004-16261</t>
  </si>
  <si>
    <t>BODEGAS Y LOTE PARAZAL</t>
  </si>
  <si>
    <t>004-11496</t>
  </si>
  <si>
    <t>COMPRAS DE CAFÉ LA TEBAIDA</t>
  </si>
  <si>
    <t>004-7568</t>
  </si>
  <si>
    <t>BETANIA</t>
  </si>
  <si>
    <t>BODEGA LA 40</t>
  </si>
  <si>
    <t>004-46495</t>
  </si>
  <si>
    <t>HISPANIA</t>
  </si>
  <si>
    <t>004-42401</t>
  </si>
  <si>
    <t>005-3493</t>
  </si>
  <si>
    <t>005-7898</t>
  </si>
  <si>
    <t>005-19655</t>
  </si>
  <si>
    <t>005-19656</t>
  </si>
  <si>
    <t>005-19657</t>
  </si>
  <si>
    <t>COMPRAS DE CAFÉ SAN GREGORIO</t>
  </si>
  <si>
    <t>005-18850</t>
  </si>
  <si>
    <t>SOLIDARIDAD</t>
  </si>
  <si>
    <t>PLAN DE PAGOS</t>
  </si>
  <si>
    <t>COOPERATIVA DE CAFICULTORES DE ANDES LTDA.</t>
  </si>
  <si>
    <t>NIT  890.907.638-1</t>
  </si>
  <si>
    <t>IDENTIFICACION</t>
  </si>
  <si>
    <t>SALDO PROPUESTA (50%)</t>
  </si>
  <si>
    <t>Saldo</t>
  </si>
  <si>
    <t>CUARTA CLASE</t>
  </si>
  <si>
    <t>BANCOLOMBIA S.A</t>
  </si>
  <si>
    <t>BANCO DAVIVIENDA S.A</t>
  </si>
  <si>
    <t>QUINTA CLASE</t>
  </si>
  <si>
    <t xml:space="preserve"> </t>
  </si>
  <si>
    <t>EXTEMPORANEO</t>
  </si>
  <si>
    <t>TIPO</t>
  </si>
  <si>
    <t>Café</t>
  </si>
  <si>
    <t>Almacenes</t>
  </si>
  <si>
    <t>Año</t>
  </si>
  <si>
    <t>%</t>
  </si>
  <si>
    <t>Valor Kilo</t>
  </si>
  <si>
    <t>% compra-asociados</t>
  </si>
  <si>
    <t>93.2%</t>
  </si>
  <si>
    <t>93.8%</t>
  </si>
  <si>
    <t>94.6%</t>
  </si>
  <si>
    <t>Valor Carga</t>
  </si>
  <si>
    <t>Precio del café 2023</t>
  </si>
  <si>
    <t>FEDERACIÓN NACIONAL DE CAFETEROS</t>
  </si>
  <si>
    <t>Pago 2029</t>
  </si>
  <si>
    <t>Pago 2030</t>
  </si>
  <si>
    <t>Pago 2031</t>
  </si>
  <si>
    <t>INTERESES</t>
  </si>
  <si>
    <t>CAPITAL</t>
  </si>
  <si>
    <t>TOTAL</t>
  </si>
  <si>
    <t>Efectivo y equivalentes de efectivo</t>
  </si>
  <si>
    <t>Activos financieros</t>
  </si>
  <si>
    <t>Inventarios</t>
  </si>
  <si>
    <t>Deudores comerciales y otras cuentas por cobrar</t>
  </si>
  <si>
    <t>Activos por impuestos corrientes</t>
  </si>
  <si>
    <t xml:space="preserve">Activo por contratos de café </t>
  </si>
  <si>
    <t>TOTAL ACTIVOS</t>
  </si>
  <si>
    <t>PASIVOS Y PATRIMONIO</t>
  </si>
  <si>
    <t>Pasivo corriente</t>
  </si>
  <si>
    <t>Obligaciones financieras</t>
  </si>
  <si>
    <t>Acreedores comerciales y otras cuentas por pagar</t>
  </si>
  <si>
    <t>Pasivo por contratos de café</t>
  </si>
  <si>
    <t>Pasivos por beneficios a empleados</t>
  </si>
  <si>
    <t>Provisión por procesos legales y otros</t>
  </si>
  <si>
    <t>Pasivos por impuestos</t>
  </si>
  <si>
    <t>Otros pasivos</t>
  </si>
  <si>
    <t>TOTAL PASIVOS</t>
  </si>
  <si>
    <t>ACTIVOS NETOS EN LIQUIDACIÓN</t>
  </si>
  <si>
    <t>TOTAL INGRESOS</t>
  </si>
  <si>
    <t>Total general</t>
  </si>
  <si>
    <t>BANCO COOPERATIVO COOPCENTRAL</t>
  </si>
  <si>
    <t>BANCO INTERAMERICANO DE DESARROLLO</t>
  </si>
  <si>
    <t>% Participación</t>
  </si>
  <si>
    <t>FLUJO DE CAJA</t>
  </si>
  <si>
    <t>Propiedad, planta y equipo</t>
  </si>
  <si>
    <t>Acuerdo de pago</t>
  </si>
  <si>
    <t>Optimista</t>
  </si>
  <si>
    <t>Conservador</t>
  </si>
  <si>
    <t>Pesimista</t>
  </si>
  <si>
    <t>PSCC</t>
  </si>
  <si>
    <t>VALOR</t>
  </si>
  <si>
    <t>PSCC ANDES PRINCIPAL</t>
  </si>
  <si>
    <t>PSCC BETANIA</t>
  </si>
  <si>
    <t>PSCC BOLIVAR PRINCIPAL</t>
  </si>
  <si>
    <t>PSCC JARDIN</t>
  </si>
  <si>
    <t>PSCC HISPANIA</t>
  </si>
  <si>
    <t>PSCC ANDES PLAZA</t>
  </si>
  <si>
    <t>PSCC SANTA RITA</t>
  </si>
  <si>
    <t>PSCC BUENOS AIRES</t>
  </si>
  <si>
    <t>PSCC TAPARTO</t>
  </si>
  <si>
    <t>PSCC SAN GREGORIO</t>
  </si>
  <si>
    <t>PSCC CARMEN DE ATRATO</t>
  </si>
  <si>
    <t>PSCC SAN JOSE</t>
  </si>
  <si>
    <t>PSCC SANTA INES</t>
  </si>
  <si>
    <t>PSCC PLAZUELA</t>
  </si>
  <si>
    <t>PSCC BOLIVAR NUEVA</t>
  </si>
  <si>
    <t>PSCC SALGAR</t>
  </si>
  <si>
    <t>PSCC CONCORDIA</t>
  </si>
  <si>
    <t>PSCC TRILLADORA</t>
  </si>
  <si>
    <t>Descripción</t>
  </si>
  <si>
    <t>Escenario</t>
  </si>
  <si>
    <t>Kg Fertilizantes</t>
  </si>
  <si>
    <t>DERECHO A VOTO</t>
  </si>
  <si>
    <t>TOTAL ACREENCIA</t>
  </si>
  <si>
    <t>Mes</t>
  </si>
  <si>
    <t xml:space="preserve">Periodo </t>
  </si>
  <si>
    <t>Precio promedio 2023</t>
  </si>
  <si>
    <t>Precio promedio 2024</t>
  </si>
  <si>
    <t>Precio del café 2023 (Proyección inicial)</t>
  </si>
  <si>
    <t>Periodo</t>
  </si>
  <si>
    <t>IPC 2022</t>
  </si>
  <si>
    <t>Tipo</t>
  </si>
  <si>
    <t>Municipio</t>
  </si>
  <si>
    <t>JARDIN</t>
  </si>
  <si>
    <t>#</t>
  </si>
  <si>
    <t>Tipo de cargo</t>
  </si>
  <si>
    <t>Descripción Cargo</t>
  </si>
  <si>
    <t>Auxilio de transporte</t>
  </si>
  <si>
    <t>Total Salario</t>
  </si>
  <si>
    <t>Salud</t>
  </si>
  <si>
    <t>Pension</t>
  </si>
  <si>
    <t>Caja</t>
  </si>
  <si>
    <t>Sena</t>
  </si>
  <si>
    <t>Icbf</t>
  </si>
  <si>
    <t>Riesgos</t>
  </si>
  <si>
    <t>Cesantias</t>
  </si>
  <si>
    <t>Interes</t>
  </si>
  <si>
    <t>Vacaciones</t>
  </si>
  <si>
    <t>Prima</t>
  </si>
  <si>
    <t># SMLV</t>
  </si>
  <si>
    <t>SMLV</t>
  </si>
  <si>
    <t>Gerente general</t>
  </si>
  <si>
    <t>Líder de equipo</t>
  </si>
  <si>
    <t>Líder logístico</t>
  </si>
  <si>
    <t>Líder jurídico</t>
  </si>
  <si>
    <t>Líder comercial</t>
  </si>
  <si>
    <t>Líder contable</t>
  </si>
  <si>
    <t>Líder desarrollo social</t>
  </si>
  <si>
    <t>Líder talento humano</t>
  </si>
  <si>
    <t>Líder control y mejora</t>
  </si>
  <si>
    <t>Columna1</t>
  </si>
  <si>
    <t>Líder de equipos</t>
  </si>
  <si>
    <t>Líder punto de servicio de compra y venta - PSCV</t>
  </si>
  <si>
    <t>Auxiliar administrativo PSCV</t>
  </si>
  <si>
    <t>Auxiliar operativo PSCV</t>
  </si>
  <si>
    <t>Analista senior</t>
  </si>
  <si>
    <t>Analista junior</t>
  </si>
  <si>
    <t>Cargo</t>
  </si>
  <si>
    <t>Andes ppal</t>
  </si>
  <si>
    <t>Andes Plaza</t>
  </si>
  <si>
    <t>Andes Plazuela</t>
  </si>
  <si>
    <t>Betania</t>
  </si>
  <si>
    <t>Ciudad Bolívar</t>
  </si>
  <si>
    <t>San Gregorio</t>
  </si>
  <si>
    <t>Hispania</t>
  </si>
  <si>
    <t>Santa Ines</t>
  </si>
  <si>
    <t>San José</t>
  </si>
  <si>
    <t>Buenos aires</t>
  </si>
  <si>
    <t>Santa Rita</t>
  </si>
  <si>
    <t>Tapartó</t>
  </si>
  <si>
    <t>Jardín</t>
  </si>
  <si>
    <t>Auxiliar administrativo punto de compra</t>
  </si>
  <si>
    <t>Recepcionista</t>
  </si>
  <si>
    <t>Analista comercial</t>
  </si>
  <si>
    <t>Analista Riesgos y Sarlaft</t>
  </si>
  <si>
    <t>Analista CAD</t>
  </si>
  <si>
    <t>Analista Contable</t>
  </si>
  <si>
    <t>Analista Tesorería</t>
  </si>
  <si>
    <t>Analista Comunicaciones</t>
  </si>
  <si>
    <t>Analista TI</t>
  </si>
  <si>
    <t>Analista Jurídico</t>
  </si>
  <si>
    <t>Analista Sistema de Gestión</t>
  </si>
  <si>
    <t>Analista de auditoría, control y mejora</t>
  </si>
  <si>
    <t>Analista Logístico</t>
  </si>
  <si>
    <t>Analista Talento humano</t>
  </si>
  <si>
    <t>Analista Desarrollo social</t>
  </si>
  <si>
    <t>1- Escenario de intervención</t>
  </si>
  <si>
    <t>Cantidad de café</t>
  </si>
  <si>
    <t>Sobreprecio de venta</t>
  </si>
  <si>
    <t>Proy acuerdo 2024</t>
  </si>
  <si>
    <t>Pago 20292</t>
  </si>
  <si>
    <t>PRELACIÓN</t>
  </si>
  <si>
    <t># ACREEDORES</t>
  </si>
  <si>
    <t>VALOR ACREENCIA</t>
  </si>
  <si>
    <t>% PARTICIPACIÓN</t>
  </si>
  <si>
    <t>TOTAL QUINTA CLASE</t>
  </si>
  <si>
    <t>TOTAL EXTEMPORANEO</t>
  </si>
  <si>
    <t>Año 1</t>
  </si>
  <si>
    <t>Año 2</t>
  </si>
  <si>
    <t>Año 3</t>
  </si>
  <si>
    <t>Año 4</t>
  </si>
  <si>
    <t>Año 5</t>
  </si>
  <si>
    <t>Año 6</t>
  </si>
  <si>
    <t>Año 7</t>
  </si>
  <si>
    <t>Año 8</t>
  </si>
  <si>
    <t>CIUDAD</t>
  </si>
  <si>
    <t>MATRICULA</t>
  </si>
  <si>
    <t>FECHA AVALÚO</t>
  </si>
  <si>
    <t>VALOR AVALÚO</t>
  </si>
  <si>
    <t>CLASIFICACIÓN</t>
  </si>
  <si>
    <t>OBSERVACIONES</t>
  </si>
  <si>
    <t>Andes</t>
  </si>
  <si>
    <t xml:space="preserve">Terreno Anexo Edificio Del Café </t>
  </si>
  <si>
    <t>Activo adjudicado</t>
  </si>
  <si>
    <t>Activo pendiente de facturación, se encuentra en gestión los trámites notariales y legales</t>
  </si>
  <si>
    <t xml:space="preserve">Construcción Anexo Edif Del Cafe </t>
  </si>
  <si>
    <t>Medellin</t>
  </si>
  <si>
    <t xml:space="preserve">Oficina No. 704 Y Pa </t>
  </si>
  <si>
    <t>001 (996148-996149)</t>
  </si>
  <si>
    <t>Total Activo adjudicado</t>
  </si>
  <si>
    <t xml:space="preserve">Terreno Bodega Andes Principal </t>
  </si>
  <si>
    <t>Activos para operación</t>
  </si>
  <si>
    <t>Activos necesarios para la operación bajo el proyecto de reactivación</t>
  </si>
  <si>
    <t xml:space="preserve">Bodega Andes Principal </t>
  </si>
  <si>
    <t xml:space="preserve">Terreno Bodega Taparto </t>
  </si>
  <si>
    <t xml:space="preserve">Bodega Taparto </t>
  </si>
  <si>
    <t xml:space="preserve">Bodega Terreno Santa Rita </t>
  </si>
  <si>
    <t xml:space="preserve">Bodega Santa Rita </t>
  </si>
  <si>
    <t xml:space="preserve">Terreno Bodega Buenos Aires </t>
  </si>
  <si>
    <t xml:space="preserve">Bodega Buenos Aires </t>
  </si>
  <si>
    <t xml:space="preserve">Terreno Bodega Betania </t>
  </si>
  <si>
    <t>005-(10375-5328)</t>
  </si>
  <si>
    <t xml:space="preserve">Bodega Betania </t>
  </si>
  <si>
    <t>Ciudad Bolivar</t>
  </si>
  <si>
    <t xml:space="preserve">Lote Bodega San Gregorio </t>
  </si>
  <si>
    <t xml:space="preserve">Bodega San Gregorio </t>
  </si>
  <si>
    <t xml:space="preserve">Edificio Bolivar </t>
  </si>
  <si>
    <t>005-(19656-19657)</t>
  </si>
  <si>
    <t>El edificio cuenta con el punto de compra de café y el almacén de insumos agropecuarios (Objeto social) por lo que estaría disponible para la venta, el auditorio del tercer piso. Se requiere desenglobe, para su publicación y venta</t>
  </si>
  <si>
    <t xml:space="preserve">Terreno Edificio Bolivar </t>
  </si>
  <si>
    <t>El edificio cuenta con el punto de compra de café y el almacén de insumos agropecuarios (Objeto social) por lo que estarían disponibles para la venta, las oficinas del segundo y tercer piso. Se requiere desenglobe, para su publicación y venta</t>
  </si>
  <si>
    <t xml:space="preserve">Edificio Andes Plaza </t>
  </si>
  <si>
    <t>004-(38369-38370)</t>
  </si>
  <si>
    <t>Disponible para la venta</t>
  </si>
  <si>
    <t xml:space="preserve">Terreno Andes Plaza </t>
  </si>
  <si>
    <t xml:space="preserve">Terreno Hispania </t>
  </si>
  <si>
    <t xml:space="preserve">Bodega Hispania </t>
  </si>
  <si>
    <t>Muebles y equipos</t>
  </si>
  <si>
    <t>N/A</t>
  </si>
  <si>
    <t>Este rubro, está constitudo por muebles, enseres y equipo que son necesarios para la operación, sin embargo, algunos de ellos se encuentran disponibles para la venta</t>
  </si>
  <si>
    <t>Camioneta Chevrolet Dmax Dsx</t>
  </si>
  <si>
    <t>Dsx-152</t>
  </si>
  <si>
    <t>Total Activos para operación</t>
  </si>
  <si>
    <t xml:space="preserve">Terreno Lote 2-2  Pradera </t>
  </si>
  <si>
    <t>004-40284</t>
  </si>
  <si>
    <t>Activos que bajo el proyecto de reactivación no son necesarios para el desarrollo del objeto social</t>
  </si>
  <si>
    <t xml:space="preserve">Terreno Lote Pradera </t>
  </si>
  <si>
    <t>004-49808</t>
  </si>
  <si>
    <t>004-49809</t>
  </si>
  <si>
    <t>004-49811</t>
  </si>
  <si>
    <t>Lote Terreno La Chaparrala - Cb</t>
  </si>
  <si>
    <t xml:space="preserve">Edificio C.B. Chaparrala </t>
  </si>
  <si>
    <t xml:space="preserve">Terreno Bodega La 40 Betania </t>
  </si>
  <si>
    <t xml:space="preserve">Bodega La 40 Betania </t>
  </si>
  <si>
    <t xml:space="preserve">Lote Terreno El Caiman Cb Farallones </t>
  </si>
  <si>
    <t xml:space="preserve">Edificio Central Beneficio Farallones </t>
  </si>
  <si>
    <t>Terreno Bodegas Bolivar Nueva (Feria</t>
  </si>
  <si>
    <t>Bodegas Bolivar Nueva (Feria</t>
  </si>
  <si>
    <t>Jardin</t>
  </si>
  <si>
    <t xml:space="preserve">Terreno Parazal Jardin </t>
  </si>
  <si>
    <t xml:space="preserve">Bodega Parazal Jardin </t>
  </si>
  <si>
    <t xml:space="preserve">Terreno La Tebaida Jardin </t>
  </si>
  <si>
    <t xml:space="preserve">Bodega La Tebaida Jardin </t>
  </si>
  <si>
    <t>Sistema Solar Fotovolaico Kwp (Paneles Solares</t>
  </si>
  <si>
    <t>Camión International Toe</t>
  </si>
  <si>
    <t>Toe-393</t>
  </si>
  <si>
    <t>Camión Chevrolet Blanco Toe</t>
  </si>
  <si>
    <t>Toe-535</t>
  </si>
  <si>
    <t xml:space="preserve">Maquinaria y equipo Edificio C.B. Chaparrala </t>
  </si>
  <si>
    <t xml:space="preserve">Maquinaria y equipoedificio Central Beneficio Farallones </t>
  </si>
  <si>
    <t>Total Disponible para la venta</t>
  </si>
  <si>
    <t xml:space="preserve">Terreno Bodega Pradera </t>
  </si>
  <si>
    <t>Garantía Fiduciaria</t>
  </si>
  <si>
    <t>Requieren el proceso de levantamiento de garantía (fiducia) para su respectiva publicación y venta</t>
  </si>
  <si>
    <t xml:space="preserve">Bodega Pradera </t>
  </si>
  <si>
    <t xml:space="preserve">Terreno Edificio Andes Edifi Del Cafe </t>
  </si>
  <si>
    <t>004 (1373-1374-1375-1376-1377)</t>
  </si>
  <si>
    <t xml:space="preserve">Remodelación Tienda Andes </t>
  </si>
  <si>
    <t>004(1373-1374-1375</t>
  </si>
  <si>
    <t xml:space="preserve">Edificio Andes </t>
  </si>
  <si>
    <t>004(1373-1374-1375-1376-1377)</t>
  </si>
  <si>
    <t xml:space="preserve">Edificio Lote Interior </t>
  </si>
  <si>
    <t>004-1376-1377</t>
  </si>
  <si>
    <t xml:space="preserve">Terreno Edificio Betania </t>
  </si>
  <si>
    <t>004-42281</t>
  </si>
  <si>
    <t xml:space="preserve">Edificio Betania </t>
  </si>
  <si>
    <t>Marquesinas Secado La Pradera</t>
  </si>
  <si>
    <t xml:space="preserve">Maquinaria Y Equipo Bodega Pradera </t>
  </si>
  <si>
    <t>Total Garantía Fiduciaria</t>
  </si>
  <si>
    <t>Año1</t>
  </si>
  <si>
    <t>Año2</t>
  </si>
  <si>
    <t>Año3</t>
  </si>
  <si>
    <t>Año4</t>
  </si>
  <si>
    <t>Año5</t>
  </si>
  <si>
    <t>Local</t>
  </si>
  <si>
    <t>Arrendatario</t>
  </si>
  <si>
    <t>Enero</t>
  </si>
  <si>
    <t>Febrero</t>
  </si>
  <si>
    <t>Marzo</t>
  </si>
  <si>
    <t>Abril</t>
  </si>
  <si>
    <t>Mayo</t>
  </si>
  <si>
    <t>Junio</t>
  </si>
  <si>
    <t>Julio</t>
  </si>
  <si>
    <t>Agosto</t>
  </si>
  <si>
    <t>Septiembre</t>
  </si>
  <si>
    <t>Octubre</t>
  </si>
  <si>
    <t>Noviembre</t>
  </si>
  <si>
    <t>Diciembre</t>
  </si>
  <si>
    <t>Edificio del Café Betania (Local Supermercado)</t>
  </si>
  <si>
    <t>Supermercado La Granja</t>
  </si>
  <si>
    <t>Edificio del Café Betania (Local Banco Agrario)</t>
  </si>
  <si>
    <t>Banco Agrario</t>
  </si>
  <si>
    <t>Edificio del Café Andes (Local Bancolombia)</t>
  </si>
  <si>
    <t>Bancolombia</t>
  </si>
  <si>
    <t>Edificio del Café Andes (Oficina Seguros)</t>
  </si>
  <si>
    <t>Asesorias integrales Fuerte Seguros</t>
  </si>
  <si>
    <t>Inmueble en Jardín (Casa Entrada Bodegas Fertilizantes)</t>
  </si>
  <si>
    <t>Ovidio Antonio Ramirez Acevedo</t>
  </si>
  <si>
    <t>Inmueble en Jardín (Casa Detrás Bodegas Fertilizantes)</t>
  </si>
  <si>
    <t>Luis Fernando Flores Castaño</t>
  </si>
  <si>
    <t>Edificio del Café Betania (Local Tienda)</t>
  </si>
  <si>
    <t>Eliana Escobar Palacio</t>
  </si>
  <si>
    <t>Edificio del Café Andes (Local Supermercado)</t>
  </si>
  <si>
    <t xml:space="preserve">Supermercado Dinastia </t>
  </si>
  <si>
    <t>Lote Terreno Trilladora</t>
  </si>
  <si>
    <t>Jose Maria Henao Osorio</t>
  </si>
  <si>
    <t>Almacen Hispania</t>
  </si>
  <si>
    <t>Ferreagro Hispania</t>
  </si>
  <si>
    <t>Lote Terreno Aledaño a Bodegas PSCC Jardin</t>
  </si>
  <si>
    <t>Edwin Montoya Acevedo</t>
  </si>
  <si>
    <t>Almacen Betania</t>
  </si>
  <si>
    <t>Todo Agro Suroeste</t>
  </si>
  <si>
    <t>Local Comercial Taparto (Almacen)</t>
  </si>
  <si>
    <t>Liliana Maria Franco Sossa</t>
  </si>
  <si>
    <t>Almacen Bolivar + Bodega Fertilizantes</t>
  </si>
  <si>
    <t>COMSAB</t>
  </si>
  <si>
    <t>Almacen Andes Principal + Bodega Fertilizantes</t>
  </si>
  <si>
    <t>Bodegas Fertilizantes Jardín</t>
  </si>
  <si>
    <t>Trilladora La Pradera</t>
  </si>
  <si>
    <t>AGROSURA SAS ZOMAC</t>
  </si>
  <si>
    <t>Tienda y Tostadora Jardín (Mobiliario - Equipos)</t>
  </si>
  <si>
    <t>Luis David Cruz Arango</t>
  </si>
  <si>
    <t>Vivienda Bolívar Nueva</t>
  </si>
  <si>
    <t>Henry Martínez Castro</t>
  </si>
  <si>
    <t>PSCC Jardín</t>
  </si>
  <si>
    <t>HELVETIA</t>
  </si>
  <si>
    <t>Marquesinas Trilladora La Pradera</t>
  </si>
  <si>
    <t>Báscula Bolivar Nueva</t>
  </si>
  <si>
    <t>Nuestro Aseo E.S.P.</t>
  </si>
  <si>
    <t>Vehículos TOE-393 y TOE-535</t>
  </si>
  <si>
    <t>Luis Felipe Restrepo Vasco</t>
  </si>
  <si>
    <t>Tienda del Café Andes</t>
  </si>
  <si>
    <t>Café de Mi Tierra Andes</t>
  </si>
  <si>
    <t>PSCC Andes Principal</t>
  </si>
  <si>
    <t>PSCC Andes Plaza</t>
  </si>
  <si>
    <t>PSCC Betania</t>
  </si>
  <si>
    <t>PSCC Ciudad Bolivar Principal</t>
  </si>
  <si>
    <t>TOTALES</t>
  </si>
  <si>
    <t>Total año 1</t>
  </si>
  <si>
    <t>Arrendado</t>
  </si>
  <si>
    <t>En comodato</t>
  </si>
  <si>
    <t>Arrendado servicio de báscula.</t>
  </si>
  <si>
    <t>Arrendado el almacén</t>
  </si>
  <si>
    <t>Arrendado punto de compra</t>
  </si>
  <si>
    <t>Arrendado el almacén, tienda y 3 locales</t>
  </si>
  <si>
    <t>Arrendado bodega y 2 casas</t>
  </si>
  <si>
    <t>2- Se debe de tener en cuenta la retención del 4% de los rendimientos financieros, las cuales disminuyen el valor del ingreso</t>
  </si>
  <si>
    <t>Aplica</t>
  </si>
  <si>
    <t>No aplica</t>
  </si>
  <si>
    <t>CDTS con recursos de venta de activos</t>
  </si>
  <si>
    <t>Venta de activos</t>
  </si>
  <si>
    <t>CDTs ya liquidados</t>
  </si>
  <si>
    <t>DAVIVIENDA</t>
  </si>
  <si>
    <t>CONFIAR</t>
  </si>
  <si>
    <t>31/10//2023</t>
  </si>
  <si>
    <t xml:space="preserve">BANCOLOMBIA FAIRTRADE 438000001-86  </t>
  </si>
  <si>
    <t>BANCOLOMBIA CTA AHORROS 1025-2572381</t>
  </si>
  <si>
    <t>CDTs Actuales que se renovarán</t>
  </si>
  <si>
    <t>DAVIVIENDA BID</t>
  </si>
  <si>
    <t>Escenario de liquidación</t>
  </si>
  <si>
    <t>Escenario de reactivación</t>
  </si>
  <si>
    <t>Valor ingreso</t>
  </si>
  <si>
    <t>Tasa %</t>
  </si>
  <si>
    <t>FECHA VENCIMIENTO</t>
  </si>
  <si>
    <t>FECHA EXPEDICION</t>
  </si>
  <si>
    <t>Ingreso CDTS actuales - Retención</t>
  </si>
  <si>
    <t>Ingreso CDTS actuales</t>
  </si>
  <si>
    <t>PLAZO EN DIAS</t>
  </si>
  <si>
    <t>TASA INTERES NOMINAL</t>
  </si>
  <si>
    <t>ENTIDAD</t>
  </si>
  <si>
    <t>Observaciones</t>
  </si>
  <si>
    <t>Trimestre 4  7,25%</t>
  </si>
  <si>
    <t>Trimestre 3  8,43%</t>
  </si>
  <si>
    <t>Trimestre 2   9,62%</t>
  </si>
  <si>
    <t>Trimestre I  10,80%</t>
  </si>
  <si>
    <t>Diferencia</t>
  </si>
  <si>
    <t>Variación</t>
  </si>
  <si>
    <t>IPC</t>
  </si>
  <si>
    <t>Prorrata desenglobe</t>
  </si>
  <si>
    <t>Nota situación actual</t>
  </si>
  <si>
    <t>Consideraciones</t>
  </si>
  <si>
    <t>El año 1 se calculó con base en los contratos de arrendamiento actuales y sus respectivas condiciones, sobre activos que pueden permanecer arrendados en situación de reactivación</t>
  </si>
  <si>
    <t>Costo de venta</t>
  </si>
  <si>
    <t>PROYECCIÓN INGRESOS POR VENTA DE ACTIVOS</t>
  </si>
  <si>
    <t>PROYECCIÓN INGRESOS POR ARRENDAMIENTOS</t>
  </si>
  <si>
    <t>PROYECCIÓN INGRESOS POR RENDIMIENTOS FINANCIEROS CDTs</t>
  </si>
  <si>
    <t>1- Al no realizarse un corte de ingresos de los rendimientos financieros para el cierre de 2023, para los CDTs constituidos en el 2023 con vencimiento en el 2024, todo el ingreso de estas inversiones se contabilizará en el nuevo periodo.</t>
  </si>
  <si>
    <t>3- Se incluyen rendimientos financieros sólo para el año 1, porque se estima, que se firme el acuerdo durante este año y también la reactivación, por lo cual el flujo de caja se requiere para el pago de acreedores y para iniciar la operación</t>
  </si>
  <si>
    <t>VENTAS 2023</t>
  </si>
  <si>
    <t>Costo de venta esperado</t>
  </si>
  <si>
    <t>% Variación estimado</t>
  </si>
  <si>
    <t>VENTAS ESPERADAS 2024</t>
  </si>
  <si>
    <t>VENTAS ESPERADAS 2025</t>
  </si>
  <si>
    <t>Saldo en inventario al inicio de año</t>
  </si>
  <si>
    <t>COOPERATIVA DE CAFICUL/ DE ANDES LTDA (CUADRE) - COOPERAN</t>
  </si>
  <si>
    <t>NIT: 890907638</t>
  </si>
  <si>
    <t>INFORME PROVISION GENERADA</t>
  </si>
  <si>
    <t>PERIODO: 2023  MES: 12</t>
  </si>
  <si>
    <t>ALIVIOS FINANCIEROS</t>
  </si>
  <si>
    <t>Tipo Id.</t>
  </si>
  <si>
    <t>Cedula</t>
  </si>
  <si>
    <t>Nombre</t>
  </si>
  <si>
    <t>Cuenta</t>
  </si>
  <si>
    <t>Reestructurado</t>
  </si>
  <si>
    <t>Número</t>
  </si>
  <si>
    <t>Fecha Desemb.</t>
  </si>
  <si>
    <t>Fecha Vencim.</t>
  </si>
  <si>
    <t>Dias Mora</t>
  </si>
  <si>
    <t>Saldo Capital</t>
  </si>
  <si>
    <t>Saldo Interés</t>
  </si>
  <si>
    <t>Vr. Garantia</t>
  </si>
  <si>
    <t>Fecha Avaluo</t>
  </si>
  <si>
    <t>Prov. Capital</t>
  </si>
  <si>
    <t>Prov. Interés</t>
  </si>
  <si>
    <t>Contingencia</t>
  </si>
  <si>
    <t>Garantia</t>
  </si>
  <si>
    <t>Categoría</t>
  </si>
  <si>
    <t>% Provisión</t>
  </si>
  <si>
    <t>Base Provisión</t>
  </si>
  <si>
    <t>Base Prov. Int.</t>
  </si>
  <si>
    <t>Aportes</t>
  </si>
  <si>
    <t>Cod. Crédito</t>
  </si>
  <si>
    <t>Cuenta Cr.</t>
  </si>
  <si>
    <t>Cta. Int. Debe</t>
  </si>
  <si>
    <t>Cta. Int. Cred</t>
  </si>
  <si>
    <t>Vr. Gar. Capital</t>
  </si>
  <si>
    <t>Vr. Gar. Interés</t>
  </si>
  <si>
    <t>Hipoteca</t>
  </si>
  <si>
    <t>Cta. Interés</t>
  </si>
  <si>
    <t>Días de mora más alto</t>
  </si>
  <si>
    <t>Estado</t>
  </si>
  <si>
    <t>% Pago</t>
  </si>
  <si>
    <t>Prueba capital</t>
  </si>
  <si>
    <t>Prueba alivios</t>
  </si>
  <si>
    <t>Saldo por provisionar</t>
  </si>
  <si>
    <t>C</t>
  </si>
  <si>
    <t xml:space="preserve">  /  /    </t>
  </si>
  <si>
    <t>E</t>
  </si>
  <si>
    <t>Mora &gt; 1080</t>
  </si>
  <si>
    <t>Mora 360 - 720</t>
  </si>
  <si>
    <t>Mayor 720 - 1080</t>
  </si>
  <si>
    <t>Mora 0 - 360</t>
  </si>
  <si>
    <t>D</t>
  </si>
  <si>
    <t>A</t>
  </si>
  <si>
    <t>Insolvencia</t>
  </si>
  <si>
    <t>N</t>
  </si>
  <si>
    <t>Concepto</t>
  </si>
  <si>
    <t>Probabilidad de pago</t>
  </si>
  <si>
    <t>Mora 0 -360 días</t>
  </si>
  <si>
    <t>Mora 360 - 720 días</t>
  </si>
  <si>
    <t>Mora 721 - 1080 días</t>
  </si>
  <si>
    <t>Mora &gt; 1080 días</t>
  </si>
  <si>
    <t>1- Se consideran alivios financieros, para los tres primeros años proyectados conforme los criterios estimados de recuperación de cartera de acuerdo con el vencimiento y la gestión  de recuperación</t>
  </si>
  <si>
    <t>Criterios de probabilidad de pago de acuerdo con el vencimiento y otros factores analizados</t>
  </si>
  <si>
    <t>Código cuenta contable</t>
  </si>
  <si>
    <t>Nombre cuenta contable</t>
  </si>
  <si>
    <t>Identificación</t>
  </si>
  <si>
    <t>Nombre tercero</t>
  </si>
  <si>
    <t>Otros honorarios</t>
  </si>
  <si>
    <t>1027890317</t>
  </si>
  <si>
    <t>ANDERSON CARDONA VELASQUEZ</t>
  </si>
  <si>
    <t>1037667463</t>
  </si>
  <si>
    <t>SANTIAGO VELEZ OSSA</t>
  </si>
  <si>
    <t>71230677</t>
  </si>
  <si>
    <t>JUAN GUILLERMO RIOS OLAYA</t>
  </si>
  <si>
    <t>71701932</t>
  </si>
  <si>
    <t>JOSE WILLIAM VALENCIA PEÑA</t>
  </si>
  <si>
    <t>42731367</t>
  </si>
  <si>
    <t>OLGA JANETH CASTAÑO VARGAS</t>
  </si>
  <si>
    <t>901454888</t>
  </si>
  <si>
    <t>FUNDACION PARA LA DIVERSIDAD SOCIAL Y EL ENTENDIMIENTO</t>
  </si>
  <si>
    <t>900991578</t>
  </si>
  <si>
    <t>CAMPO EMPRESARIAL S.A.S</t>
  </si>
  <si>
    <t>71269163</t>
  </si>
  <si>
    <t>JORGE MARIO CARDONA COLONIA</t>
  </si>
  <si>
    <t>1027888143</t>
  </si>
  <si>
    <t>JUAN CAMILO CANO MACHADO</t>
  </si>
  <si>
    <t>14441101</t>
  </si>
  <si>
    <t>ALMEIRO ARIZA</t>
  </si>
  <si>
    <t>1037626271</t>
  </si>
  <si>
    <t>LAURA VALERO ALVAREZ</t>
  </si>
  <si>
    <t>805024678</t>
  </si>
  <si>
    <t>CORPORACION PARA EL DESARROLLO EMPRESARIAL Y SOLIDARIO</t>
  </si>
  <si>
    <t>71645706</t>
  </si>
  <si>
    <t>LUIS JAVIER NARANJO LOTERO</t>
  </si>
  <si>
    <t>901688597</t>
  </si>
  <si>
    <t>LA JURIDICA SAS</t>
  </si>
  <si>
    <t>32256651</t>
  </si>
  <si>
    <t>MARIA PAULINA NARANJO VELASQUEZ</t>
  </si>
  <si>
    <t>Honorarios por avaluos</t>
  </si>
  <si>
    <t>71230502</t>
  </si>
  <si>
    <t>JOAQUIN FELIPE RODRIGUEZ RODRIGUEZ</t>
  </si>
  <si>
    <t>Cantidad de personas</t>
  </si>
  <si>
    <t>CRITERIOS</t>
  </si>
  <si>
    <t>Salario x cargo</t>
  </si>
  <si>
    <t>Total general mes</t>
  </si>
  <si>
    <t>PROYECCIÓN INGRESOS POR RECUPERACIÓN DE INVENTARIO ALMACENES</t>
  </si>
  <si>
    <t>PROYECCIÓN GASTOS POR ALIVIOS FINANCIEROS</t>
  </si>
  <si>
    <t>Total Empleado año 1</t>
  </si>
  <si>
    <t>PROYECCIÓN NÓMINA</t>
  </si>
  <si>
    <t>Mensual 2023</t>
  </si>
  <si>
    <t>Recuperación cartera</t>
  </si>
  <si>
    <t>Acompañamiento legal</t>
  </si>
  <si>
    <t>Defensa judicial</t>
  </si>
  <si>
    <t>Asesoría en la liquidación</t>
  </si>
  <si>
    <t>Avalúos</t>
  </si>
  <si>
    <t>OTROS PUNTUALES QUE PUEDAN REQUERIRSE</t>
  </si>
  <si>
    <t>OTROS PUNTUALES QUE PUEDAN REQUERIRSE DADA LA SITUACIÓN LEGAL DE LA COOPERATIVA</t>
  </si>
  <si>
    <t>Asesoría en asuntos contables y de procesos</t>
  </si>
  <si>
    <t>Otros asuntos que lo requieran</t>
  </si>
  <si>
    <t>Acompañamiento legal y defensa judicial</t>
  </si>
  <si>
    <t>1-  Se realiza partiendo de los honorarios cancelados por este concepto en el último trimestre 2023 más un rubro adicional que probablemente se requiera dada la situación legal actual de la Cooperativa</t>
  </si>
  <si>
    <t>1-  Se realiza partiendo de los honorarios cancelados por este concepto en el último trimestre 2023 más un rubro adicional que probablemente se requiera para diferentes asuntos como son seguridad y salud en el trabajo, comunicaciones, entre otros.</t>
  </si>
  <si>
    <t>PROYECCIÓN HONORARIOS JURÍDICOS</t>
  </si>
  <si>
    <t>PROYECCIÓN OTROS HONORARIOS</t>
  </si>
  <si>
    <t>PROYECCIÓN PÓLIZAS DE SEGUROS TOTAL CONSOLIDADO</t>
  </si>
  <si>
    <t>PÓLIZA MULTIRIESGO 1600053 - CÁLCULOS</t>
  </si>
  <si>
    <t>Proyección póliza multiriesgo</t>
  </si>
  <si>
    <t>Dirección</t>
  </si>
  <si>
    <t>Riesgo</t>
  </si>
  <si>
    <t>Ciudad</t>
  </si>
  <si>
    <t>Edificios</t>
  </si>
  <si>
    <t>Maquinaria y Equipo</t>
  </si>
  <si>
    <t>Equipo Electrónico</t>
  </si>
  <si>
    <t>Otros Bienes</t>
  </si>
  <si>
    <t>Total Asegurado</t>
  </si>
  <si>
    <t>Total del riesgo</t>
  </si>
  <si>
    <t>CALLE 20 #21-12</t>
  </si>
  <si>
    <t>CARRERA 19 #19-50</t>
  </si>
  <si>
    <t>CALLE 21 #15-47</t>
  </si>
  <si>
    <t>CARRERA 6 #1-108</t>
  </si>
  <si>
    <t>VEREDA LA ARBOLEDA CORREG. FARALLONES</t>
  </si>
  <si>
    <t>CORREGIMIENTO SAN GREGORIO</t>
  </si>
  <si>
    <t>CARRERA 47 #48-11</t>
  </si>
  <si>
    <t>CALLE 49 #38-19</t>
  </si>
  <si>
    <t>CARRERA 50 #49A-52</t>
  </si>
  <si>
    <t>CARRERA 50 #47-48</t>
  </si>
  <si>
    <t>CALLE 51 #49-52</t>
  </si>
  <si>
    <t>CORREGIMIENTO SANTA RITA</t>
  </si>
  <si>
    <t>CORREGIMIENTO BUENOS AIRES</t>
  </si>
  <si>
    <t>DIAGONAL 53 #50-03</t>
  </si>
  <si>
    <t>CENTRAL DE BENEFICIO LA CHAPARRALA</t>
  </si>
  <si>
    <t>CARRERA 52 #49-52</t>
  </si>
  <si>
    <t>PÓLIZA AUTOMÓVILES 40005495790 - CÁLCULOS</t>
  </si>
  <si>
    <t>Proyección póliza automóviles</t>
  </si>
  <si>
    <t>Vehículos Asegurados</t>
  </si>
  <si>
    <t>Valor Asegurado</t>
  </si>
  <si>
    <t>DSX-152</t>
  </si>
  <si>
    <t>TOE-393</t>
  </si>
  <si>
    <t>TOE-535</t>
  </si>
  <si>
    <t>RCE PLO - responsabiliad civil por daños a terceros - cálculos</t>
  </si>
  <si>
    <t>Proyección póliza responsabilidad civil por daños a terceros</t>
  </si>
  <si>
    <t>RC DIRECTORES Y ADMINISTRADORES - CÁLCULOS</t>
  </si>
  <si>
    <t>Proyección póliza directores y administradores</t>
  </si>
  <si>
    <t>SOAT Vehiculos - cálculos</t>
  </si>
  <si>
    <t>Proyección SOAT vehículos</t>
  </si>
  <si>
    <t>Vehiculo</t>
  </si>
  <si>
    <t>CAMIONETA DSX152</t>
  </si>
  <si>
    <t>CAMION TOE535</t>
  </si>
  <si>
    <t>CAMION TOE393</t>
  </si>
  <si>
    <t>ARREENDAMIENTOS</t>
  </si>
  <si>
    <t>Total presupuesto</t>
  </si>
  <si>
    <t xml:space="preserve">Arrendamientos </t>
  </si>
  <si>
    <t>Pscc Plazuela</t>
  </si>
  <si>
    <t>ASEO Y CAFETERIA</t>
  </si>
  <si>
    <t>Asignación</t>
  </si>
  <si>
    <t>Nº documento</t>
  </si>
  <si>
    <t>Clase de documento</t>
  </si>
  <si>
    <t>Fe.contabilización</t>
  </si>
  <si>
    <t>Importe en moneda local</t>
  </si>
  <si>
    <t>Centro de coste</t>
  </si>
  <si>
    <t>Texto</t>
  </si>
  <si>
    <t>WE</t>
  </si>
  <si>
    <t xml:space="preserve">Aseo y cafeteria </t>
  </si>
  <si>
    <t/>
  </si>
  <si>
    <t>INGRESA LILIANA M</t>
  </si>
  <si>
    <t>SERV.VIGILANCIA</t>
  </si>
  <si>
    <t>la chaparrala factura dm299 remision 372618 toe535</t>
  </si>
  <si>
    <t>SERV.DE ASEO</t>
  </si>
  <si>
    <t>Reconocimiento gastos varios oficina Med</t>
  </si>
  <si>
    <t>Reconocimiento gastos varios oficina med</t>
  </si>
  <si>
    <t>Reconocimiento gastos varios -aseo ofici</t>
  </si>
  <si>
    <t>PROYECCIÓN GASTOS POR ARRENDAMIENTO</t>
  </si>
  <si>
    <t>PROYECCIÓN GASTOS POR ASEO Y CAFETERÍA</t>
  </si>
  <si>
    <t>1-  Se realiza partiendo de las pólizas actuales</t>
  </si>
  <si>
    <t>Pscc San José</t>
  </si>
  <si>
    <t>Pscc Santa Inés</t>
  </si>
  <si>
    <t xml:space="preserve">Se realiza partiendo de datos históricos </t>
  </si>
  <si>
    <t>Vehículo</t>
  </si>
  <si>
    <t>DSX-152  (Camioneta DMAX)</t>
  </si>
  <si>
    <t>Combustible (Diesel)</t>
  </si>
  <si>
    <t>Otros Vehículos (Para Actividades Propias de la Labor de Cooperativa)</t>
  </si>
  <si>
    <t>Combustible (Gasolina y/o Diesel)</t>
  </si>
  <si>
    <t>PROYECCIÓN COMBUSTIBLE</t>
  </si>
  <si>
    <t>Se realiza partiendo de los consumos actuales y que el transporte cuando la Cooperativa esté en operación será mediante fletes.</t>
  </si>
  <si>
    <t xml:space="preserve">Gastos de viaje por alojamiento y transporte </t>
  </si>
  <si>
    <t>Movimiento auxiliar x cuenta contable</t>
  </si>
  <si>
    <t>Código contable</t>
  </si>
  <si>
    <t>Cuenta contable</t>
  </si>
  <si>
    <t>Comprobante</t>
  </si>
  <si>
    <t>Fecha elaboración</t>
  </si>
  <si>
    <t>Nombre del tercero</t>
  </si>
  <si>
    <t>Detalle</t>
  </si>
  <si>
    <t>Saldo inicial</t>
  </si>
  <si>
    <t>Débito</t>
  </si>
  <si>
    <t>Crédito</t>
  </si>
  <si>
    <t>Saldo Movimiento</t>
  </si>
  <si>
    <t>Saldo total cuenta</t>
  </si>
  <si>
    <t>Cuenta contable: 5110270101Gastos de viajes por alojamiento y manutencion</t>
  </si>
  <si>
    <t>5110270101</t>
  </si>
  <si>
    <t>Gastos de viajes por alojamiento y manutencion</t>
  </si>
  <si>
    <t>DS-1-191</t>
  </si>
  <si>
    <t>14/02/2023</t>
  </si>
  <si>
    <t>72248527</t>
  </si>
  <si>
    <t>EDWIN JESUS MOSQUERA BARRAZA</t>
  </si>
  <si>
    <t>Gastos de viajes por gestion vente de inmueble poblado medellin</t>
  </si>
  <si>
    <t>FC-1-220</t>
  </si>
  <si>
    <t>17/02/2023</t>
  </si>
  <si>
    <t>901288863</t>
  </si>
  <si>
    <t>HOTELES DE LA RECOLECTA S.A.S</t>
  </si>
  <si>
    <t>Gastos de viajes alojamiento Bogota</t>
  </si>
  <si>
    <t>ND-2-2</t>
  </si>
  <si>
    <t>DS-1-206</t>
  </si>
  <si>
    <t>23/02/2023</t>
  </si>
  <si>
    <t>FC-1-269</t>
  </si>
  <si>
    <t>03/03/2023</t>
  </si>
  <si>
    <t>900689203</t>
  </si>
  <si>
    <t>JUDAMA S.A.S</t>
  </si>
  <si>
    <t>Alojamiento Uriel Fernande contralor</t>
  </si>
  <si>
    <t>CC-14-3252</t>
  </si>
  <si>
    <t>31/03/2023</t>
  </si>
  <si>
    <t>77160679</t>
  </si>
  <si>
    <t>URIEL JOSE FERNANDEZ CALDERON</t>
  </si>
  <si>
    <t>Gastos de viajes por alojamiento y manutención</t>
  </si>
  <si>
    <t>FC-1-344</t>
  </si>
  <si>
    <t>70412468</t>
  </si>
  <si>
    <t>ADRIANO PUERTA  VIANA</t>
  </si>
  <si>
    <t>Servicio de comedor Casa Santa Ana Hispania 10-03-2023</t>
  </si>
  <si>
    <t>CC-14-3257</t>
  </si>
  <si>
    <t>CC-14-3255</t>
  </si>
  <si>
    <t>DS-1-251</t>
  </si>
  <si>
    <t>03/04/2023</t>
  </si>
  <si>
    <t>1027888498</t>
  </si>
  <si>
    <t>CRISTIAN RESTREPO TORRES</t>
  </si>
  <si>
    <t>Gastos de viajes por alojamiento y manutención viaje a Bogotá Reunión accionistas Expocafé</t>
  </si>
  <si>
    <t>FC-1-406</t>
  </si>
  <si>
    <t>21/04/2023</t>
  </si>
  <si>
    <t>Gastos de viajes por alojamiento y manutención contralor Uriel Fernandez</t>
  </si>
  <si>
    <t>FC-1-421</t>
  </si>
  <si>
    <t>901557775</t>
  </si>
  <si>
    <t>RESTAURANTE Y CAFETERIA EL CHAPARRA</t>
  </si>
  <si>
    <t>Desayuno contralor Uriel Fernandez</t>
  </si>
  <si>
    <t>FC-1-426</t>
  </si>
  <si>
    <t>891408584</t>
  </si>
  <si>
    <t>FRISBY S.A</t>
  </si>
  <si>
    <t>Gastos de viajes por alojamiento y manutención almuerzo Cristian</t>
  </si>
  <si>
    <t>FC-1-455</t>
  </si>
  <si>
    <t>05/05/2023</t>
  </si>
  <si>
    <t>890304099</t>
  </si>
  <si>
    <t>HOTELES ESTELAR S.A.</t>
  </si>
  <si>
    <t>FC-1-460</t>
  </si>
  <si>
    <t>1027740928</t>
  </si>
  <si>
    <t>JACOBO TORO MARTELO</t>
  </si>
  <si>
    <t>Reunión Bancolombia</t>
  </si>
  <si>
    <t>FC-1-466</t>
  </si>
  <si>
    <t>860076919</t>
  </si>
  <si>
    <t>CREEPES Y WAFFLES S.A.</t>
  </si>
  <si>
    <t>atención contralor</t>
  </si>
  <si>
    <t>FC-1-467</t>
  </si>
  <si>
    <t>visita super intendencia</t>
  </si>
  <si>
    <t>DS-1-305</t>
  </si>
  <si>
    <t>11/05/2023</t>
  </si>
  <si>
    <t>Atención abogado asesor</t>
  </si>
  <si>
    <t>FC-1-499</t>
  </si>
  <si>
    <t>DS-1-339</t>
  </si>
  <si>
    <t>27/05/2023</t>
  </si>
  <si>
    <t>900238288</t>
  </si>
  <si>
    <t>sandios sas</t>
  </si>
  <si>
    <t>FC-1-529</t>
  </si>
  <si>
    <t>800180330</t>
  </si>
  <si>
    <t>COMPAÑIA DE ALIMENTOS COLOMBIANOS CALCO S.A.</t>
  </si>
  <si>
    <t>DS-1-366</t>
  </si>
  <si>
    <t>08/06/2023</t>
  </si>
  <si>
    <t>DS-1-380</t>
  </si>
  <si>
    <t>16/06/2023</t>
  </si>
  <si>
    <t>Gastos de viajes y representación</t>
  </si>
  <si>
    <t>CC-14-3687</t>
  </si>
  <si>
    <t>30/06/2023</t>
  </si>
  <si>
    <t>FC-1-683</t>
  </si>
  <si>
    <t>14/07/2023</t>
  </si>
  <si>
    <t>CC-14-3728</t>
  </si>
  <si>
    <t>DS-1-448</t>
  </si>
  <si>
    <t>26/07/2023</t>
  </si>
  <si>
    <t>DS-1-455</t>
  </si>
  <si>
    <t>ND-3-23</t>
  </si>
  <si>
    <t>ND-3-30</t>
  </si>
  <si>
    <t>FC-1-765</t>
  </si>
  <si>
    <t>10/08/2023</t>
  </si>
  <si>
    <t>FC-1-773</t>
  </si>
  <si>
    <t>11/08/2023</t>
  </si>
  <si>
    <t>98765957</t>
  </si>
  <si>
    <t>JUAN DAVID MARIN MARIN</t>
  </si>
  <si>
    <t>Alojamiento señoras contraloría y superintendencia</t>
  </si>
  <si>
    <t>FC-1-811</t>
  </si>
  <si>
    <t>19/08/2023</t>
  </si>
  <si>
    <t>FC-1-826</t>
  </si>
  <si>
    <t>26/08/2023</t>
  </si>
  <si>
    <t>71378727</t>
  </si>
  <si>
    <t>HOTEL PORTON SABANETA</t>
  </si>
  <si>
    <t>Alojamiento por 1 noche para 1 huésped  Fecha de
ingreso: 23/08/2023</t>
  </si>
  <si>
    <t>FC-1-827</t>
  </si>
  <si>
    <t>901498894</t>
  </si>
  <si>
    <t>HOTEL SABANETA MEDELLIN S.A.S</t>
  </si>
  <si>
    <t>Alojamiento / Paquete turístico</t>
  </si>
  <si>
    <t>FC-1-849</t>
  </si>
  <si>
    <t>01/09/2023</t>
  </si>
  <si>
    <t>FC-1-920</t>
  </si>
  <si>
    <t>19/09/2023</t>
  </si>
  <si>
    <t>FC-1-943</t>
  </si>
  <si>
    <t>25/09/2023</t>
  </si>
  <si>
    <t>42794859</t>
  </si>
  <si>
    <t>MARGARITA MARIA LOPEZ MESA</t>
  </si>
  <si>
    <t>Alojamiento Camilo Cano</t>
  </si>
  <si>
    <t>FC-1-1005</t>
  </si>
  <si>
    <t>30/09/2023</t>
  </si>
  <si>
    <t>811031140</t>
  </si>
  <si>
    <t>POBLADO HOTELES S.A</t>
  </si>
  <si>
    <t>Alojamiento del Señor Almeiro Areiza-Asesor de liquidación</t>
  </si>
  <si>
    <t>FC-1-983</t>
  </si>
  <si>
    <t>Gastos de viajes por alojamiento y manutencion-Dr William</t>
  </si>
  <si>
    <t>DS-1-638</t>
  </si>
  <si>
    <t>17/11/2023</t>
  </si>
  <si>
    <t>Gastos de viajes por alojamiento y manutencion-abogada Laura Valero Alvarez.</t>
  </si>
  <si>
    <t>FC-1-1132</t>
  </si>
  <si>
    <t>Gastos de viajes por alojamiento y manutencion-LA JURIDICA</t>
  </si>
  <si>
    <t>FC-1-1167</t>
  </si>
  <si>
    <t>30/11/2023</t>
  </si>
  <si>
    <t>Servicio de Alojamiento por 3 noches (26, 27 y 28 de noviembre de 2023)Doctor Almeiro</t>
  </si>
  <si>
    <t>FC-1-1268</t>
  </si>
  <si>
    <t>29/12/2023</t>
  </si>
  <si>
    <t>Reconocimiento gastos varios Contralora - Supersolidaria para evento de posesión el 01 de septiembre de 2023 (Tiquetes aéreos, transporte hacia y desde aeropuertos, alimentación).</t>
  </si>
  <si>
    <t>FC-1-1270</t>
  </si>
  <si>
    <t>Reconocimiento gastos varios visita Contralora Superintendencia el 23 de septiembre de 2023 (Tiquetes aéreos, transporte hacia y desde los aeropuertos).</t>
  </si>
  <si>
    <t>FC-1-1284</t>
  </si>
  <si>
    <t>Servicio de alojamiento en el Hotel San Juan una noche el 27 de diciembre de 2023. Visita de Asesores.</t>
  </si>
  <si>
    <t>Cuenta contable: 5110270102Gastos de viaje por transporte aereo</t>
  </si>
  <si>
    <t>5110270102</t>
  </si>
  <si>
    <t>Gastos de viaje por transporte aereo</t>
  </si>
  <si>
    <t>FC-1-202</t>
  </si>
  <si>
    <t>09/02/2023</t>
  </si>
  <si>
    <t>900474794</t>
  </si>
  <si>
    <t>PRICE RES SAS</t>
  </si>
  <si>
    <t>Gastos de viaje por transporte aereo contralo Uriel Baq-Med-Baq</t>
  </si>
  <si>
    <t>DS-1-208</t>
  </si>
  <si>
    <t>24/02/2023</t>
  </si>
  <si>
    <t>Gastos de viaje por transporte aéreo contralor Uriel</t>
  </si>
  <si>
    <t>FC-1-245</t>
  </si>
  <si>
    <t>900689649</t>
  </si>
  <si>
    <t>VIAJES ELITE TOUR SAS</t>
  </si>
  <si>
    <t>Gastos de viaje por transporte aéreo, Bogotá, Reunión superintendencia</t>
  </si>
  <si>
    <t>FC-1-338</t>
  </si>
  <si>
    <t>FC-1-355</t>
  </si>
  <si>
    <t>890100577</t>
  </si>
  <si>
    <t>AEROVIAS DEL CONTINENTE AMERICANO S.A - AVIANCA</t>
  </si>
  <si>
    <t>TIQUETE MEDELLIN-BOGOTA</t>
  </si>
  <si>
    <t>FC-1-356</t>
  </si>
  <si>
    <t>TIQUETE BOGOTA -MEDELLIN</t>
  </si>
  <si>
    <t>FC-1-339</t>
  </si>
  <si>
    <t>Gastos de viaje Contralor Uriel</t>
  </si>
  <si>
    <t>FC-1-342</t>
  </si>
  <si>
    <t>FC-1-433</t>
  </si>
  <si>
    <t>28/04/2023</t>
  </si>
  <si>
    <t>Gastos de viaje por transporte aéreo Medellín-Bogotá-Medellín</t>
  </si>
  <si>
    <t>Gastos de viaje por transporte aéreo Barranquilla-Bogotá</t>
  </si>
  <si>
    <t>Gastos de viaje por transporte aéreo Bogotá-Barranquilla</t>
  </si>
  <si>
    <t>Gastos de viaje por transporte aéreo Asignación de sillas</t>
  </si>
  <si>
    <t>Gastos de viaje por transporte aéreo Tasa Aeroportuaria Medellín-Rionegro</t>
  </si>
  <si>
    <t>Gastos de viaje por transporte aéreo Tasa aeroportuaria Barranquilla</t>
  </si>
  <si>
    <t>Gastos de viaje por transporte aéreo Tasa aeroportuaria Bogotá</t>
  </si>
  <si>
    <t>Gastos de viaje por transporte aéreo Resolución Aeronáutica civil</t>
  </si>
  <si>
    <t>FC-1-456</t>
  </si>
  <si>
    <t>Gastos de viaje por transporte aéreo Bogotá -Medellin</t>
  </si>
  <si>
    <t>FC-1-457</t>
  </si>
  <si>
    <t>Gastos de viaje por transporte aéreo Medellin-Bogota-Medellin</t>
  </si>
  <si>
    <t>Gastos de viaje por transporte aéreo Res Aeronáutica</t>
  </si>
  <si>
    <t>Gastos de viaje por transporte aéreo Medellin-Bogotá</t>
  </si>
  <si>
    <t>Gastos de viaje por transporte aéreo Tasa Aeroportuaria Rionegro</t>
  </si>
  <si>
    <t>Gastos de viaje por transporte aéreo tasa Aeroportuaria Bogotá</t>
  </si>
  <si>
    <t>Gastos de viaje por transporte aéreo Tasa Aeroportuaria Medellin</t>
  </si>
  <si>
    <t>Gastos de viaje por transporte aéreo ingresos recibidos para terceros</t>
  </si>
  <si>
    <t>FC-1-565</t>
  </si>
  <si>
    <t>02/06/2023</t>
  </si>
  <si>
    <t>TIQUETES BARRANQUILLA -MEDELLIN-BARANQUILLA</t>
  </si>
  <si>
    <t>FC-1-616</t>
  </si>
  <si>
    <t>Gastos de viaje por transporte aéreo Medellín- Bogotá- Medellin</t>
  </si>
  <si>
    <t>Gastos de viaje por transporte aéreo Medellín- Bogotá- Medellin
asignación de silla</t>
  </si>
  <si>
    <t>Gastos de viaje por transporte aéreo Medellín- Bogotá- Medellin
tasa aeroportuaria medellin</t>
  </si>
  <si>
    <t>Gastos de viaje por transporte aéreo Medellín- Bogotá- Medellin 
tasa aeroportuaria Bogota</t>
  </si>
  <si>
    <t>Gastos de viaje por transporte aéreo 
ingreso propio</t>
  </si>
  <si>
    <t>FC-1-802</t>
  </si>
  <si>
    <t>18/08/2023</t>
  </si>
  <si>
    <t>Gastos de viaje por transporte aéreo Medellin-cali</t>
  </si>
  <si>
    <t>FC-1-803</t>
  </si>
  <si>
    <t>9006166521</t>
  </si>
  <si>
    <t>Safetypay Colombia S A S</t>
  </si>
  <si>
    <t>Gastos de viaje por transporte aereo cali-medellin</t>
  </si>
  <si>
    <t>FC-1-819</t>
  </si>
  <si>
    <t>24/08/2023</t>
  </si>
  <si>
    <t>transporte aéreo Cali-Medellin</t>
  </si>
  <si>
    <t>transporte aéreo Medellin-Bogotá</t>
  </si>
  <si>
    <t>tasa aeroportuaria cali</t>
  </si>
  <si>
    <t>tasa aeroportuaria Medellin-Rionegro</t>
  </si>
  <si>
    <t>ingreso propio</t>
  </si>
  <si>
    <t>FC-1-820</t>
  </si>
  <si>
    <t>25/08/2023</t>
  </si>
  <si>
    <t>tasa aeroportuaria Bogota</t>
  </si>
  <si>
    <t>Ingreso propio</t>
  </si>
  <si>
    <t>FC-1-847</t>
  </si>
  <si>
    <t>Gastos de viaje por transporte aéreo Uriel Fernandez Barranquilla-Medellin-Barranquilla</t>
  </si>
  <si>
    <t>tasa aeroportuaria</t>
  </si>
  <si>
    <t>tarifa administrativa</t>
  </si>
  <si>
    <t>FC-1-899</t>
  </si>
  <si>
    <t>14/09/2023</t>
  </si>
  <si>
    <t>Gastos de viaje por transporte aéreo, Medelín-Bogotá</t>
  </si>
  <si>
    <t>FC-1-950</t>
  </si>
  <si>
    <t>FC-1-1152</t>
  </si>
  <si>
    <t>24/11/2023</t>
  </si>
  <si>
    <t>Servicio de Transporte Aéreo (Cali - Medellín - Cali) Doctor Almeiro ArizA</t>
  </si>
  <si>
    <t>FC-1-1156</t>
  </si>
  <si>
    <t>FC-1-1171</t>
  </si>
  <si>
    <t>Compra tiquetes aéreos Cali - Medellín - Cali para el Doctor Almeiro Ariza,</t>
  </si>
  <si>
    <t>FC-1-1219</t>
  </si>
  <si>
    <t>15/12/2023</t>
  </si>
  <si>
    <t>Tiquetes transporte aéreo Medellín - Bogotá - Medellín para asistencia del Doctor William Valencia a la Comisión Cuarta del Senado de la República.</t>
  </si>
  <si>
    <t>Cuenta contable: 5110270103Gastos de viaje por transporte terrestre</t>
  </si>
  <si>
    <t>5110270103</t>
  </si>
  <si>
    <t>Gastos de viaje por transporte terrestre</t>
  </si>
  <si>
    <t>FC-1-143</t>
  </si>
  <si>
    <t>06/01/2023</t>
  </si>
  <si>
    <t>DS-1-198</t>
  </si>
  <si>
    <t>1027880372</t>
  </si>
  <si>
    <t>LUZ MARIA POSADA RESTREPO</t>
  </si>
  <si>
    <t>Gastos de viaje por transporte terrestre, luz maria reunion de acreedores</t>
  </si>
  <si>
    <t>DS-1-200</t>
  </si>
  <si>
    <t>Gastos de viaje venta de oficina poblado Medellin</t>
  </si>
  <si>
    <t>FC-1-214</t>
  </si>
  <si>
    <t>830054539</t>
  </si>
  <si>
    <t>PATRIMONIOS AUTONOMOS FIDUCIARA BANCOLOMBIA SA SOCIEDAD FIDUCIARIA</t>
  </si>
  <si>
    <t>peaje medellin-andes</t>
  </si>
  <si>
    <t>DS-1-210</t>
  </si>
  <si>
    <t>Gastos de viaje por transporte terrestre reunion acreedores</t>
  </si>
  <si>
    <t>FC-1-247</t>
  </si>
  <si>
    <t>900744773</t>
  </si>
  <si>
    <t>CONCESIONARIA VIAL DEL PACIFICO SAS</t>
  </si>
  <si>
    <t>peaje amaga reunion acreedores</t>
  </si>
  <si>
    <t>FC-1-263</t>
  </si>
  <si>
    <t>peaje copacabana</t>
  </si>
  <si>
    <t>FC-1-264</t>
  </si>
  <si>
    <t>830055897</t>
  </si>
  <si>
    <t>PATRIMONIOS AUTONOMOS FIDUCIARIA BOGOTA S.A</t>
  </si>
  <si>
    <t>peaje túnel de aburra</t>
  </si>
  <si>
    <t>FC-1-265</t>
  </si>
  <si>
    <t>FC-1-266</t>
  </si>
  <si>
    <t>900310074</t>
  </si>
  <si>
    <t>ANTIOQUEÑA DE COMBUSTIBLES S.A.S.</t>
  </si>
  <si>
    <t>combustible dsx152</t>
  </si>
  <si>
    <t>FC-1-267</t>
  </si>
  <si>
    <t>FC-1-268</t>
  </si>
  <si>
    <t>almuerzos Uriel Contralor</t>
  </si>
  <si>
    <t>FC-1-271</t>
  </si>
  <si>
    <t>04/03/2023</t>
  </si>
  <si>
    <t>ida a medellin reparacion dsx152</t>
  </si>
  <si>
    <t>FC-1-272</t>
  </si>
  <si>
    <t>901245257</t>
  </si>
  <si>
    <t>HERLIMA SAS</t>
  </si>
  <si>
    <t>combustible DSX152</t>
  </si>
  <si>
    <t>FC-1-301</t>
  </si>
  <si>
    <t>14/03/2023</t>
  </si>
  <si>
    <t>FC-1-304</t>
  </si>
  <si>
    <t>DS-1-246</t>
  </si>
  <si>
    <t>18/03/2023</t>
  </si>
  <si>
    <t>Gastos de viaje reuniones informativas</t>
  </si>
  <si>
    <t>FC-1-313</t>
  </si>
  <si>
    <t>FC-1-331</t>
  </si>
  <si>
    <t>30/03/2023</t>
  </si>
  <si>
    <t>Peaje amagá 30-03-2023</t>
  </si>
  <si>
    <t>FC-1-334</t>
  </si>
  <si>
    <t>Peaje túnel Aburrá Oriente 21-02-2023</t>
  </si>
  <si>
    <t>FC-1-335</t>
  </si>
  <si>
    <t>Peaje Copacabana 28-02-2023</t>
  </si>
  <si>
    <t>FC-1-336</t>
  </si>
  <si>
    <t>900205407</t>
  </si>
  <si>
    <t>SOCIEDAD OPERADORA DE AEROPUERTOS CENTRO NORTE S.A.S</t>
  </si>
  <si>
    <t>Parqueadero 21-02-2023</t>
  </si>
  <si>
    <t>Peaje Amagá 18-03-2023</t>
  </si>
  <si>
    <t>peaje Amagá 12-03-2023</t>
  </si>
  <si>
    <t>peaje Amagá 19-02-2023</t>
  </si>
  <si>
    <t>Peaje amagá 24-02-2023</t>
  </si>
  <si>
    <t>Peaje Amagá 26-02-2023</t>
  </si>
  <si>
    <t>FC-1-341</t>
  </si>
  <si>
    <t>890933320</t>
  </si>
  <si>
    <t>COOPERATIVA INTEGRAL DE JARDIN LTDA</t>
  </si>
  <si>
    <t>Compra de combustible 25-02-2023</t>
  </si>
  <si>
    <t>FC-1-343</t>
  </si>
  <si>
    <t>Compra de combustible 19-03-2023</t>
  </si>
  <si>
    <t>FC-1-345</t>
  </si>
  <si>
    <t>Peaje Amagá 20-03-2023</t>
  </si>
  <si>
    <t>FC-1-346</t>
  </si>
  <si>
    <t>Peaje Túnel Aburrá Oriente 15-03-2023</t>
  </si>
  <si>
    <t>FC-1-347</t>
  </si>
  <si>
    <t>Peaje Copacabana 21-03-2023</t>
  </si>
  <si>
    <t>FC-1-349</t>
  </si>
  <si>
    <t>811009788</t>
  </si>
  <si>
    <t>DISTRACOM SA</t>
  </si>
  <si>
    <t>Gastos de viaje por transporte terrestre Cristian Restrepo</t>
  </si>
  <si>
    <t>FC-1-350</t>
  </si>
  <si>
    <t>Peaje Amagá</t>
  </si>
  <si>
    <t>FC-1-351</t>
  </si>
  <si>
    <t>FC-1-352</t>
  </si>
  <si>
    <t>FC-1-353</t>
  </si>
  <si>
    <t>combustible</t>
  </si>
  <si>
    <t>FC-1-354</t>
  </si>
  <si>
    <t>FC-1-337</t>
  </si>
  <si>
    <t>900635616</t>
  </si>
  <si>
    <t>INVERSIONES COMERCIALES B&amp;O S.A.S.</t>
  </si>
  <si>
    <t>Compra de combustible</t>
  </si>
  <si>
    <t>FC-1-340</t>
  </si>
  <si>
    <t>Peaje Pintada 18-03-2023</t>
  </si>
  <si>
    <t>Peaje Amagá 14-03-2023</t>
  </si>
  <si>
    <t>DS-1-260</t>
  </si>
  <si>
    <t>10/04/2023</t>
  </si>
  <si>
    <t>Gastos de viaje por transporte terrestre tramite en Gomez Pineda</t>
  </si>
  <si>
    <t>FC-1-424</t>
  </si>
  <si>
    <t>FC-1-425</t>
  </si>
  <si>
    <t>FC-1-434</t>
  </si>
  <si>
    <t>Gastos de viaje por transporte terrestre peaje amaga</t>
  </si>
  <si>
    <t>FC-1-435</t>
  </si>
  <si>
    <t>Gastos de viaje por transporte terrestre peaje copacabana</t>
  </si>
  <si>
    <t>FC-1-436</t>
  </si>
  <si>
    <t>Gastos de viaje por transporte terrestre peaje túnel aburra</t>
  </si>
  <si>
    <t>Gastos de viaje por transporte terrestre peaje</t>
  </si>
  <si>
    <t>FC-1-452</t>
  </si>
  <si>
    <t>29/04/2023</t>
  </si>
  <si>
    <t>FC-1-462</t>
  </si>
  <si>
    <t>PEAJE AMAGÁ</t>
  </si>
  <si>
    <t>FC-1-463</t>
  </si>
  <si>
    <t>890907106</t>
  </si>
  <si>
    <t>MUNICIPIO DE ENVIGADO</t>
  </si>
  <si>
    <t>DS-1-307</t>
  </si>
  <si>
    <t>13/05/2023</t>
  </si>
  <si>
    <t>Compra de combustible vehiculo placa FXS049</t>
  </si>
  <si>
    <t>DS-1-308</t>
  </si>
  <si>
    <t>Compra combustible vehiculo placa DXS152</t>
  </si>
  <si>
    <t>DS-1-309</t>
  </si>
  <si>
    <t>Compra combustible vehículo placa FXS049</t>
  </si>
  <si>
    <t>DS-1-310</t>
  </si>
  <si>
    <t>890940326</t>
  </si>
  <si>
    <t>ESTACION DE SERVICIO ANDES S.A.S</t>
  </si>
  <si>
    <t>DS-1-311</t>
  </si>
  <si>
    <t>Gastos de viaje por transporte terrestre y lavado de vehiculo placa DSX152</t>
  </si>
  <si>
    <t>ND-2-7</t>
  </si>
  <si>
    <t>DS-1-312</t>
  </si>
  <si>
    <t>15/05/2023</t>
  </si>
  <si>
    <t>DS-1-313</t>
  </si>
  <si>
    <t>Peaje túnel de oriente</t>
  </si>
  <si>
    <t>DS-1-314</t>
  </si>
  <si>
    <t>DS-1-320</t>
  </si>
  <si>
    <t>Peaje Amagé</t>
  </si>
  <si>
    <t>DS-1-334</t>
  </si>
  <si>
    <t>20/05/2023</t>
  </si>
  <si>
    <t>Compra combustible vehículo placa VSR66D</t>
  </si>
  <si>
    <t>FC-1-528</t>
  </si>
  <si>
    <t>FC-1-579</t>
  </si>
  <si>
    <t>FC-1-610</t>
  </si>
  <si>
    <t>FC-1-613</t>
  </si>
  <si>
    <t>FC-1-615</t>
  </si>
  <si>
    <t>10268719</t>
  </si>
  <si>
    <t>JOSE FERNANDO FLOREZ VASCO</t>
  </si>
  <si>
    <t>DS-1-388</t>
  </si>
  <si>
    <t>23/06/2023</t>
  </si>
  <si>
    <t>FC-1-628</t>
  </si>
  <si>
    <t>24/06/2023</t>
  </si>
  <si>
    <t>FC-1-629</t>
  </si>
  <si>
    <t>FC-1-630</t>
  </si>
  <si>
    <t>FC-1-631</t>
  </si>
  <si>
    <t>900291461</t>
  </si>
  <si>
    <t>SOCIEDAD COMERCIALIZADORA DE COMBUSTIBLES SAS</t>
  </si>
  <si>
    <t>FC-1-632</t>
  </si>
  <si>
    <t>900843076</t>
  </si>
  <si>
    <t>3M EXCAVACIONES SAS</t>
  </si>
  <si>
    <t>FC-1-633</t>
  </si>
  <si>
    <t>FC-1-634</t>
  </si>
  <si>
    <t>900795696</t>
  </si>
  <si>
    <t>FLIAVESA S.A.S</t>
  </si>
  <si>
    <t>FC-1-648</t>
  </si>
  <si>
    <t>01/07/2023</t>
  </si>
  <si>
    <t>FC-1-649</t>
  </si>
  <si>
    <t>FC-1-664</t>
  </si>
  <si>
    <t>07/07/2023</t>
  </si>
  <si>
    <t>CC-14-3742</t>
  </si>
  <si>
    <t>19/07/2023</t>
  </si>
  <si>
    <t>Devolución del gasto no procedente</t>
  </si>
  <si>
    <t>DS-1-453</t>
  </si>
  <si>
    <t>ND-3-28</t>
  </si>
  <si>
    <t>DS-1-486</t>
  </si>
  <si>
    <t>31/07/2023</t>
  </si>
  <si>
    <t>890981683</t>
  </si>
  <si>
    <t>CORPORACION DE FOMENTO ASISTENCIAL DEL HOSPITAL UNIVERSITARIO SAN VICE</t>
  </si>
  <si>
    <t>Parqueadero vehículo placas DSX152</t>
  </si>
  <si>
    <t>FC-1-750</t>
  </si>
  <si>
    <t>Pejaes SEMINARIO</t>
  </si>
  <si>
    <t>FC-1-751</t>
  </si>
  <si>
    <t>Peajes SANJONIA</t>
  </si>
  <si>
    <t>FC-1-736</t>
  </si>
  <si>
    <t>03/08/2023</t>
  </si>
  <si>
    <t>Peaje Pintada</t>
  </si>
  <si>
    <t>FC-1-737</t>
  </si>
  <si>
    <t>830054060</t>
  </si>
  <si>
    <t>FIDEICOMISOS SOCIEDAD FIDUCIARIA FIDUCOLDEX</t>
  </si>
  <si>
    <t>Peaje TARAPACA II</t>
  </si>
  <si>
    <t>FC-1-738</t>
  </si>
  <si>
    <t>800256769</t>
  </si>
  <si>
    <t>PATRIMONIOS AUTONOMOS FIDUCIARIA CORFICOLOMBIANA S A</t>
  </si>
  <si>
    <t>Peaje SUPÍA</t>
  </si>
  <si>
    <t>FC-1-739</t>
  </si>
  <si>
    <t>900763357</t>
  </si>
  <si>
    <t>CONCESIÓN PACIFICO TRES SAS</t>
  </si>
  <si>
    <t>Peaje IRRA</t>
  </si>
  <si>
    <t>FC-1-740</t>
  </si>
  <si>
    <t>Peaje AMAGÁ</t>
  </si>
  <si>
    <t>FC-1-741</t>
  </si>
  <si>
    <t>Peaje CERRITOS 2</t>
  </si>
  <si>
    <t>Peaje PAVAS</t>
  </si>
  <si>
    <t>Peaje SAN BERNARDO</t>
  </si>
  <si>
    <t>ND-2-22</t>
  </si>
  <si>
    <t>05/08/2023</t>
  </si>
  <si>
    <t>FC-1-756</t>
  </si>
  <si>
    <t>08/08/2023</t>
  </si>
  <si>
    <t>Servicio parqueadero</t>
  </si>
  <si>
    <t>FC-1-757</t>
  </si>
  <si>
    <t>900149430</t>
  </si>
  <si>
    <t>PRIMAX EL ALTICO S.A</t>
  </si>
  <si>
    <t>Compra de combustible Vehículo placas DSX152</t>
  </si>
  <si>
    <t>FC-1-759</t>
  </si>
  <si>
    <t>43997465</t>
  </si>
  <si>
    <t>JULIANA VELEZ ECHEVERRY</t>
  </si>
  <si>
    <t>Compra de combustible Vehículo placa DSX152</t>
  </si>
  <si>
    <t>FC-1-783</t>
  </si>
  <si>
    <t>14/08/2023</t>
  </si>
  <si>
    <t>FC-1-784</t>
  </si>
  <si>
    <t>peaje Amagá 1054540871</t>
  </si>
  <si>
    <t>peaje Amagá 1001376562</t>
  </si>
  <si>
    <t>Peaje Amagá 1025158409</t>
  </si>
  <si>
    <t>peaje amagá 1033342365</t>
  </si>
  <si>
    <t>peaje Amagá 1033342362</t>
  </si>
  <si>
    <t>peaje Amagá 1047995954</t>
  </si>
  <si>
    <t>FC-1-786</t>
  </si>
  <si>
    <t>15/08/2023</t>
  </si>
  <si>
    <t>FC-1-788</t>
  </si>
  <si>
    <t>parqueadero aeropuerto Rio Negro</t>
  </si>
  <si>
    <t>FC-1-807</t>
  </si>
  <si>
    <t>900219834</t>
  </si>
  <si>
    <t>FLYTECH S.A.S.</t>
  </si>
  <si>
    <t>Recarga fly pass</t>
  </si>
  <si>
    <t>FC-1-813</t>
  </si>
  <si>
    <t>Peajes</t>
  </si>
  <si>
    <t>peajes</t>
  </si>
  <si>
    <t>DS-1-528</t>
  </si>
  <si>
    <t>Pago servicio de taxi y transporte bus (Medellín-Andes)</t>
  </si>
  <si>
    <t>FC-1-829</t>
  </si>
  <si>
    <t>FC-1-830</t>
  </si>
  <si>
    <t>Peaje Rionegro</t>
  </si>
  <si>
    <t>FC-1-831</t>
  </si>
  <si>
    <t>CC-14-3845</t>
  </si>
  <si>
    <t>29/08/2023</t>
  </si>
  <si>
    <t>32110465</t>
  </si>
  <si>
    <t>ISABEL CRISTINA RESTREPO CORREA</t>
  </si>
  <si>
    <t>Cargue de saldos erróneo</t>
  </si>
  <si>
    <t>FC-1-850</t>
  </si>
  <si>
    <t>Consumo de peajes</t>
  </si>
  <si>
    <t>FC-1-852</t>
  </si>
  <si>
    <t>FC-1-855</t>
  </si>
  <si>
    <t>Servicio de recarga</t>
  </si>
  <si>
    <t>FC-1-861</t>
  </si>
  <si>
    <t>02/09/2023</t>
  </si>
  <si>
    <t>FC-1-860</t>
  </si>
  <si>
    <t>Peaje SEMINARIO</t>
  </si>
  <si>
    <t>Pejae SANJONIA</t>
  </si>
  <si>
    <t>FC-1-875</t>
  </si>
  <si>
    <t>07/09/2023</t>
  </si>
  <si>
    <t>Peaje amaga 02.09.2023</t>
  </si>
  <si>
    <t>DS-1-569</t>
  </si>
  <si>
    <t>18/09/2023</t>
  </si>
  <si>
    <t>71877758</t>
  </si>
  <si>
    <t>RUBEN DARIO FRANCO URIBE</t>
  </si>
  <si>
    <t>FC-1-918</t>
  </si>
  <si>
    <t>Consumo de parqueadero</t>
  </si>
  <si>
    <t>FC-1-919</t>
  </si>
  <si>
    <t>FC-1-922</t>
  </si>
  <si>
    <t>FC-1-940</t>
  </si>
  <si>
    <t>23/09/2023</t>
  </si>
  <si>
    <t>Gastos de viaje por transporte terrestre-Peajes DSX 152</t>
  </si>
  <si>
    <t>Gastos de viaje por transporte terrestre-PEAJES DSX152</t>
  </si>
  <si>
    <t>DS-1-539</t>
  </si>
  <si>
    <t>compra de bebida</t>
  </si>
  <si>
    <t>FC-1-1002</t>
  </si>
  <si>
    <t>Gastos de viaje por transporte terrestre-Consumo de parqueaderos</t>
  </si>
  <si>
    <t>FC-1-1003</t>
  </si>
  <si>
    <t>FC-1-1007</t>
  </si>
  <si>
    <t>Gastos de viaje por transporte terrestre-peajes Juan Camilo</t>
  </si>
  <si>
    <t>FC-1-984</t>
  </si>
  <si>
    <t>Gastos de viaje por transporte terrestre-Cristian</t>
  </si>
  <si>
    <t>FC-1-997</t>
  </si>
  <si>
    <t>Gastos de viaje por transporte terrestre-peaje</t>
  </si>
  <si>
    <t>FC-1-998</t>
  </si>
  <si>
    <t>Gastos de viaje por transporte terrestre-peajes</t>
  </si>
  <si>
    <t>Gastos de viaje por transporte terrestre-peajes Juan Camilotransporte terrestre</t>
  </si>
  <si>
    <t>FC-1-1015</t>
  </si>
  <si>
    <t>06/10/2023</t>
  </si>
  <si>
    <t>Recarga Flypass para pago electrónico de peajes, vehículo DSX-152.</t>
  </si>
  <si>
    <t>FC-1-1021</t>
  </si>
  <si>
    <t>07/10/2023</t>
  </si>
  <si>
    <t>FC-1-1022</t>
  </si>
  <si>
    <t>FC-1-1023</t>
  </si>
  <si>
    <t>DS-1-605</t>
  </si>
  <si>
    <t>10/10/2023</t>
  </si>
  <si>
    <t>FC-1-1057</t>
  </si>
  <si>
    <t>19/10/2023</t>
  </si>
  <si>
    <t>Peajes abogadas-La jurídica</t>
  </si>
  <si>
    <t>FC-1-1118</t>
  </si>
  <si>
    <t>31/10/2023</t>
  </si>
  <si>
    <t>FC-1-1088</t>
  </si>
  <si>
    <t>03/11/2023</t>
  </si>
  <si>
    <t>Peajes cristian</t>
  </si>
  <si>
    <t>FC-1-1089</t>
  </si>
  <si>
    <t>Peajes Cristian</t>
  </si>
  <si>
    <t>FC-1-1126</t>
  </si>
  <si>
    <t>16/11/2023</t>
  </si>
  <si>
    <t>FC-1-1127</t>
  </si>
  <si>
    <t>FC-1-1128</t>
  </si>
  <si>
    <t>830125996</t>
  </si>
  <si>
    <t>AGENCIA NACIONAL DE INFRAESTRUCTURA</t>
  </si>
  <si>
    <t>peaje</t>
  </si>
  <si>
    <t>FC-1-1153</t>
  </si>
  <si>
    <t>FC-1-1154</t>
  </si>
  <si>
    <t>DS-1-646</t>
  </si>
  <si>
    <t>28/11/2023</t>
  </si>
  <si>
    <t>Gastos de viaje por transporte terrestre del señor Almeiro Areiza</t>
  </si>
  <si>
    <t>DS-1-651</t>
  </si>
  <si>
    <t>29/11/2023</t>
  </si>
  <si>
    <t>1001020743</t>
  </si>
  <si>
    <t>DANNY STIVEN URREGO OSSA</t>
  </si>
  <si>
    <t>Alquiler de vehículo para llevar a Medellín al Dr almeiro Areiza</t>
  </si>
  <si>
    <t>DS-1-652</t>
  </si>
  <si>
    <t>Reconocimiento Gastos Varios Juan Camilo Cano por viaje a Medellín con el dr Almeiro Areizqa</t>
  </si>
  <si>
    <t>FC-1-1173</t>
  </si>
  <si>
    <t>FC-1-1175</t>
  </si>
  <si>
    <t>800243731</t>
  </si>
  <si>
    <t>COOPERATIVA DE TRANSPORTE ANDINA COOTRASANDINA</t>
  </si>
  <si>
    <t>tiquete Medellín Andes-por a la visita de Contraloría General de la Nación y al Doctor Almeiro Ariza los días 27 y 28 de noviembre de 2023</t>
  </si>
  <si>
    <t>FC-1-1176</t>
  </si>
  <si>
    <t>Peajes por a la visita de Contraloría General de la Nación y al Doctor Almeiro Ariza los días 27 y 28 de noviembre de 2023</t>
  </si>
  <si>
    <t>FC-1-1182</t>
  </si>
  <si>
    <t>DS-1-657</t>
  </si>
  <si>
    <t>Alquiler vehículo (Carro) para recoger al Doctor Almeiro Ariza en  la ciudad de Medelln y desplazamiento hacia el Municipio de Andes</t>
  </si>
  <si>
    <t>FC-1-1214</t>
  </si>
  <si>
    <t>09/12/2023</t>
  </si>
  <si>
    <t>Pago parqueadero vehículo DSX-152 en Medellín, el 05 de diciembre de 2023.</t>
  </si>
  <si>
    <t>FC-1-1215</t>
  </si>
  <si>
    <t>FC-1-1222</t>
  </si>
  <si>
    <t>Consumo servicio de parqueadero Fly Pass vehículo DSX-152.</t>
  </si>
  <si>
    <t>FC-1-1257</t>
  </si>
  <si>
    <t>22/12/2023</t>
  </si>
  <si>
    <t>Servicio de Recarga Fly Pass para el Vehículo DSX-152 del 16 de diciembre de 2023.</t>
  </si>
  <si>
    <t>FC-1-1264</t>
  </si>
  <si>
    <t>28/12/2023</t>
  </si>
  <si>
    <t>FC-1-1279</t>
  </si>
  <si>
    <t>Servicio de parqueadero vehículo DSX-152 del 26 de diciembre de 2023</t>
  </si>
  <si>
    <t>FC-1-1283</t>
  </si>
  <si>
    <t>Servicio de parqueadero para el vehículo DSX-152 el 05 de diciembre de 2023.</t>
  </si>
  <si>
    <t>Procesado en: Marzo 02 2024 11:57</t>
  </si>
  <si>
    <t xml:space="preserve">Total </t>
  </si>
  <si>
    <t>PROYECCIÓN GASTOS DE VIAJE</t>
  </si>
  <si>
    <t>Se realiza partiendo de los datos actuales.</t>
  </si>
  <si>
    <t>Dependencia</t>
  </si>
  <si>
    <t>Comentario</t>
  </si>
  <si>
    <t>Trilladora La Pradera (Arrendada)</t>
  </si>
  <si>
    <t>Reparación Canoa Techo Bodega</t>
  </si>
  <si>
    <t>No se proyectan otros mantenimientos, se tendrá en arrendamiento.</t>
  </si>
  <si>
    <t xml:space="preserve">Mantenimiento de Predios Parte Externa </t>
  </si>
  <si>
    <t>Incluye mantenimiento árboles frutales</t>
  </si>
  <si>
    <t>CB Chaparrala
(Pendiente Arrendar o Vender)</t>
  </si>
  <si>
    <t>Mantenimiento Paneles Solares y Techos (ERCO)</t>
  </si>
  <si>
    <t>Limpieza de Predios - Exterior (Desyerbada y Fumigada)</t>
  </si>
  <si>
    <t>CB Farallones
(Pendiente Arrendar o Vender)</t>
  </si>
  <si>
    <t>No se proyecta, está pendiente vender o arrendar</t>
  </si>
  <si>
    <t>Edificio del Café Andes
(Administrativo)</t>
  </si>
  <si>
    <t>Mantenimiento y Reparaciones Locativas (Techos y Canoas, Pintura y Resane Paredes, Retoque Pintura de Puertas y Ventanas, Compra de Tejas, accesorios PVC, Bombillos, Tubos LED, entro otros)</t>
  </si>
  <si>
    <t>En base a mantenimientos realizados</t>
  </si>
  <si>
    <t>Recarga de Extintores (Una vez al año)</t>
  </si>
  <si>
    <t>En base a cotización Bomberos</t>
  </si>
  <si>
    <t>Mantenimiento Planta Eléctrica (Una vez al año)</t>
  </si>
  <si>
    <t>En base a cotización Proveedor</t>
  </si>
  <si>
    <t>Mantenimiento Equipos (Aires Acondicionados - UPS) (Una vez al año)</t>
  </si>
  <si>
    <t>Mantenimiento Computadores e Impresoras (Una vez al año)</t>
  </si>
  <si>
    <t>Edificio del Café Ciudad Bolívar</t>
  </si>
  <si>
    <t>Mantenimiento y Reparaciones Locativas (Pintura y Resane de Paredes y Puertas, Limpieza de Techos y Canoas, entre otros)</t>
  </si>
  <si>
    <t>Aseo de Instalaciones (Limpieza de Pisos, Escalas, Balcones, Baños) (Cada Trimestre)</t>
  </si>
  <si>
    <t>Edificio del Café Betania</t>
  </si>
  <si>
    <t>Aseo de Instalaciones (Limpieza de Pisos, Escalas, Balcones, Baños)</t>
  </si>
  <si>
    <t>Edificio Andes Plaza</t>
  </si>
  <si>
    <t>Mantenimiento Predio Exterior (Dos veces en el año)</t>
  </si>
  <si>
    <t>Mantenimiento y Reparaciones Locativas (Fachada, Puertas y Persianas, Techos)</t>
  </si>
  <si>
    <t>Calibración y Mantenimiento Básculas (Una vez al año)</t>
  </si>
  <si>
    <t>Mantenimiento Maquinaria y Equipo (Una vez al año)</t>
  </si>
  <si>
    <t>PSCC Ciudad Bolívar</t>
  </si>
  <si>
    <t>PSCC Hispania</t>
  </si>
  <si>
    <t>Mantenimiento y Reparaciones Locativas (Fachada, Puertas y Persianas, Techos) (Reparación Canoa en el Año 1)</t>
  </si>
  <si>
    <t>Mantenimiento y Reparaciones Locativas (Fachada, Puertas y Persianas, Techos y Predios)</t>
  </si>
  <si>
    <t>PSCC Tapartó</t>
  </si>
  <si>
    <t>PSCC Buenos Aires</t>
  </si>
  <si>
    <t>Mantenimiento y Reparaciones Locativas (Fachada, Puertas y Persianas, Techos) (Reparación Techo y Canoa en el Año 1)</t>
  </si>
  <si>
    <t>PSCC Santa Rita</t>
  </si>
  <si>
    <t>PSCC San José</t>
  </si>
  <si>
    <t>PSCC Santa Inés</t>
  </si>
  <si>
    <t>PSCC San Gregorio</t>
  </si>
  <si>
    <t>Bodegas Bolivar Nueva
(Pendiente Arrendar o Vender)</t>
  </si>
  <si>
    <t>Limpieza de Patios - Parte Externa</t>
  </si>
  <si>
    <t>Limpieza Interna de Bodegas</t>
  </si>
  <si>
    <t>Bodega La 40 (Betania)
(Pendiente Arrendar o Vender)</t>
  </si>
  <si>
    <t>No se proyecta, está pendiente vender o arrendar y actualmente está en comodato</t>
  </si>
  <si>
    <t>TOTAL GENERAL</t>
  </si>
  <si>
    <t>PROYECCIÓN GASTOS DE MANTENIMIENTO</t>
  </si>
  <si>
    <t>Publicidad propaganda y promoción</t>
  </si>
  <si>
    <t>KR</t>
  </si>
  <si>
    <t>SERV PUBLICIDA PROGRAMA RADIA "EL CAMINO DEL CAFE"</t>
  </si>
  <si>
    <t>FATA0001115</t>
  </si>
  <si>
    <t>MENSAJES DE TEXTO DICIEMBRE</t>
  </si>
  <si>
    <t>Mensajes de texto caficultores mes enero</t>
  </si>
  <si>
    <t>FATA0001274</t>
  </si>
  <si>
    <t>Mensajes de texto caficultores mes Febrero</t>
  </si>
  <si>
    <t>Servicios publicitarios marzo 28-abril 30</t>
  </si>
  <si>
    <t>Cuñas radiales institucionales 20-23 marzo</t>
  </si>
  <si>
    <t>FATA0001344</t>
  </si>
  <si>
    <t>Mensajes de texto caficultores mes de Marzo</t>
  </si>
  <si>
    <t>Publicidad informativo regional conexion sur</t>
  </si>
  <si>
    <t>Publicidad conexion sur promocion reuniones inform</t>
  </si>
  <si>
    <t>FATA0001477</t>
  </si>
  <si>
    <t>Mensajes de texto mes abril</t>
  </si>
  <si>
    <t>Cuñas radiales institucionales abril 11-30</t>
  </si>
  <si>
    <t>Grabacion y edicion de videos campaña audiovisual</t>
  </si>
  <si>
    <t>Video Clips Educativos Emision Comercial</t>
  </si>
  <si>
    <t>FATE 37</t>
  </si>
  <si>
    <t>MENSAJE DE TEXTO PARA COMUNICADOS ASOCIADOS</t>
  </si>
  <si>
    <t>Grabaciones y publicidad mes de Junio 2020</t>
  </si>
  <si>
    <t>Servicio publicitario programa radial mes de Junio</t>
  </si>
  <si>
    <t>Emision videos institucionales 08 mayo-22 junio</t>
  </si>
  <si>
    <t>FATE152</t>
  </si>
  <si>
    <t>Mensajes de texto mes de junio</t>
  </si>
  <si>
    <t>1 Preproduccion programa institucional radia</t>
  </si>
  <si>
    <t>CRSM-48</t>
  </si>
  <si>
    <t>Programa radial el camino del cafe mayo 22-julio 2</t>
  </si>
  <si>
    <t>CRSM-49</t>
  </si>
  <si>
    <t>Cuñas radiales mensuales mayo 22 a julio 21</t>
  </si>
  <si>
    <t>EMISION DE COMERCIALES COMUNICACION E INFORMACION</t>
  </si>
  <si>
    <t>Comunicación e Información publicidad regional</t>
  </si>
  <si>
    <t>Emision Comerciales Comunicacion e informal</t>
  </si>
  <si>
    <t>Servicio publicitario programa radial mes de Julio</t>
  </si>
  <si>
    <t>CRSM-120</t>
  </si>
  <si>
    <t>DIFUSIÓN PROGRAMA EN CONCESIÓN: EL CAMINO DEL CAFE</t>
  </si>
  <si>
    <t>CRSM-121</t>
  </si>
  <si>
    <t>08 CUÑAS RADIALE DE 30" C/U</t>
  </si>
  <si>
    <t>CRSM-122</t>
  </si>
  <si>
    <t>CRSM-123</t>
  </si>
  <si>
    <t>CUÑAS AL MES: 22 DE 30- PERIODO: AGOSTO 01 AL 31 D</t>
  </si>
  <si>
    <t>FATE266</t>
  </si>
  <si>
    <t>Mensajes de texo mes de Julio</t>
  </si>
  <si>
    <t>Publicidad emitida informativo regional mes agosto</t>
  </si>
  <si>
    <t>Cuñas radiales invitacion asociados a a trabajar</t>
  </si>
  <si>
    <t>Servicios publicitarios y programa radial agosto</t>
  </si>
  <si>
    <t>FEPR307</t>
  </si>
  <si>
    <t>Mensajes de texto-Proyecto: Programa de comunicaci</t>
  </si>
  <si>
    <t>Servicio de mensaje de texto mes agosto</t>
  </si>
  <si>
    <t>CRSM-201</t>
  </si>
  <si>
    <t>12 CUÑAS RADIALES TRANSMISORA SURANDES</t>
  </si>
  <si>
    <t>CRSM-203</t>
  </si>
  <si>
    <t>22 CUÑAS RADIALES TRANSMISORA SURANDES</t>
  </si>
  <si>
    <t>DIFUSIÓN PROGRAMA EL CAMINO DEL CAFE- PERIODO SEPT</t>
  </si>
  <si>
    <t>1 Produccion programa institucional semanal</t>
  </si>
  <si>
    <t>Publicidad emiitida del mes de Septiembre</t>
  </si>
  <si>
    <t>Servicios publicitarios septiembre 8 a octubre 7</t>
  </si>
  <si>
    <t>CRSM318</t>
  </si>
  <si>
    <t>Programa radial el camino del cafe 01-31 octubre</t>
  </si>
  <si>
    <t>CRSM-317</t>
  </si>
  <si>
    <t>eventos de promoción-Cuñas Radiales.</t>
  </si>
  <si>
    <t>Publicidad informativo regional mes de octubre</t>
  </si>
  <si>
    <t>Transmision programa camino del cafe mes octubre</t>
  </si>
  <si>
    <t>Transmision publicitaria sello fairtrade-noviembe</t>
  </si>
  <si>
    <t>1 Produccion programa institucional semana</t>
  </si>
  <si>
    <t>CRSM-393</t>
  </si>
  <si>
    <t>Cuñas radiales programa institucional mes noviembr</t>
  </si>
  <si>
    <t>CRSM-400</t>
  </si>
  <si>
    <t>Transmision cuñas radiales 01-30 noviembre</t>
  </si>
  <si>
    <t>CRSM-432</t>
  </si>
  <si>
    <t>Programa en concesion el camino del café</t>
  </si>
  <si>
    <t>FRCB6</t>
  </si>
  <si>
    <t>Cuña radial mes de noviembre</t>
  </si>
  <si>
    <t>FRCB5</t>
  </si>
  <si>
    <t>Emision programa el camino del cafe mes noviembre</t>
  </si>
  <si>
    <t>FRCB20</t>
  </si>
  <si>
    <t>Emision programa el camino del cafe mes diciembre</t>
  </si>
  <si>
    <t>FRCB25</t>
  </si>
  <si>
    <t>Emision cuñas radiales mes de diciembre</t>
  </si>
  <si>
    <t>Grabacion y edicion videos cosechando nov-dic</t>
  </si>
  <si>
    <t>Publicidad emitida microprogramas radiales nov-dic</t>
  </si>
  <si>
    <t>TAND-475694</t>
  </si>
  <si>
    <t>SA</t>
  </si>
  <si>
    <t>Publicidad café tostado, medios de comunicación</t>
  </si>
  <si>
    <t>SERV.PROMOCIÓN Y PUBLICIDAD</t>
  </si>
  <si>
    <t>PROYECCIÓN GASTOS DE PUBLICIDAD</t>
  </si>
  <si>
    <t>Servicio de acueducto</t>
  </si>
  <si>
    <t>4700377387</t>
  </si>
  <si>
    <t>6100003162</t>
  </si>
  <si>
    <t>SERV.ACUEDUCTO</t>
  </si>
  <si>
    <t>4700391079</t>
  </si>
  <si>
    <t>6100012142</t>
  </si>
  <si>
    <t>4700406851</t>
  </si>
  <si>
    <t>6100022117</t>
  </si>
  <si>
    <t>4700415291</t>
  </si>
  <si>
    <t>6100033524</t>
  </si>
  <si>
    <t>4700421505</t>
  </si>
  <si>
    <t>6100044796</t>
  </si>
  <si>
    <t>4700435963</t>
  </si>
  <si>
    <t>6100058550</t>
  </si>
  <si>
    <t>4700442903</t>
  </si>
  <si>
    <t>6100062596</t>
  </si>
  <si>
    <t>4700457225</t>
  </si>
  <si>
    <t>6100071356</t>
  </si>
  <si>
    <t>4700471112</t>
  </si>
  <si>
    <t>6100080877</t>
  </si>
  <si>
    <t>4700484636</t>
  </si>
  <si>
    <t>6100094874</t>
  </si>
  <si>
    <t>4700499155</t>
  </si>
  <si>
    <t>6100114475</t>
  </si>
  <si>
    <t>4700512122</t>
  </si>
  <si>
    <t>6100132795</t>
  </si>
  <si>
    <t>4700526141</t>
  </si>
  <si>
    <t>6100006216</t>
  </si>
  <si>
    <t>6100006852</t>
  </si>
  <si>
    <t>6100007466</t>
  </si>
  <si>
    <t>4700542539</t>
  </si>
  <si>
    <t>6100017332</t>
  </si>
  <si>
    <t>4700556592</t>
  </si>
  <si>
    <t>6100025135</t>
  </si>
  <si>
    <t>4700570796</t>
  </si>
  <si>
    <t>6100031371</t>
  </si>
  <si>
    <t>4700582091</t>
  </si>
  <si>
    <t>6100037844</t>
  </si>
  <si>
    <t>4700595016</t>
  </si>
  <si>
    <t>6100043336</t>
  </si>
  <si>
    <t>4700611911</t>
  </si>
  <si>
    <t>6100048383</t>
  </si>
  <si>
    <t>4700624894</t>
  </si>
  <si>
    <t>6100053784</t>
  </si>
  <si>
    <t>SERV. DE ACUEDUCTO PSCC PPAL</t>
  </si>
  <si>
    <t>4700642187</t>
  </si>
  <si>
    <t>6100061058</t>
  </si>
  <si>
    <t>4700655340</t>
  </si>
  <si>
    <t>6100069983</t>
  </si>
  <si>
    <t>4700671781</t>
  </si>
  <si>
    <t>6100081687</t>
  </si>
  <si>
    <t>4700686720</t>
  </si>
  <si>
    <t>6100093983</t>
  </si>
  <si>
    <t>4700374179</t>
  </si>
  <si>
    <t>6100000855</t>
  </si>
  <si>
    <t>4700392664</t>
  </si>
  <si>
    <t>6100013588</t>
  </si>
  <si>
    <t>4700407832</t>
  </si>
  <si>
    <t>6100022957</t>
  </si>
  <si>
    <t>4700415580</t>
  </si>
  <si>
    <t>6100033789</t>
  </si>
  <si>
    <t>4700422485</t>
  </si>
  <si>
    <t>6100047437</t>
  </si>
  <si>
    <t>4700431717</t>
  </si>
  <si>
    <t>6100055349</t>
  </si>
  <si>
    <t>4700442685</t>
  </si>
  <si>
    <t>6100062680</t>
  </si>
  <si>
    <t>4700455412</t>
  </si>
  <si>
    <t>6100070367</t>
  </si>
  <si>
    <t>4700469012</t>
  </si>
  <si>
    <t>6100079173</t>
  </si>
  <si>
    <t>4700481875</t>
  </si>
  <si>
    <t>6100092472</t>
  </si>
  <si>
    <t>4700496550</t>
  </si>
  <si>
    <t>6100112847</t>
  </si>
  <si>
    <t>4700509364</t>
  </si>
  <si>
    <t>6100129419</t>
  </si>
  <si>
    <t>4700525961</t>
  </si>
  <si>
    <t>6100004007</t>
  </si>
  <si>
    <t>4700539507</t>
  </si>
  <si>
    <t>6100015772</t>
  </si>
  <si>
    <t>4700554998</t>
  </si>
  <si>
    <t>6100024217</t>
  </si>
  <si>
    <t>4700569993</t>
  </si>
  <si>
    <t>6100031130</t>
  </si>
  <si>
    <t>4700581355</t>
  </si>
  <si>
    <t>6100038279</t>
  </si>
  <si>
    <t>4700593428</t>
  </si>
  <si>
    <t>6100043460</t>
  </si>
  <si>
    <t>4700607678</t>
  </si>
  <si>
    <t>6100047915</t>
  </si>
  <si>
    <t>4700623703</t>
  </si>
  <si>
    <t>6100053264</t>
  </si>
  <si>
    <t>4700639250</t>
  </si>
  <si>
    <t>6100059830</t>
  </si>
  <si>
    <t>4700654524</t>
  </si>
  <si>
    <t>6100069060</t>
  </si>
  <si>
    <t>4700671380</t>
  </si>
  <si>
    <t>6100081653</t>
  </si>
  <si>
    <t>4700684387</t>
  </si>
  <si>
    <t>6100092104</t>
  </si>
  <si>
    <t>4700376917</t>
  </si>
  <si>
    <t>6100004287</t>
  </si>
  <si>
    <t>4700395426</t>
  </si>
  <si>
    <t>6100014784</t>
  </si>
  <si>
    <t>SERVICIO DE ACUEDUCTO</t>
  </si>
  <si>
    <t>4700407808</t>
  </si>
  <si>
    <t>6100023110</t>
  </si>
  <si>
    <t>4700416850</t>
  </si>
  <si>
    <t>6100036855</t>
  </si>
  <si>
    <t>4700421815</t>
  </si>
  <si>
    <t>6100047414</t>
  </si>
  <si>
    <t>4700433070</t>
  </si>
  <si>
    <t>6100057071</t>
  </si>
  <si>
    <t>4700443946</t>
  </si>
  <si>
    <t>6100063501</t>
  </si>
  <si>
    <t>4700456570</t>
  </si>
  <si>
    <t>6100071610</t>
  </si>
  <si>
    <t>4700470132</t>
  </si>
  <si>
    <t>6100081345</t>
  </si>
  <si>
    <t>4700484384</t>
  </si>
  <si>
    <t>6100094657</t>
  </si>
  <si>
    <t>4700499640</t>
  </si>
  <si>
    <t>6100115180</t>
  </si>
  <si>
    <t>4700512815</t>
  </si>
  <si>
    <t>6100134523</t>
  </si>
  <si>
    <t>4700527542</t>
  </si>
  <si>
    <t>6100007319</t>
  </si>
  <si>
    <t>4700545564</t>
  </si>
  <si>
    <t>6100018738</t>
  </si>
  <si>
    <t>SERVICIO ACUEDUCTO</t>
  </si>
  <si>
    <t>4700555477</t>
  </si>
  <si>
    <t>6100024222</t>
  </si>
  <si>
    <t>4700570322</t>
  </si>
  <si>
    <t>6100031553</t>
  </si>
  <si>
    <t>4700581073</t>
  </si>
  <si>
    <t>6100037651</t>
  </si>
  <si>
    <t>4700595469</t>
  </si>
  <si>
    <t>6100044139</t>
  </si>
  <si>
    <t>4700609296</t>
  </si>
  <si>
    <t>6100047949</t>
  </si>
  <si>
    <t>4700630334</t>
  </si>
  <si>
    <t>6100055915</t>
  </si>
  <si>
    <t>4700641611</t>
  </si>
  <si>
    <t>6100061044</t>
  </si>
  <si>
    <t>4700654589</t>
  </si>
  <si>
    <t>6100070015</t>
  </si>
  <si>
    <t>4700669303</t>
  </si>
  <si>
    <t>6100081324</t>
  </si>
  <si>
    <t>4700686236</t>
  </si>
  <si>
    <t>6100094191</t>
  </si>
  <si>
    <t>4700375072</t>
  </si>
  <si>
    <t>6100001761</t>
  </si>
  <si>
    <t>SERVICIO DE ACUEDUCTO PSCC JARDIN</t>
  </si>
  <si>
    <t>4700392621</t>
  </si>
  <si>
    <t>6100013532</t>
  </si>
  <si>
    <t>4700405404</t>
  </si>
  <si>
    <t>6100020933</t>
  </si>
  <si>
    <t>SERVICIO DE ENERGIA PSCC JARDIN</t>
  </si>
  <si>
    <t>4700415037</t>
  </si>
  <si>
    <t>6100032522</t>
  </si>
  <si>
    <t>4700421307</t>
  </si>
  <si>
    <t>6100044621</t>
  </si>
  <si>
    <t>4700431039</t>
  </si>
  <si>
    <t>6100054421</t>
  </si>
  <si>
    <t>4700441357</t>
  </si>
  <si>
    <t>6100061814</t>
  </si>
  <si>
    <t>4700455831</t>
  </si>
  <si>
    <t>6100071385</t>
  </si>
  <si>
    <t>4700467222</t>
  </si>
  <si>
    <t>6100077676</t>
  </si>
  <si>
    <t>4700481485</t>
  </si>
  <si>
    <t>6100091357</t>
  </si>
  <si>
    <t>4700496065</t>
  </si>
  <si>
    <t>6100112874</t>
  </si>
  <si>
    <t>4700509655</t>
  </si>
  <si>
    <t>6100130350</t>
  </si>
  <si>
    <t>4700525219</t>
  </si>
  <si>
    <t>6100004132</t>
  </si>
  <si>
    <t>4700538307</t>
  </si>
  <si>
    <t>6100014125</t>
  </si>
  <si>
    <t>4700553334</t>
  </si>
  <si>
    <t>6100023544</t>
  </si>
  <si>
    <t>4700569115</t>
  </si>
  <si>
    <t>6100030381</t>
  </si>
  <si>
    <t>4700579513</t>
  </si>
  <si>
    <t>6100036120</t>
  </si>
  <si>
    <t>4700591790</t>
  </si>
  <si>
    <t>6100042073</t>
  </si>
  <si>
    <t>4700609160</t>
  </si>
  <si>
    <t>6100047958</t>
  </si>
  <si>
    <t>4700621629</t>
  </si>
  <si>
    <t>6100052373</t>
  </si>
  <si>
    <t>4700637679</t>
  </si>
  <si>
    <t>6100058737</t>
  </si>
  <si>
    <t>SERVICIO DE ACUEDUCTO P</t>
  </si>
  <si>
    <t>4700652528</t>
  </si>
  <si>
    <t>6100068305</t>
  </si>
  <si>
    <t>4700668324</t>
  </si>
  <si>
    <t>6100078801</t>
  </si>
  <si>
    <t>4700684077</t>
  </si>
  <si>
    <t>6100092180</t>
  </si>
  <si>
    <t>4700380389</t>
  </si>
  <si>
    <t>6100006120</t>
  </si>
  <si>
    <t>4700381408</t>
  </si>
  <si>
    <t>6100006995</t>
  </si>
  <si>
    <t>4700381406</t>
  </si>
  <si>
    <t>6100006996</t>
  </si>
  <si>
    <t>4700395236</t>
  </si>
  <si>
    <t>6100015843</t>
  </si>
  <si>
    <t>4700413282</t>
  </si>
  <si>
    <t>6100028633</t>
  </si>
  <si>
    <t>4700417536</t>
  </si>
  <si>
    <t>6100039225</t>
  </si>
  <si>
    <t>4700423343</t>
  </si>
  <si>
    <t>6100047609</t>
  </si>
  <si>
    <t>SERVICIO DE ACUEDUCTO PSCC HISPANIA</t>
  </si>
  <si>
    <t>4700435186</t>
  </si>
  <si>
    <t>6100059329</t>
  </si>
  <si>
    <t>4700447039</t>
  </si>
  <si>
    <t>6100065568</t>
  </si>
  <si>
    <t>4700460243</t>
  </si>
  <si>
    <t>6100073247</t>
  </si>
  <si>
    <t>4700472229</t>
  </si>
  <si>
    <t>6100082387</t>
  </si>
  <si>
    <t>4700487927</t>
  </si>
  <si>
    <t>6100101066</t>
  </si>
  <si>
    <t>4700500603</t>
  </si>
  <si>
    <t>6100117689</t>
  </si>
  <si>
    <t>4700513943</t>
  </si>
  <si>
    <t>6100134660</t>
  </si>
  <si>
    <t>4700558425</t>
  </si>
  <si>
    <t>6100026112</t>
  </si>
  <si>
    <t>6100026700</t>
  </si>
  <si>
    <t>4700526731</t>
  </si>
  <si>
    <t>6100005711</t>
  </si>
  <si>
    <t>4700526734</t>
  </si>
  <si>
    <t>6100005716</t>
  </si>
  <si>
    <t>4700543895</t>
  </si>
  <si>
    <t>6100018629</t>
  </si>
  <si>
    <t>4700543909</t>
  </si>
  <si>
    <t>6100018632</t>
  </si>
  <si>
    <t>4700558420</t>
  </si>
  <si>
    <t>6100026113</t>
  </si>
  <si>
    <t>6100027831</t>
  </si>
  <si>
    <t>4700571793</t>
  </si>
  <si>
    <t>6100031964</t>
  </si>
  <si>
    <t>4700571790</t>
  </si>
  <si>
    <t>6100031966</t>
  </si>
  <si>
    <t>4700581298</t>
  </si>
  <si>
    <t>6100037456</t>
  </si>
  <si>
    <t>4700581203</t>
  </si>
  <si>
    <t>6100037457</t>
  </si>
  <si>
    <t>4700581206</t>
  </si>
  <si>
    <t>6100037458</t>
  </si>
  <si>
    <t>4700596080</t>
  </si>
  <si>
    <t>6100043767</t>
  </si>
  <si>
    <t>4700609199</t>
  </si>
  <si>
    <t>6100048533</t>
  </si>
  <si>
    <t>4700627465</t>
  </si>
  <si>
    <t>6100054349</t>
  </si>
  <si>
    <t>4700643983</t>
  </si>
  <si>
    <t>6100063503</t>
  </si>
  <si>
    <t>4700655910</t>
  </si>
  <si>
    <t>6100072528</t>
  </si>
  <si>
    <t>4700671644</t>
  </si>
  <si>
    <t>6100083043</t>
  </si>
  <si>
    <t>4700687319</t>
  </si>
  <si>
    <t>6100095034</t>
  </si>
  <si>
    <t>6100003161</t>
  </si>
  <si>
    <t>6100012144</t>
  </si>
  <si>
    <t>6100022120</t>
  </si>
  <si>
    <t>6100033528</t>
  </si>
  <si>
    <t>4700421886</t>
  </si>
  <si>
    <t>6100047665</t>
  </si>
  <si>
    <t>4700436093</t>
  </si>
  <si>
    <t>6100058552</t>
  </si>
  <si>
    <t>6100071359</t>
  </si>
  <si>
    <t>SERV. DE ACUEDUCTO PSCC PLAZA JUNIO</t>
  </si>
  <si>
    <t>6100080879</t>
  </si>
  <si>
    <t>SERV. DE ACUEDUCTO PSCC PLAZA</t>
  </si>
  <si>
    <t>6100094877</t>
  </si>
  <si>
    <t>6100114472</t>
  </si>
  <si>
    <t>6100132797</t>
  </si>
  <si>
    <t>4700529223</t>
  </si>
  <si>
    <t>6100008447</t>
  </si>
  <si>
    <t>4700542094</t>
  </si>
  <si>
    <t>6100017802</t>
  </si>
  <si>
    <t>6100025139</t>
  </si>
  <si>
    <t>6100037846</t>
  </si>
  <si>
    <t>6100043339</t>
  </si>
  <si>
    <t>6100048385</t>
  </si>
  <si>
    <t>6100061059</t>
  </si>
  <si>
    <t>6100069985</t>
  </si>
  <si>
    <t>6100081689</t>
  </si>
  <si>
    <t>6100093985</t>
  </si>
  <si>
    <t>4700467231</t>
  </si>
  <si>
    <t>6100077594</t>
  </si>
  <si>
    <t>AGUA ALMACEN SANTARITA JULIO AGOSTO SEPT</t>
  </si>
  <si>
    <t>4700511335</t>
  </si>
  <si>
    <t>6100132675</t>
  </si>
  <si>
    <t>SERVICIOAGUA ALMACÉN SANTARITA DICIEMBRE</t>
  </si>
  <si>
    <t>4700607810</t>
  </si>
  <si>
    <t>6100047311</t>
  </si>
  <si>
    <t>SERVICIO AGUA ALMACEN SANTARITA MESJULIO</t>
  </si>
  <si>
    <t>4700624407</t>
  </si>
  <si>
    <t>6100053889</t>
  </si>
  <si>
    <t>SERVICIO AGUA ALMACEN SANTARITAMESAGOSTO</t>
  </si>
  <si>
    <t>4700652484</t>
  </si>
  <si>
    <t>6100068314</t>
  </si>
  <si>
    <t>SERVICIO AGUA ALMACEN SANTA RITA OCTUBRE</t>
  </si>
  <si>
    <t>4700674844</t>
  </si>
  <si>
    <t>6100084449</t>
  </si>
  <si>
    <t>SERVICIO AGUA ALMACEN STA RITA NOVIEMBRE</t>
  </si>
  <si>
    <t>4700685773</t>
  </si>
  <si>
    <t>6100092618</t>
  </si>
  <si>
    <t>SERVICIO AGUA ALMACEN STA RITA DICIEMBRE</t>
  </si>
  <si>
    <t>4700498753</t>
  </si>
  <si>
    <t>6100114951</t>
  </si>
  <si>
    <t>4700512457</t>
  </si>
  <si>
    <t>6100132896</t>
  </si>
  <si>
    <t>4700622746</t>
  </si>
  <si>
    <t>6100053020</t>
  </si>
  <si>
    <t>4700645981</t>
  </si>
  <si>
    <t>6100063916</t>
  </si>
  <si>
    <t>4700657731</t>
  </si>
  <si>
    <t>6100072833</t>
  </si>
  <si>
    <t>4700682649</t>
  </si>
  <si>
    <t>6100098364</t>
  </si>
  <si>
    <t>4700526755</t>
  </si>
  <si>
    <t>6100007952</t>
  </si>
  <si>
    <t>4700613079</t>
  </si>
  <si>
    <t>6100049324</t>
  </si>
  <si>
    <t>servicio acueducto el carmen de atrato</t>
  </si>
  <si>
    <t>4700626852</t>
  </si>
  <si>
    <t>6100054031</t>
  </si>
  <si>
    <t>4700642400</t>
  </si>
  <si>
    <t>6100061124</t>
  </si>
  <si>
    <t>4700655772</t>
  </si>
  <si>
    <t>6100070181</t>
  </si>
  <si>
    <t>4700672225</t>
  </si>
  <si>
    <t>6100083344</t>
  </si>
  <si>
    <t>4700686433</t>
  </si>
  <si>
    <t>6100093827</t>
  </si>
  <si>
    <t>4700381587</t>
  </si>
  <si>
    <t>6100007034</t>
  </si>
  <si>
    <t>SERV. DE ACUEDUCTO PSCC PLAZUELA</t>
  </si>
  <si>
    <t>6100012143</t>
  </si>
  <si>
    <t>6100022118</t>
  </si>
  <si>
    <t>6100033526</t>
  </si>
  <si>
    <t>4700420922</t>
  </si>
  <si>
    <t>6100043504</t>
  </si>
  <si>
    <t>SER. DE ENERGIA PSCC PLAZUELA</t>
  </si>
  <si>
    <t>4700444610</t>
  </si>
  <si>
    <t>6100063725</t>
  </si>
  <si>
    <t>6100071358</t>
  </si>
  <si>
    <t>SERV. DE ACUEDUCTO PSCC PLAZUELA JUNIO</t>
  </si>
  <si>
    <t>6100080878</t>
  </si>
  <si>
    <t>6100094876</t>
  </si>
  <si>
    <t>6100114473</t>
  </si>
  <si>
    <t>6100132796</t>
  </si>
  <si>
    <t>6100006217</t>
  </si>
  <si>
    <t>6100007467</t>
  </si>
  <si>
    <t>6100007481</t>
  </si>
  <si>
    <t>6100017330</t>
  </si>
  <si>
    <t>6100025136</t>
  </si>
  <si>
    <t>6100031372</t>
  </si>
  <si>
    <t>6100037845</t>
  </si>
  <si>
    <t>6100043337</t>
  </si>
  <si>
    <t>4700613876</t>
  </si>
  <si>
    <t>6100049361</t>
  </si>
  <si>
    <t>6100053783</t>
  </si>
  <si>
    <t>6100069984</t>
  </si>
  <si>
    <t>6100081688</t>
  </si>
  <si>
    <t>6100093984</t>
  </si>
  <si>
    <t>4700376921</t>
  </si>
  <si>
    <t>6100004289</t>
  </si>
  <si>
    <t>4700394523</t>
  </si>
  <si>
    <t>6100014759</t>
  </si>
  <si>
    <t>4700407824</t>
  </si>
  <si>
    <t>6100023112</t>
  </si>
  <si>
    <t>4700415605</t>
  </si>
  <si>
    <t>6100035145</t>
  </si>
  <si>
    <t>4700421822</t>
  </si>
  <si>
    <t>6100047416</t>
  </si>
  <si>
    <t>4700433072</t>
  </si>
  <si>
    <t>6100057075</t>
  </si>
  <si>
    <t>4700443950</t>
  </si>
  <si>
    <t>6100063511</t>
  </si>
  <si>
    <t>4700456586</t>
  </si>
  <si>
    <t>6100071614</t>
  </si>
  <si>
    <t>4700470283</t>
  </si>
  <si>
    <t>6100081355</t>
  </si>
  <si>
    <t>4700484388</t>
  </si>
  <si>
    <t>6100094661</t>
  </si>
  <si>
    <t>4700499647</t>
  </si>
  <si>
    <t>6100115187</t>
  </si>
  <si>
    <t>4700512823</t>
  </si>
  <si>
    <t>6100134525</t>
  </si>
  <si>
    <t>4700527544</t>
  </si>
  <si>
    <t>6100007323</t>
  </si>
  <si>
    <t>4700545544</t>
  </si>
  <si>
    <t>6100018743</t>
  </si>
  <si>
    <t>4700555479</t>
  </si>
  <si>
    <t>6100024225</t>
  </si>
  <si>
    <t>4700570324</t>
  </si>
  <si>
    <t>6100031555</t>
  </si>
  <si>
    <t>4700581079</t>
  </si>
  <si>
    <t>6100037653</t>
  </si>
  <si>
    <t>4700595470</t>
  </si>
  <si>
    <t>6100044140</t>
  </si>
  <si>
    <t>4700609297</t>
  </si>
  <si>
    <t>6100047951</t>
  </si>
  <si>
    <t>4700630390</t>
  </si>
  <si>
    <t>6100055917</t>
  </si>
  <si>
    <t>4700641616</t>
  </si>
  <si>
    <t>6100061046</t>
  </si>
  <si>
    <t>4700654591</t>
  </si>
  <si>
    <t>6100070017</t>
  </si>
  <si>
    <t>4700669309</t>
  </si>
  <si>
    <t>6100081327</t>
  </si>
  <si>
    <t>4700686258</t>
  </si>
  <si>
    <t>6100094193</t>
  </si>
  <si>
    <t>4700391564</t>
  </si>
  <si>
    <t>6100012706</t>
  </si>
  <si>
    <t>4700526137</t>
  </si>
  <si>
    <t>6100004554</t>
  </si>
  <si>
    <t>SERV. DE ACUEDUCTO SEDE PPAL</t>
  </si>
  <si>
    <t>4700542566</t>
  </si>
  <si>
    <t>6100017666</t>
  </si>
  <si>
    <t>4700553643</t>
  </si>
  <si>
    <t>6100023962</t>
  </si>
  <si>
    <t>4700570349</t>
  </si>
  <si>
    <t>6100031236</t>
  </si>
  <si>
    <t>4700582386</t>
  </si>
  <si>
    <t>6100038099</t>
  </si>
  <si>
    <t>4700594903</t>
  </si>
  <si>
    <t>6100043920</t>
  </si>
  <si>
    <t>4700606176</t>
  </si>
  <si>
    <t>6100047336</t>
  </si>
  <si>
    <t>SERV. DE ACUEDUCTO SEDE</t>
  </si>
  <si>
    <t>4700624884</t>
  </si>
  <si>
    <t>6100053778</t>
  </si>
  <si>
    <t>4700640302</t>
  </si>
  <si>
    <t>6100060696</t>
  </si>
  <si>
    <t>4700660711</t>
  </si>
  <si>
    <t>6100073290</t>
  </si>
  <si>
    <t>4700671785</t>
  </si>
  <si>
    <t>6100081763</t>
  </si>
  <si>
    <t>4700686542</t>
  </si>
  <si>
    <t>6100093087</t>
  </si>
  <si>
    <t>4700392609</t>
  </si>
  <si>
    <t>6100013539</t>
  </si>
  <si>
    <t>6100013555</t>
  </si>
  <si>
    <t>4700536411</t>
  </si>
  <si>
    <t>6100013742</t>
  </si>
  <si>
    <t>6100014068</t>
  </si>
  <si>
    <t>4700377378</t>
  </si>
  <si>
    <t>6100003219</t>
  </si>
  <si>
    <t>4700392626</t>
  </si>
  <si>
    <t>6100013518</t>
  </si>
  <si>
    <t>4700406850</t>
  </si>
  <si>
    <t>6100022558</t>
  </si>
  <si>
    <t>4700415296</t>
  </si>
  <si>
    <t>6100033899</t>
  </si>
  <si>
    <t>4700420473</t>
  </si>
  <si>
    <t>6100042982</t>
  </si>
  <si>
    <t>4700433206</t>
  </si>
  <si>
    <t>6100057865</t>
  </si>
  <si>
    <t>4700440507</t>
  </si>
  <si>
    <t>6100061398</t>
  </si>
  <si>
    <t>4700455722</t>
  </si>
  <si>
    <t>6100070955</t>
  </si>
  <si>
    <t>4700471125</t>
  </si>
  <si>
    <t>6100081379</t>
  </si>
  <si>
    <t>4700484644</t>
  </si>
  <si>
    <t>6100095891</t>
  </si>
  <si>
    <t>4700500326</t>
  </si>
  <si>
    <t>6100116254</t>
  </si>
  <si>
    <t>4700510898</t>
  </si>
  <si>
    <t>6100132016</t>
  </si>
  <si>
    <t>4700541866</t>
  </si>
  <si>
    <t>6100017523</t>
  </si>
  <si>
    <t>SERVICIOS PUBLICOS</t>
  </si>
  <si>
    <t>6100017667</t>
  </si>
  <si>
    <t>6100023961</t>
  </si>
  <si>
    <t>6100031234</t>
  </si>
  <si>
    <t>6100038098</t>
  </si>
  <si>
    <t>4700592417</t>
  </si>
  <si>
    <t>6100042461</t>
  </si>
  <si>
    <t>PAGO SERV. DE AGUA</t>
  </si>
  <si>
    <t>6100043918</t>
  </si>
  <si>
    <t>6100047209</t>
  </si>
  <si>
    <t>4700612489</t>
  </si>
  <si>
    <t>6100049244</t>
  </si>
  <si>
    <t>PAGO DE SERVICIO DE AGUA</t>
  </si>
  <si>
    <t>6100053771</t>
  </si>
  <si>
    <t>6100060694</t>
  </si>
  <si>
    <t>4700642401</t>
  </si>
  <si>
    <t>6100061554</t>
  </si>
  <si>
    <t>PAGO DE SERVICIOS PUBLICOS DE AGUA</t>
  </si>
  <si>
    <t>4700656130</t>
  </si>
  <si>
    <t>6100072487</t>
  </si>
  <si>
    <t>PAGO DE SER DE AGUA</t>
  </si>
  <si>
    <t>6100073288</t>
  </si>
  <si>
    <t>6100081761</t>
  </si>
  <si>
    <t>4700671232</t>
  </si>
  <si>
    <t>6100084326</t>
  </si>
  <si>
    <t>6100093084</t>
  </si>
  <si>
    <t>4700686139</t>
  </si>
  <si>
    <t>6100093455</t>
  </si>
  <si>
    <t>4700425902</t>
  </si>
  <si>
    <t>6100050584</t>
  </si>
  <si>
    <t>SERVICIOS PUBLICOS OFI MEDELLIN</t>
  </si>
  <si>
    <t>4700431817</t>
  </si>
  <si>
    <t>6100055416</t>
  </si>
  <si>
    <t>PAGO DE SERVICIO DE AGUA OFI MEDELLIN</t>
  </si>
  <si>
    <t>4700444675</t>
  </si>
  <si>
    <t>6100063666</t>
  </si>
  <si>
    <t>servicios publicos ofi medellin</t>
  </si>
  <si>
    <t>4700456879</t>
  </si>
  <si>
    <t>6100070979</t>
  </si>
  <si>
    <t>SERVICIOS DE AGUA OFI MEDELLIN</t>
  </si>
  <si>
    <t>4700471065</t>
  </si>
  <si>
    <t>6100081347</t>
  </si>
  <si>
    <t>4700501178</t>
  </si>
  <si>
    <t>6100117868</t>
  </si>
  <si>
    <t>6100117869</t>
  </si>
  <si>
    <t>4700512265</t>
  </si>
  <si>
    <t>6100133472</t>
  </si>
  <si>
    <t>4700526140</t>
  </si>
  <si>
    <t>6100004533</t>
  </si>
  <si>
    <t>SERV. DE ACUEDUCTO ANTIGUO TESORO</t>
  </si>
  <si>
    <t>6100004552</t>
  </si>
  <si>
    <t>4700528561</t>
  </si>
  <si>
    <t>6100007371</t>
  </si>
  <si>
    <t>SERVICIOS PUBLICOS T MEDELLIN</t>
  </si>
  <si>
    <t>4700542550</t>
  </si>
  <si>
    <t>6100017664</t>
  </si>
  <si>
    <t>4700553646</t>
  </si>
  <si>
    <t>6100023963</t>
  </si>
  <si>
    <t>4700555234</t>
  </si>
  <si>
    <t>6100024347</t>
  </si>
  <si>
    <t>PAGO DE SERVICIOS PUBLICOS OFI MEDELLIN</t>
  </si>
  <si>
    <t>4700570347</t>
  </si>
  <si>
    <t>6100031233</t>
  </si>
  <si>
    <t>ACUEDUCTO LOCAL ANT TESORO</t>
  </si>
  <si>
    <t>4700572320</t>
  </si>
  <si>
    <t>6100032840</t>
  </si>
  <si>
    <t>PAGO SERVICIO DE AGUA OFICINA MEDELLIN</t>
  </si>
  <si>
    <t>4700582079</t>
  </si>
  <si>
    <t>6100038101</t>
  </si>
  <si>
    <t>SERV. DE ACUEDUCTO LOCAL A.TESORO</t>
  </si>
  <si>
    <t>4700581561</t>
  </si>
  <si>
    <t>6100038764</t>
  </si>
  <si>
    <t>pago de srvicios agua ofi medellin</t>
  </si>
  <si>
    <t>4700598438</t>
  </si>
  <si>
    <t>6100044885</t>
  </si>
  <si>
    <t>4700606177</t>
  </si>
  <si>
    <t>6100047211</t>
  </si>
  <si>
    <t>SERV. DE ACUEDUCTO  LOCAL TESORO</t>
  </si>
  <si>
    <t>4700624888</t>
  </si>
  <si>
    <t>6100053780</t>
  </si>
  <si>
    <t>4700627170</t>
  </si>
  <si>
    <t>6100054886</t>
  </si>
  <si>
    <t>servicios publicos oficina medellin</t>
  </si>
  <si>
    <t>4700640298</t>
  </si>
  <si>
    <t>6100060697</t>
  </si>
  <si>
    <t>SERV. DE ACUEDUCTO ANT TESORO</t>
  </si>
  <si>
    <t>4700660716</t>
  </si>
  <si>
    <t>6100073286</t>
  </si>
  <si>
    <t>Total 2020-2021</t>
  </si>
  <si>
    <t>Total base año 1</t>
  </si>
  <si>
    <t>IPC 2023</t>
  </si>
  <si>
    <t>PROYECCIÓN GASTOS DE ACUDUCTO</t>
  </si>
  <si>
    <t>Servicio de energia</t>
  </si>
  <si>
    <t>Fecha de documento</t>
  </si>
  <si>
    <t>RE</t>
  </si>
  <si>
    <t>B101 Servicio de energia PSCC Andes principal</t>
  </si>
  <si>
    <t>B101 Servicio de energia PSCC Andes Principal</t>
  </si>
  <si>
    <t>B101 Servic de energia PSCC A. Ppal mayo</t>
  </si>
  <si>
    <t>B101 Servic de energia PSCC A. Ppal. mayo</t>
  </si>
  <si>
    <t>BF01 Servicio de energia PSCC Andes Ppal</t>
  </si>
  <si>
    <t>B101 Servicio de energia PSCC Andes Ppal</t>
  </si>
  <si>
    <t>B101 Servicio energia Pscc Andes Principal</t>
  </si>
  <si>
    <t>B101 Servicio energia pscc Andes Principal</t>
  </si>
  <si>
    <t>RY</t>
  </si>
  <si>
    <t>B101 ENERGIA PSCC ANDES PPAL JUNIO- JULIO</t>
  </si>
  <si>
    <t>B101 SERV DE ENERGIA PSCC PPAL MARZO</t>
  </si>
  <si>
    <t>745779743-67</t>
  </si>
  <si>
    <t>B101 Servicio de energia pscc Principal</t>
  </si>
  <si>
    <t>745779774-18</t>
  </si>
  <si>
    <t>754826754-41</t>
  </si>
  <si>
    <t>B101 SERV DE ENERGIA PSCC ANDES PPAL FEBRERO</t>
  </si>
  <si>
    <t>754826768-48</t>
  </si>
  <si>
    <t>786188757-76</t>
  </si>
  <si>
    <t>B101 SERVICIO DE ENERGIA PSCC PPAL</t>
  </si>
  <si>
    <t>786188769-21</t>
  </si>
  <si>
    <t>806351379-76</t>
  </si>
  <si>
    <t>SERV DE ENERGIA PSCC PRINCIPAL- CONSUMO DIC-ENE</t>
  </si>
  <si>
    <t>806351394-87</t>
  </si>
  <si>
    <t>821452340-85</t>
  </si>
  <si>
    <t>B101 SERV DE ENERGIA PSCC ANDES PPAL ABRIL</t>
  </si>
  <si>
    <t>821452356-24</t>
  </si>
  <si>
    <t>831427454-80</t>
  </si>
  <si>
    <t>B101 SERV DE ENERGIA PSCC ANDES PPAL JUNO</t>
  </si>
  <si>
    <t>836658170-77</t>
  </si>
  <si>
    <t>B101 SERV DE ENERGIA PSCC ANDES PPAL JULIO</t>
  </si>
  <si>
    <t>841756302-74</t>
  </si>
  <si>
    <t>B101 Servicio de energia PSCC Andes</t>
  </si>
  <si>
    <t>846821360-90</t>
  </si>
  <si>
    <t>B101-Servicio de nergia PSCC Andes</t>
  </si>
  <si>
    <t>1761419709-26</t>
  </si>
  <si>
    <t>Servicio de energia Almacen-PSCC Betania</t>
  </si>
  <si>
    <t>778274740-94</t>
  </si>
  <si>
    <t>B102 SERV DE ENERGIA PSCC Y ALMACEN BETANIA AGOSTO</t>
  </si>
  <si>
    <t>794327705-26</t>
  </si>
  <si>
    <t>B001 Servicio de energia PSCC y alm Betania</t>
  </si>
  <si>
    <t>804301976-82</t>
  </si>
  <si>
    <t>BF02 Servicio de energia pscc almacen Betania</t>
  </si>
  <si>
    <t>860385449-96</t>
  </si>
  <si>
    <t>Servicio de energia PSCC -Almacen Betania</t>
  </si>
  <si>
    <t>B103 Servicio energia pscc y almacen Bolivar</t>
  </si>
  <si>
    <t>B103 Servicio de energia almacen y PSCC Bolivar</t>
  </si>
  <si>
    <t>820309580-03</t>
  </si>
  <si>
    <t>B103 SERV DE ENERGIA PSCC Y ALMACEN BOLIVAR ABRIL</t>
  </si>
  <si>
    <t>835348070-74</t>
  </si>
  <si>
    <t>Servicio de energia PSCC-Almacen Bolivar</t>
  </si>
  <si>
    <t>840495786-58</t>
  </si>
  <si>
    <t>B103 SERV DE ENERGIA PSCC Y ALM BOLIVAR AGOSTO</t>
  </si>
  <si>
    <t>850721500-57</t>
  </si>
  <si>
    <t>855973842-57</t>
  </si>
  <si>
    <t>Servicio de energia PSCC-almacen Bolivar</t>
  </si>
  <si>
    <t>B104-Servicio de energia PSCC Jardin</t>
  </si>
  <si>
    <t>B104 Servicio energia pscc Jardin</t>
  </si>
  <si>
    <t>B104 Servicio de energia PSCC Jardin</t>
  </si>
  <si>
    <t>748913237-25</t>
  </si>
  <si>
    <t>B104-servicio de energia PSCC Jardin</t>
  </si>
  <si>
    <t>765284236-55</t>
  </si>
  <si>
    <t>769658885-14</t>
  </si>
  <si>
    <t>B104-Servicios de energia PSCC Jardin</t>
  </si>
  <si>
    <t>794877511-65</t>
  </si>
  <si>
    <t>Servicio de energia PSCC Jardin</t>
  </si>
  <si>
    <t>814580094-52</t>
  </si>
  <si>
    <t>824745640-40</t>
  </si>
  <si>
    <t>829837480-55</t>
  </si>
  <si>
    <t>Servicio de Energia PSCC Jardin</t>
  </si>
  <si>
    <t>845078515-82</t>
  </si>
  <si>
    <t>850339868-00</t>
  </si>
  <si>
    <t>B105 Servicio energia pscc Hispania</t>
  </si>
  <si>
    <t>B105 Servicio de energia pscc Hispania</t>
  </si>
  <si>
    <t>B105 Servicio de energia PSCC Hispania</t>
  </si>
  <si>
    <t>BF05 Servicio energia pscc Hispania</t>
  </si>
  <si>
    <t>B105 Servicio de energia electrica Hispania</t>
  </si>
  <si>
    <t>B105 Servicio de energia pscc almacen hispania</t>
  </si>
  <si>
    <t>B105-servicio de energia PSCC Hispania</t>
  </si>
  <si>
    <t>B105 SERVICIO DE ENERGIA PSCC HISPANIA</t>
  </si>
  <si>
    <t>775099594-91</t>
  </si>
  <si>
    <t>B105 SERVIO DE ENERGIA EPM HISPANIA</t>
  </si>
  <si>
    <t>790715884-14</t>
  </si>
  <si>
    <t>servicio de energia PSCC HISPANIA</t>
  </si>
  <si>
    <t>825469805-40</t>
  </si>
  <si>
    <t>Servicio de energia PSCC Hispania</t>
  </si>
  <si>
    <t>840965186-15</t>
  </si>
  <si>
    <t>856743647-52</t>
  </si>
  <si>
    <t>B105-Servicio de energia PSCC Hispania</t>
  </si>
  <si>
    <t>servicio de energia almacén y pscc plaza</t>
  </si>
  <si>
    <t>B106 Servicio de energia PSCC y almacen Andes Plaz</t>
  </si>
  <si>
    <t>Servicio de energia pscc almacen plaza</t>
  </si>
  <si>
    <t>B106 Servicio energia pscc y almacen Plaza</t>
  </si>
  <si>
    <t>BF06 Servicio de energia almacen y pscc plaza</t>
  </si>
  <si>
    <t>BF06 Servicio de energia almacen Andes Plaza</t>
  </si>
  <si>
    <t>B106 Servicio de energia PSCC Andes Plaza</t>
  </si>
  <si>
    <t>745792623-98</t>
  </si>
  <si>
    <t>BF06 Servicio de energia pscc y almacen Andes Plaz</t>
  </si>
  <si>
    <t>750264956-69</t>
  </si>
  <si>
    <t>BF06 SERV DE ENERGIA ALM Y PSCC ANDES PLAZA</t>
  </si>
  <si>
    <t>766648402-87</t>
  </si>
  <si>
    <t>BF06-servicio de energia Almacen-PSCC Plaza</t>
  </si>
  <si>
    <t>806358757-74</t>
  </si>
  <si>
    <t>SERVICIO DE ENERGIA ALM-PSCC PLAZA</t>
  </si>
  <si>
    <t>836658903-35</t>
  </si>
  <si>
    <t>Servicio de energia energia PSCC-Almacen Plaza</t>
  </si>
  <si>
    <t>B107 Servicio energia pscc Santa Rita</t>
  </si>
  <si>
    <t>B107 Servicio de energia PSCC Santa Rita</t>
  </si>
  <si>
    <t>B001 Servicio de energia PSCC Sata Rita</t>
  </si>
  <si>
    <t>768623142-10</t>
  </si>
  <si>
    <t>B107 SERV DE ENERGIA PSCC STA RITA JUNIO</t>
  </si>
  <si>
    <t>773369884-65</t>
  </si>
  <si>
    <t>B107 SERV DE ENERGIA PSCC SANTA RITA JULIO</t>
  </si>
  <si>
    <t>777810632-71</t>
  </si>
  <si>
    <t>B107 SERV DE ENERGIA PSCC SANTA RITA AGOSTO</t>
  </si>
  <si>
    <t>808377388-02</t>
  </si>
  <si>
    <t>servicio de energia pscc santa rita</t>
  </si>
  <si>
    <t>81877592-74</t>
  </si>
  <si>
    <t>B107-Servicio de energia PSCC Santa Rita</t>
  </si>
  <si>
    <t>823583780-33</t>
  </si>
  <si>
    <t>B107 SERV DE ENERGIA PSCC SANTA RITA MAYO</t>
  </si>
  <si>
    <t>828505777-31</t>
  </si>
  <si>
    <t>BF07 SERV DE ENERGIA ALM STA RITA JUNIO</t>
  </si>
  <si>
    <t>833664588-57</t>
  </si>
  <si>
    <t>Servicio de energia PSCC Santa Rita</t>
  </si>
  <si>
    <t>838909622-47</t>
  </si>
  <si>
    <t>843911008-65</t>
  </si>
  <si>
    <t>849911660-92</t>
  </si>
  <si>
    <t>B108 Servicio energia pscc Buenos Aires</t>
  </si>
  <si>
    <t>B108 Servicio de energia PSCC Buenos Aires</t>
  </si>
  <si>
    <t>764696143-24</t>
  </si>
  <si>
    <t>B108-servicio de energia PSCC Buenos Aires</t>
  </si>
  <si>
    <t>773369886-17</t>
  </si>
  <si>
    <t>B108 SERV DE ENERGIA PSCC BUENOS AIRES JULIO</t>
  </si>
  <si>
    <t>777810650-56</t>
  </si>
  <si>
    <t>B108  SERV ENERGIA PSCC BUENOS AIRES AGOSTO</t>
  </si>
  <si>
    <t>808377401-90</t>
  </si>
  <si>
    <t>sercicio de energia pscc Buenos Aires</t>
  </si>
  <si>
    <t>818677612-19</t>
  </si>
  <si>
    <t>823583798-14</t>
  </si>
  <si>
    <t>B108 SERV DE ENERGIA PSCC BUENOS AIRES MAYO</t>
  </si>
  <si>
    <t>828505788-65</t>
  </si>
  <si>
    <t>B108 SERV DE ENERGIA PSCC BUENOS AIRES JUNIO</t>
  </si>
  <si>
    <t>B109 Servicio de energia PSCC Taparto</t>
  </si>
  <si>
    <t>B109 SERV DE ENERGIA PSCC TAPRATO ABRIL</t>
  </si>
  <si>
    <t>B113 Servicio de energia PSCC San Jose</t>
  </si>
  <si>
    <t>B109 Servicio energia pscc Taparto</t>
  </si>
  <si>
    <t>B109 servicio de energia PSCC Taparto</t>
  </si>
  <si>
    <t>B109-servicio de energia PSCC Taparto</t>
  </si>
  <si>
    <t>B109 Servicio de energia PSCC taparto</t>
  </si>
  <si>
    <t>B201 Servicio de enegia PSCC Taparto</t>
  </si>
  <si>
    <t>BF09 Servicio de energia PSCC Taparto</t>
  </si>
  <si>
    <t>764637382-66</t>
  </si>
  <si>
    <t>764637388-92</t>
  </si>
  <si>
    <t>773161387-21</t>
  </si>
  <si>
    <t>B109 SERV DE ENERGIA PSCC TAPARTO JULIO</t>
  </si>
  <si>
    <t>773161394-61</t>
  </si>
  <si>
    <t>777771550-61</t>
  </si>
  <si>
    <t>B109 SERV DE ENERGIA PSCC TAPARTO AGOSTO</t>
  </si>
  <si>
    <t>777771560-74</t>
  </si>
  <si>
    <t>808420618-38</t>
  </si>
  <si>
    <t>servicio de energia pscc Taparto</t>
  </si>
  <si>
    <t>808420625-88</t>
  </si>
  <si>
    <t>818713525-18</t>
  </si>
  <si>
    <t>823615403-20</t>
  </si>
  <si>
    <t>B109 SERV DE ENERGIA PSCC TAPARTO MAYO</t>
  </si>
  <si>
    <t>823615412-12</t>
  </si>
  <si>
    <t>828483083-41</t>
  </si>
  <si>
    <t>Servicio de energia PSCC Taparto</t>
  </si>
  <si>
    <t>828483090-91</t>
  </si>
  <si>
    <t>828505800-32</t>
  </si>
  <si>
    <t>BF09 SERV DE ENERGIA PSCC Y ALM TAPARTO JUNIO</t>
  </si>
  <si>
    <t>833664618-05</t>
  </si>
  <si>
    <t>Servicio de energia Almacen-PSCC Taparto</t>
  </si>
  <si>
    <t>843934461-23</t>
  </si>
  <si>
    <t>B109-Servicio de energia PSCC Taparto</t>
  </si>
  <si>
    <t>843934463-65</t>
  </si>
  <si>
    <t>849747011-54</t>
  </si>
  <si>
    <t>849747013-96</t>
  </si>
  <si>
    <t>854353291-23</t>
  </si>
  <si>
    <t>854353293-65</t>
  </si>
  <si>
    <t>BF10-Servicio de energia almacen San Gregorio</t>
  </si>
  <si>
    <t>851475100-02</t>
  </si>
  <si>
    <t>B110-Servicio de energia PSCC San Gregorio</t>
  </si>
  <si>
    <t>B113 Servicio energia pscc San Jose</t>
  </si>
  <si>
    <t>B113 Servcio de energia PSCC San Jose</t>
  </si>
  <si>
    <t>B113 SERVICIO D ENERGIA PSCC SAN JOSE</t>
  </si>
  <si>
    <t>B113-Servivio de energia PSCC San Jose</t>
  </si>
  <si>
    <t>756570330-24</t>
  </si>
  <si>
    <t>B113 SERV DE ENERGIA PSCC SAN JOSE MARZO</t>
  </si>
  <si>
    <t>756570333-87</t>
  </si>
  <si>
    <t>760947641-42</t>
  </si>
  <si>
    <t>B113--servicio de energia PSCC San Jose</t>
  </si>
  <si>
    <t>764639485-76</t>
  </si>
  <si>
    <t>B113-servicio de energia PSCC San Jose</t>
  </si>
  <si>
    <t>764639495-89</t>
  </si>
  <si>
    <t>76947635-22</t>
  </si>
  <si>
    <t>773163569-14</t>
  </si>
  <si>
    <t>BF13 SERV DE ENERGIA PSCC SAN JOSE JULIO</t>
  </si>
  <si>
    <t>773163578-07</t>
  </si>
  <si>
    <t>B113 SERV DE ENERGIA PSCC SAN JOSE JULIO</t>
  </si>
  <si>
    <t>777773852-82</t>
  </si>
  <si>
    <t>788821464-59</t>
  </si>
  <si>
    <t>798393549-08</t>
  </si>
  <si>
    <t>808422008-15</t>
  </si>
  <si>
    <t>servicio de energia pscc San Jose</t>
  </si>
  <si>
    <t>808422016-86</t>
  </si>
  <si>
    <t>818716114-10</t>
  </si>
  <si>
    <t>Servivio de energia PSCC San Jose</t>
  </si>
  <si>
    <t>818716123-02</t>
  </si>
  <si>
    <t>B113 SERV DE ENERGIA PSCC SAN JOSE ABRIL</t>
  </si>
  <si>
    <t>823617999-77</t>
  </si>
  <si>
    <t>B113 SERV DE ENERGIA PSCC SAN JOSE MAYO</t>
  </si>
  <si>
    <t>823618007-60</t>
  </si>
  <si>
    <t>828485486-15</t>
  </si>
  <si>
    <t>Servicio de energia PSCC San Jose</t>
  </si>
  <si>
    <t>828485492-34</t>
  </si>
  <si>
    <t>Servicio de energia electrica PSCC Santa Ines</t>
  </si>
  <si>
    <t>B114 Servicio de energia PSCC Santa Ines</t>
  </si>
  <si>
    <t>B114 Servicio energia pscc Santa Ines</t>
  </si>
  <si>
    <t>B114 Servicio de energia Pscc Santa Ines</t>
  </si>
  <si>
    <t>B104 Servicio de energia PSCC Santa Ines</t>
  </si>
  <si>
    <t>744041095-65</t>
  </si>
  <si>
    <t>B114 Servicio de energia pscc Santa Ines</t>
  </si>
  <si>
    <t>777765878-31</t>
  </si>
  <si>
    <t>B114 SERV DE ENERGIA PSCC SANTA INES AGOSTO</t>
  </si>
  <si>
    <t>798389945-47</t>
  </si>
  <si>
    <t>B114-Servivio de energia PSCC Santa Ines</t>
  </si>
  <si>
    <t>818707362-59</t>
  </si>
  <si>
    <t>B114-servicio de energia PSCC Santa Ines</t>
  </si>
  <si>
    <t>82846738-65</t>
  </si>
  <si>
    <t>B114 SERV DE ENERGIA PSCC SANTA INES JUNIO</t>
  </si>
  <si>
    <t>B116 Servicio de energia PSCC Plazuela</t>
  </si>
  <si>
    <t>B116 Servicio de eneria PSCC Plazuela</t>
  </si>
  <si>
    <t>BF15 Servicio de energia electrica Plazuela</t>
  </si>
  <si>
    <t>B116 Servicio energia pscc Plazuela</t>
  </si>
  <si>
    <t>BF15 Servicio de energia PSCC plazuela</t>
  </si>
  <si>
    <t>B116 Servicio energia Pscc Andes Plazuela</t>
  </si>
  <si>
    <t>B116 Servicio energia pscc Andes Plazuela</t>
  </si>
  <si>
    <t>B116 Servicio de energia PSCC Andes Plazuela</t>
  </si>
  <si>
    <t>B116 Servicio energia Pscc Plazuela</t>
  </si>
  <si>
    <t>B001 Servicio de energia pscc plazuela</t>
  </si>
  <si>
    <t>B116-Servicio de nergia PSCC Plazuela</t>
  </si>
  <si>
    <t>B116  ENERGIA PSCC PLAZUELA JUNIO- JULIO</t>
  </si>
  <si>
    <t>B116 SERV DE ENERGIA PSCC PLAZUELA MARZO</t>
  </si>
  <si>
    <t>745801539-27</t>
  </si>
  <si>
    <t>B116 Servicio de energia pscc Andes Plazuela</t>
  </si>
  <si>
    <t>786174765-83</t>
  </si>
  <si>
    <t>BF01 SERVICIO DE ENERGIA ALMACEN PPAL</t>
  </si>
  <si>
    <t>811416447-99</t>
  </si>
  <si>
    <t>servicio de energia pscc plazuela</t>
  </si>
  <si>
    <t>821447675-19</t>
  </si>
  <si>
    <t>B116 SERV DE ENERGIA PSCC PLAZUELA ABRIL</t>
  </si>
  <si>
    <t>831434746-83</t>
  </si>
  <si>
    <t>B116 SERV DE ENERGIA PSCC PLAZUELA  JUNIO</t>
  </si>
  <si>
    <t>836650676-32</t>
  </si>
  <si>
    <t>B116 SERV DE ENERGIA PSCC PLAZUELA JULIO</t>
  </si>
  <si>
    <t>841747155-34</t>
  </si>
  <si>
    <t>906347078-21</t>
  </si>
  <si>
    <t>SERV DE ENERGIA PSCC PLAZUELA - CONSUMO DIC-ENE</t>
  </si>
  <si>
    <t>805131728-03</t>
  </si>
  <si>
    <t>servicio de energia pscc-bodega fertilizan bolivar</t>
  </si>
  <si>
    <t>840485700-25</t>
  </si>
  <si>
    <t>B117 SERV DE ENERGIA PSCC BOLIVAR N Y BODEGA FERT</t>
  </si>
  <si>
    <t>850715226-58</t>
  </si>
  <si>
    <t>829844595-95</t>
  </si>
  <si>
    <t>Servicio de Energia almacen-PSCC Plaza</t>
  </si>
  <si>
    <t>B001</t>
  </si>
  <si>
    <t>B001 Energia edificio sede principal</t>
  </si>
  <si>
    <t>763045480-69</t>
  </si>
  <si>
    <t>B001-Servicio de energia  oficina Andes Principal</t>
  </si>
  <si>
    <t>846861421-83</t>
  </si>
  <si>
    <t>B001-servicio de energia oficiba Principal</t>
  </si>
  <si>
    <t>B001 Servicio energia local supermercado</t>
  </si>
  <si>
    <t>B001 Servicio energia parqueadero Andes</t>
  </si>
  <si>
    <t>B001 Servicio energia Bodega y paqueadero</t>
  </si>
  <si>
    <t>B001 Servicio energia Parqueadero Admon-Almacen</t>
  </si>
  <si>
    <t>821472290-52</t>
  </si>
  <si>
    <t>B001 SERV DE ENERGIA LOCAL PRIMER PISO ABRIL</t>
  </si>
  <si>
    <t>B001 Servicio energia oficina Anes</t>
  </si>
  <si>
    <t>B801 Servicio de energia sede principal Andes</t>
  </si>
  <si>
    <t>B001 Servicio de energia sede principal</t>
  </si>
  <si>
    <t>B001 Servicio energia oficina Andes</t>
  </si>
  <si>
    <t>B001 Servicio de energia sede ppal</t>
  </si>
  <si>
    <t>B001 Servicio energia edificio Andes</t>
  </si>
  <si>
    <t>B001 SER ENERGIA ELECTRICA JUN-JUL SEDE PPAL</t>
  </si>
  <si>
    <t>B001 SERVICIO DE ENERGIA SEDE PPAL</t>
  </si>
  <si>
    <t>771396562-34</t>
  </si>
  <si>
    <t>B001-Servicio de energia oficina Andes</t>
  </si>
  <si>
    <t>786177883-09</t>
  </si>
  <si>
    <t>Servicio de energia oficina Andes</t>
  </si>
  <si>
    <t>806369382-39</t>
  </si>
  <si>
    <t>Servicio de energia Oficinas Andes Ppal</t>
  </si>
  <si>
    <t>821472251-30</t>
  </si>
  <si>
    <t>B001 SERV. DE ENERGIA SEDE PRINCIPAL ABRIL</t>
  </si>
  <si>
    <t>FLUJOS DE EFECTIVO</t>
  </si>
  <si>
    <t>Cifras en miles de pesos</t>
  </si>
  <si>
    <t>Saldo inicial de caja + CDTs</t>
  </si>
  <si>
    <t>Control</t>
  </si>
  <si>
    <t>Prueba</t>
  </si>
  <si>
    <t>Servicio de internet</t>
  </si>
  <si>
    <t>81175286−33</t>
  </si>
  <si>
    <t>Servicio internet PSCC Andes Principal</t>
  </si>
  <si>
    <t>86596071-27</t>
  </si>
  <si>
    <t>servicio ed internet pscc andes ppal</t>
  </si>
  <si>
    <t>86607257-14</t>
  </si>
  <si>
    <t>servicio de internet Pscc Betania</t>
  </si>
  <si>
    <t>81192215−26</t>
  </si>
  <si>
    <t>Servicio internet Pscc  Bolivar</t>
  </si>
  <si>
    <t>86612226-35</t>
  </si>
  <si>
    <t>Servicio de internet almacen Bolivar</t>
  </si>
  <si>
    <t>81175523-07</t>
  </si>
  <si>
    <t>Servicio internet PSCC Jardin</t>
  </si>
  <si>
    <t>86596145-00</t>
  </si>
  <si>
    <t>servicio de internet pscc Jardin</t>
  </si>
  <si>
    <t>86629601-40</t>
  </si>
  <si>
    <t>SERVICIO DE INTERNET PSCC HISPANIA</t>
  </si>
  <si>
    <t>81175411−57</t>
  </si>
  <si>
    <t>Servicio de internet PSCC Andes Plaza</t>
  </si>
  <si>
    <t>81175449−96</t>
  </si>
  <si>
    <t>Servicio Internet PSCC Plaza</t>
  </si>
  <si>
    <t>86596234-89</t>
  </si>
  <si>
    <t>servicio de internet Pscc Andes plaza</t>
  </si>
  <si>
    <t>86596163-35</t>
  </si>
  <si>
    <t>81175592−41</t>
  </si>
  <si>
    <t>Servicio de Internet PSCC Santa Rita</t>
  </si>
  <si>
    <t>86596272-56</t>
  </si>
  <si>
    <t>Servicio de internet Pscc Santa Rita</t>
  </si>
  <si>
    <t>4700373908</t>
  </si>
  <si>
    <t>SERV.INTERNET</t>
  </si>
  <si>
    <t>4700523408</t>
  </si>
  <si>
    <t>81224425−54</t>
  </si>
  <si>
    <t>Servicio internet PSCC taparto</t>
  </si>
  <si>
    <t>86645356-14</t>
  </si>
  <si>
    <t>Servicio de internet Pscc taparto</t>
  </si>
  <si>
    <t>81175487-64</t>
  </si>
  <si>
    <t>Servicio internet PSCC Plazuela</t>
  </si>
  <si>
    <t>86596117-64</t>
  </si>
  <si>
    <t>serv de internet pscc Plazuela</t>
  </si>
  <si>
    <t>81189783−47</t>
  </si>
  <si>
    <t>Servicio telefono PSCC Bolivar Nueva</t>
  </si>
  <si>
    <t>86609288-22</t>
  </si>
  <si>
    <t>Servicio de internet pscc Bolivar Nueva</t>
  </si>
  <si>
    <t>81175414-87</t>
  </si>
  <si>
    <t>Servicio Internet  PSCC Salgar</t>
  </si>
  <si>
    <t>80195331-98</t>
  </si>
  <si>
    <t>Servicio Internet PSCC Concordia</t>
  </si>
  <si>
    <t>86596172-43</t>
  </si>
  <si>
    <t>servicio de telefono oficina andes ppal</t>
  </si>
  <si>
    <t>86596192-85</t>
  </si>
  <si>
    <t>servicio de internet oficina andes ppal</t>
  </si>
  <si>
    <t>81175471−83</t>
  </si>
  <si>
    <t>SERV DE INTERNET CARTERA JURIDICA</t>
  </si>
  <si>
    <t>serv de internet Cartera Juridica</t>
  </si>
  <si>
    <t>SERV DE INTERNET DIRECCION DE FONDOS</t>
  </si>
  <si>
    <t>81175424−08</t>
  </si>
  <si>
    <t>Servicio internet Direccion de fondos</t>
  </si>
  <si>
    <t>serv de internet Direccion de Fondos</t>
  </si>
  <si>
    <t>86596166-65</t>
  </si>
  <si>
    <t>servicio de internet direccio de fondos</t>
  </si>
  <si>
    <t>SERV DE INTERNET TESORERIA</t>
  </si>
  <si>
    <t>Servicio internet Tesoreria</t>
  </si>
  <si>
    <t>serv de internet Tesoreria</t>
  </si>
  <si>
    <t>servicio de internet tesoreria</t>
  </si>
  <si>
    <t>SERV DE INTERNET CARTERA</t>
  </si>
  <si>
    <t>Servicio internet Cartera</t>
  </si>
  <si>
    <t>serv de internet Cartera</t>
  </si>
  <si>
    <t>servicio de internet cartera</t>
  </si>
  <si>
    <t>servicio de internet almacen Betania</t>
  </si>
  <si>
    <t>Servicio de internet Pscc Bolivar</t>
  </si>
  <si>
    <t>81209641−68</t>
  </si>
  <si>
    <t>Servicio de internet Bodega fertilizante Jardin</t>
  </si>
  <si>
    <t>81209640−55</t>
  </si>
  <si>
    <t>Servicio de Internet almacen Jardin</t>
  </si>
  <si>
    <t>8661116-06</t>
  </si>
  <si>
    <t>86631115-93</t>
  </si>
  <si>
    <t>servicio de internet almacen Jardín</t>
  </si>
  <si>
    <t>SERVICIO DE INTERNET ALM HISPANIA</t>
  </si>
  <si>
    <t>Servicio Internet Almacen Plaza</t>
  </si>
  <si>
    <t>servicio de internet almacen andes Plaza</t>
  </si>
  <si>
    <t>Servicio de internet almacén Santa Rita</t>
  </si>
  <si>
    <t>Servicio de internet almacén Taparto</t>
  </si>
  <si>
    <t>4700377421</t>
  </si>
  <si>
    <t>internet carmen de atrato enero 2020</t>
  </si>
  <si>
    <t>81175543−49</t>
  </si>
  <si>
    <t>Servicio Internet almacen Plazuela</t>
  </si>
  <si>
    <t>4700382705</t>
  </si>
  <si>
    <t>4700383082</t>
  </si>
  <si>
    <t>81212702−67</t>
  </si>
  <si>
    <t>Servicio internet almacen  Montebello</t>
  </si>
  <si>
    <t>81204889−40</t>
  </si>
  <si>
    <t>Servicio internet almacen Fredonia</t>
  </si>
  <si>
    <t>81219275−44</t>
  </si>
  <si>
    <t>Servicio intenet almacen Salgar</t>
  </si>
  <si>
    <t>81215097−03</t>
  </si>
  <si>
    <t>Servicio intenet almacen Pueblorico</t>
  </si>
  <si>
    <t>81204645−96</t>
  </si>
  <si>
    <t>Servicio internet almacen Ebejico</t>
  </si>
  <si>
    <t>81198315−65</t>
  </si>
  <si>
    <t>Servicio de internet Almaccen Concordia</t>
  </si>
  <si>
    <t>81175444−40</t>
  </si>
  <si>
    <t>Servicio de internet  CEDI Andes</t>
  </si>
  <si>
    <t>86596184-81</t>
  </si>
  <si>
    <t>servicio de internet cedi andes</t>
  </si>
  <si>
    <t>340736326-06</t>
  </si>
  <si>
    <t>Servicio telefono 01-31 Diciembre Valledupar</t>
  </si>
  <si>
    <t>4700529181</t>
  </si>
  <si>
    <t>SERV DE INTERNET 2 MILLAS AREA ADMINISTRATIVA</t>
  </si>
  <si>
    <t>serv de internet 2 millas area administrativa</t>
  </si>
  <si>
    <t>81190014−55</t>
  </si>
  <si>
    <t>Servicio de internet  tienda Ciudad Bolivar</t>
  </si>
  <si>
    <t>81209639−23</t>
  </si>
  <si>
    <t>Servicio de internet  tienda Jardin</t>
  </si>
  <si>
    <t>86631117-10</t>
  </si>
  <si>
    <t>Servicio de internet tienda Jardin</t>
  </si>
  <si>
    <t>4700382814</t>
  </si>
  <si>
    <t>BI-1121149553</t>
  </si>
  <si>
    <t>Servicio de internet sede ppal</t>
  </si>
  <si>
    <t>BI-1121168935</t>
  </si>
  <si>
    <t>SERV DE INTERNET GERENCIA</t>
  </si>
  <si>
    <t>Servicio de internet  Gerencia</t>
  </si>
  <si>
    <t>4700377462</t>
  </si>
  <si>
    <t>BICT-1157468246</t>
  </si>
  <si>
    <t>Servicio ineternet gerencia 04/01/2021-04/02/21</t>
  </si>
  <si>
    <t>BICT-1157466435</t>
  </si>
  <si>
    <t>serv de internet Gerencia</t>
  </si>
  <si>
    <t>86596155-31</t>
  </si>
  <si>
    <t>servicio de internet Gerencia</t>
  </si>
  <si>
    <t>servicio de internet gerencia</t>
  </si>
  <si>
    <t>4700528599</t>
  </si>
  <si>
    <t>SERV DE INTERNET ADMINISTRACION</t>
  </si>
  <si>
    <t>Servicio de internet  admón</t>
  </si>
  <si>
    <t>serv de internet Administracion</t>
  </si>
  <si>
    <t>servicio de internet admon</t>
  </si>
  <si>
    <t>SERV DE INTERNET PROYECTOS</t>
  </si>
  <si>
    <t>Servicio de internet  Sistemas gestió</t>
  </si>
  <si>
    <t>SERV DE INTERNET TECNOLOGIA</t>
  </si>
  <si>
    <t>Servicio de internet  Tecnologia</t>
  </si>
  <si>
    <t>serv de internet tegnologia</t>
  </si>
  <si>
    <t>servicio de internet tecnologia</t>
  </si>
  <si>
    <t>SERV DE INTERNET CONTABILIDAD</t>
  </si>
  <si>
    <t>serv de internet Contabilidad</t>
  </si>
  <si>
    <t>servicio de internet contabilidad</t>
  </si>
  <si>
    <t>SE DE INTERNET SISTEMAS DE GESTION</t>
  </si>
  <si>
    <t>serv de internet Sistemas de Gestion</t>
  </si>
  <si>
    <t>servicio de internet sistemas gestion</t>
  </si>
  <si>
    <t>SERV DE INTERNET COSTOSY PPTOS</t>
  </si>
  <si>
    <t>serv de internet Costos y presupuestos</t>
  </si>
  <si>
    <t>SERV DE INTERNET JURIDICA</t>
  </si>
  <si>
    <t>Servicio de internet  Juridica</t>
  </si>
  <si>
    <t>serv de internet Juridica</t>
  </si>
  <si>
    <t>servicio de internet jurica</t>
  </si>
  <si>
    <t>SERV DE INTERNET GESTION HUMANA</t>
  </si>
  <si>
    <t>Servicio internet Gestion Humana</t>
  </si>
  <si>
    <t>serv de internet gestion humana</t>
  </si>
  <si>
    <t>servicio de internet gestion humana</t>
  </si>
  <si>
    <t>PROYECCIÓN GASTOS DE ENERGÍA</t>
  </si>
  <si>
    <t>PROYECCIÓN GASTOS DE INTERNET</t>
  </si>
  <si>
    <t xml:space="preserve">TELEFONO </t>
  </si>
  <si>
    <t>Texto cab.documento</t>
  </si>
  <si>
    <t>SERVICIO DE TELEFONO</t>
  </si>
  <si>
    <t>86596059-61</t>
  </si>
  <si>
    <t>86596036-89</t>
  </si>
  <si>
    <t>SERVICIO DE FAX</t>
  </si>
  <si>
    <t>gasto de telefono andes p</t>
  </si>
  <si>
    <t>87464984-68</t>
  </si>
  <si>
    <t>8746506-58</t>
  </si>
  <si>
    <t>87465105-58</t>
  </si>
  <si>
    <t>servicio de telefono Admo</t>
  </si>
  <si>
    <t>87865080-51</t>
  </si>
  <si>
    <t>87865101-09</t>
  </si>
  <si>
    <t>Servicio de telefono</t>
  </si>
  <si>
    <t>87865203-38</t>
  </si>
  <si>
    <t>88224472-02</t>
  </si>
  <si>
    <t>88224582-36</t>
  </si>
  <si>
    <t>88224449-02</t>
  </si>
  <si>
    <t>88609969-83</t>
  </si>
  <si>
    <t>SERVICIO DE TELEFONO ADMO</t>
  </si>
  <si>
    <t>88609817-49</t>
  </si>
  <si>
    <t>88916704-98</t>
  </si>
  <si>
    <t>88916540-12</t>
  </si>
  <si>
    <t>88916568-40</t>
  </si>
  <si>
    <t>89269398-51</t>
  </si>
  <si>
    <t>89269420-32</t>
  </si>
  <si>
    <t>89269526-04</t>
  </si>
  <si>
    <t>89626293-89</t>
  </si>
  <si>
    <t>Servicio telefono</t>
  </si>
  <si>
    <t>89626313-24</t>
  </si>
  <si>
    <t>89626270-18</t>
  </si>
  <si>
    <t>89978532-22</t>
  </si>
  <si>
    <t>89978548-03</t>
  </si>
  <si>
    <t>89978511-77</t>
  </si>
  <si>
    <t>90295869-36</t>
  </si>
  <si>
    <t>90295848-71</t>
  </si>
  <si>
    <t>90295828-39</t>
  </si>
  <si>
    <t>90628975-01</t>
  </si>
  <si>
    <t>90628959-02</t>
  </si>
  <si>
    <t>90966529-50</t>
  </si>
  <si>
    <t>90966491-18</t>
  </si>
  <si>
    <t>KY</t>
  </si>
  <si>
    <t>SERVICIO DE INTER/TELEFON</t>
  </si>
  <si>
    <t>86596136-92</t>
  </si>
  <si>
    <t>SERVICIO INTERNET/TELEFON</t>
  </si>
  <si>
    <t>86596104-13</t>
  </si>
  <si>
    <t>SERVICIO DE LINEA DATAFON</t>
  </si>
  <si>
    <t>86596248-43</t>
  </si>
  <si>
    <t>sercicio nternet/telefon</t>
  </si>
  <si>
    <t>86596222-41</t>
  </si>
  <si>
    <t>86606191-04</t>
  </si>
  <si>
    <t>86631113-76</t>
  </si>
  <si>
    <t>86605108-67</t>
  </si>
  <si>
    <t>86596203-12</t>
  </si>
  <si>
    <t>SERVICIO INTERN/TELEFONO</t>
  </si>
  <si>
    <t>86612214-98</t>
  </si>
  <si>
    <t>servicio telefo/inter psc</t>
  </si>
  <si>
    <t>87514501-02</t>
  </si>
  <si>
    <t>87476749-60</t>
  </si>
  <si>
    <t>87465127-17</t>
  </si>
  <si>
    <t>87500203-01</t>
  </si>
  <si>
    <t>87498987-12</t>
  </si>
  <si>
    <t>87465142-02</t>
  </si>
  <si>
    <t>87465015-66</t>
  </si>
  <si>
    <t>87476226-41</t>
  </si>
  <si>
    <t>87482574-89</t>
  </si>
  <si>
    <t>87465188-56</t>
  </si>
  <si>
    <t>87465068-01</t>
  </si>
  <si>
    <t>87465054-47</t>
  </si>
  <si>
    <t>87465047-46</t>
  </si>
  <si>
    <t>87465158-93</t>
  </si>
  <si>
    <t>87465149-75</t>
  </si>
  <si>
    <t>87913351-53</t>
  </si>
  <si>
    <t>87898980-33</t>
  </si>
  <si>
    <t>87876990-96</t>
  </si>
  <si>
    <t>87881646-18</t>
  </si>
  <si>
    <t>87865115-63</t>
  </si>
  <si>
    <t>87865228-27</t>
  </si>
  <si>
    <t>Servicio de internet/tele</t>
  </si>
  <si>
    <t>87865281-80</t>
  </si>
  <si>
    <t>87865248-69</t>
  </si>
  <si>
    <t>sercicio internet/telefon</t>
  </si>
  <si>
    <t>87865241-96</t>
  </si>
  <si>
    <t>87865256-73</t>
  </si>
  <si>
    <t>87865168-08</t>
  </si>
  <si>
    <t>87865155-57</t>
  </si>
  <si>
    <t>87865145-26</t>
  </si>
  <si>
    <t>87876251-52</t>
  </si>
  <si>
    <t>88224487-70</t>
  </si>
  <si>
    <t>SERVICIO TELEFONO/INTERNE</t>
  </si>
  <si>
    <t>88224602-71</t>
  </si>
  <si>
    <t>88224659-59</t>
  </si>
  <si>
    <t>88272285-41</t>
  </si>
  <si>
    <t>88235206-15</t>
  </si>
  <si>
    <t>88257579-81</t>
  </si>
  <si>
    <t>88241079-96</t>
  </si>
  <si>
    <t>88256943-70</t>
  </si>
  <si>
    <t>88236100-64</t>
  </si>
  <si>
    <t>88224615-22</t>
  </si>
  <si>
    <t>88224627-60</t>
  </si>
  <si>
    <t>88224636-77</t>
  </si>
  <si>
    <t>88224535-51</t>
  </si>
  <si>
    <t>SERV INTERNET/TELEFONO</t>
  </si>
  <si>
    <t>88224548-02</t>
  </si>
  <si>
    <t>88224524-27</t>
  </si>
  <si>
    <t>88609931-34</t>
  </si>
  <si>
    <t>88609913-18</t>
  </si>
  <si>
    <t>88609900-68</t>
  </si>
  <si>
    <t>88610054-41</t>
  </si>
  <si>
    <t>88610040-77</t>
  </si>
  <si>
    <t>88610030-56</t>
  </si>
  <si>
    <t>88622652-38</t>
  </si>
  <si>
    <t>88641649-76</t>
  </si>
  <si>
    <t>88622186-88</t>
  </si>
  <si>
    <t>88655844-44</t>
  </si>
  <si>
    <t>88625445-84</t>
  </si>
  <si>
    <t>88610102-22</t>
  </si>
  <si>
    <t>88610006-52</t>
  </si>
  <si>
    <t>88609838-94</t>
  </si>
  <si>
    <t>88640516-59</t>
  </si>
  <si>
    <t>88916727-60</t>
  </si>
  <si>
    <t>88916744-72</t>
  </si>
  <si>
    <t>88916752-86</t>
  </si>
  <si>
    <t>88916767-54</t>
  </si>
  <si>
    <t>88916799-33</t>
  </si>
  <si>
    <t>88929057-36</t>
  </si>
  <si>
    <t>88929513-54</t>
  </si>
  <si>
    <t>88932410-78</t>
  </si>
  <si>
    <t>88948596-58</t>
  </si>
  <si>
    <t>88962723-88</t>
  </si>
  <si>
    <t>88947401-89</t>
  </si>
  <si>
    <t>Telefono e internet Hispa</t>
  </si>
  <si>
    <t>88916664-10</t>
  </si>
  <si>
    <t>88916652-72</t>
  </si>
  <si>
    <t>88916638-80</t>
  </si>
  <si>
    <t>88916589-95</t>
  </si>
  <si>
    <t>89269522-61</t>
  </si>
  <si>
    <t>89269581-84</t>
  </si>
  <si>
    <t>89269591-05</t>
  </si>
  <si>
    <t>89269551-21</t>
  </si>
  <si>
    <t>89269569-28</t>
  </si>
  <si>
    <t>89269457-78</t>
  </si>
  <si>
    <t>89269469-15</t>
  </si>
  <si>
    <t>89269485-14</t>
  </si>
  <si>
    <t>89281837-18</t>
  </si>
  <si>
    <t>89269621-61</t>
  </si>
  <si>
    <t>89284132-51</t>
  </si>
  <si>
    <t>89281398-00</t>
  </si>
  <si>
    <t>89300230-09</t>
  </si>
  <si>
    <t>89269435-09</t>
  </si>
  <si>
    <t>89299101-03</t>
  </si>
  <si>
    <t>TELEFONO E INTERNET</t>
  </si>
  <si>
    <t>89314194-52</t>
  </si>
  <si>
    <t>89638638-98</t>
  </si>
  <si>
    <t>89641186-97</t>
  </si>
  <si>
    <t>89626418-85</t>
  </si>
  <si>
    <t>89626407-51</t>
  </si>
  <si>
    <t>Servicio telefono-Interne</t>
  </si>
  <si>
    <t>89626341-61</t>
  </si>
  <si>
    <t>89626483-85</t>
  </si>
  <si>
    <t>89626368-86</t>
  </si>
  <si>
    <t>89671121-45</t>
  </si>
  <si>
    <t>89626450-93</t>
  </si>
  <si>
    <t>89639041-08</t>
  </si>
  <si>
    <t>89626398-49</t>
  </si>
  <si>
    <t>Servicio linea datafono</t>
  </si>
  <si>
    <t>89626382-68</t>
  </si>
  <si>
    <t>89626353-18</t>
  </si>
  <si>
    <t>89657269-37</t>
  </si>
  <si>
    <t>89990525-89</t>
  </si>
  <si>
    <t>89994881-86</t>
  </si>
  <si>
    <t>90009766-46</t>
  </si>
  <si>
    <t>89978675-59</t>
  </si>
  <si>
    <t>89978689-13</t>
  </si>
  <si>
    <t>89978700-60</t>
  </si>
  <si>
    <t>89978720-02</t>
  </si>
  <si>
    <t>89978604-99</t>
  </si>
  <si>
    <t>90010949-64</t>
  </si>
  <si>
    <t>90024852-06</t>
  </si>
  <si>
    <t>89991141-66</t>
  </si>
  <si>
    <t>89978591-45</t>
  </si>
  <si>
    <t>89978613-06</t>
  </si>
  <si>
    <t>89978627-61</t>
  </si>
  <si>
    <t>89978711-94</t>
  </si>
  <si>
    <t>90295980-92</t>
  </si>
  <si>
    <t>Telefono e internet</t>
  </si>
  <si>
    <t>90308973-95</t>
  </si>
  <si>
    <t>90295896-69</t>
  </si>
  <si>
    <t>90341296-80</t>
  </si>
  <si>
    <t>90295989-81</t>
  </si>
  <si>
    <t>90295913-74</t>
  </si>
  <si>
    <t>90327597-33</t>
  </si>
  <si>
    <t>90326537-86</t>
  </si>
  <si>
    <t>90295907-97</t>
  </si>
  <si>
    <t>90295996-72</t>
  </si>
  <si>
    <t>90295970-71</t>
  </si>
  <si>
    <t>90311782-43</t>
  </si>
  <si>
    <t>90295958-15</t>
  </si>
  <si>
    <t>90295924-09</t>
  </si>
  <si>
    <t>90308449-36</t>
  </si>
  <si>
    <t>90629112-80</t>
  </si>
  <si>
    <t>90661396-82</t>
  </si>
  <si>
    <t>90646244-37</t>
  </si>
  <si>
    <t>90629029-61</t>
  </si>
  <si>
    <t>90629018-37</t>
  </si>
  <si>
    <t>90642027-15</t>
  </si>
  <si>
    <t>90629133-35</t>
  </si>
  <si>
    <t>90629102-69</t>
  </si>
  <si>
    <t>90641430-85</t>
  </si>
  <si>
    <t>90662449-32</t>
  </si>
  <si>
    <t>90629124-28</t>
  </si>
  <si>
    <t>90676165-19</t>
  </si>
  <si>
    <t>90629049-03</t>
  </si>
  <si>
    <t>90629036-52</t>
  </si>
  <si>
    <t>90629088-84</t>
  </si>
  <si>
    <t>90966579-65</t>
  </si>
  <si>
    <t>90966513-79</t>
  </si>
  <si>
    <t>91012231-49</t>
  </si>
  <si>
    <t>90966624-17</t>
  </si>
  <si>
    <t>90966637-68</t>
  </si>
  <si>
    <t>90966655-93</t>
  </si>
  <si>
    <t>90966646-75</t>
  </si>
  <si>
    <t>90966601-45</t>
  </si>
  <si>
    <t>90998608-80</t>
  </si>
  <si>
    <t>90978814-69</t>
  </si>
  <si>
    <t>90997556-44</t>
  </si>
  <si>
    <t>90966663-97</t>
  </si>
  <si>
    <t>90983070-74</t>
  </si>
  <si>
    <t>90979410-04</t>
  </si>
  <si>
    <t>90966590-18</t>
  </si>
  <si>
    <t>90966571-89</t>
  </si>
  <si>
    <t>90966562-71</t>
  </si>
  <si>
    <t>Total año 2021</t>
  </si>
  <si>
    <t>1007010002</t>
  </si>
  <si>
    <t>4700434660</t>
  </si>
  <si>
    <t>6100058064</t>
  </si>
  <si>
    <t>IMPRESIONES</t>
  </si>
  <si>
    <t>1007010001</t>
  </si>
  <si>
    <t>4700492087</t>
  </si>
  <si>
    <t>6100104684</t>
  </si>
  <si>
    <t>4700499362</t>
  </si>
  <si>
    <t>6100114197</t>
  </si>
  <si>
    <t>4700500608</t>
  </si>
  <si>
    <t>6100122054</t>
  </si>
  <si>
    <t>IMPRESION Y PAPELERIA</t>
  </si>
  <si>
    <t>1001020001</t>
  </si>
  <si>
    <t>4700475612</t>
  </si>
  <si>
    <t>6100084931</t>
  </si>
  <si>
    <t>4700477178</t>
  </si>
  <si>
    <t>6100086891</t>
  </si>
  <si>
    <t>4700477994</t>
  </si>
  <si>
    <t>6100086953</t>
  </si>
  <si>
    <t>6100088390</t>
  </si>
  <si>
    <t>4700482766</t>
  </si>
  <si>
    <t>6100092701</t>
  </si>
  <si>
    <t>4700484637</t>
  </si>
  <si>
    <t>6100094154</t>
  </si>
  <si>
    <t>4700487481</t>
  </si>
  <si>
    <t>6100099352</t>
  </si>
  <si>
    <t>4700490684</t>
  </si>
  <si>
    <t>6100102276</t>
  </si>
  <si>
    <t>4700497684</t>
  </si>
  <si>
    <t>6100112837</t>
  </si>
  <si>
    <t>1010010001</t>
  </si>
  <si>
    <t>4700499399</t>
  </si>
  <si>
    <t>6100117673</t>
  </si>
  <si>
    <t>6100122320</t>
  </si>
  <si>
    <t>6100122321</t>
  </si>
  <si>
    <t>SERVICIO DE ARGOLLADO</t>
  </si>
  <si>
    <t>4700509713</t>
  </si>
  <si>
    <t>6100130121</t>
  </si>
  <si>
    <t>1001020004</t>
  </si>
  <si>
    <t>4700509497</t>
  </si>
  <si>
    <t>6100131589</t>
  </si>
  <si>
    <t>1001020003</t>
  </si>
  <si>
    <t>4700509505</t>
  </si>
  <si>
    <t>6100131591</t>
  </si>
  <si>
    <t>4700514178</t>
  </si>
  <si>
    <t>6100139207</t>
  </si>
  <si>
    <t>1002020003</t>
  </si>
  <si>
    <t>4700520433</t>
  </si>
  <si>
    <t>6100144466</t>
  </si>
  <si>
    <t>4700545903</t>
  </si>
  <si>
    <t>6100018519</t>
  </si>
  <si>
    <t>4700562924</t>
  </si>
  <si>
    <t>6100027843</t>
  </si>
  <si>
    <t>TARJETAS PERSONALES</t>
  </si>
  <si>
    <t>4700575227</t>
  </si>
  <si>
    <t>6100033382</t>
  </si>
  <si>
    <t>1002020002</t>
  </si>
  <si>
    <t>4700595294</t>
  </si>
  <si>
    <t>6100043666</t>
  </si>
  <si>
    <t>4700604040</t>
  </si>
  <si>
    <t>6100047099</t>
  </si>
  <si>
    <t>1007010006</t>
  </si>
  <si>
    <t>4700652307</t>
  </si>
  <si>
    <t>6100069989</t>
  </si>
  <si>
    <t>1007010009</t>
  </si>
  <si>
    <t>4700688570</t>
  </si>
  <si>
    <t>6100094989</t>
  </si>
  <si>
    <t>4700525574</t>
  </si>
  <si>
    <t>6100003049</t>
  </si>
  <si>
    <t>1001020002</t>
  </si>
  <si>
    <t>4700528614</t>
  </si>
  <si>
    <t>6100010499</t>
  </si>
  <si>
    <t>4700539367</t>
  </si>
  <si>
    <t>6100015799</t>
  </si>
  <si>
    <t>4700542640</t>
  </si>
  <si>
    <t>6100020278</t>
  </si>
  <si>
    <t>6100021460</t>
  </si>
  <si>
    <t>6100021965</t>
  </si>
  <si>
    <t>4700546317</t>
  </si>
  <si>
    <t>6100022766</t>
  </si>
  <si>
    <t>4700558137</t>
  </si>
  <si>
    <t>6100024891</t>
  </si>
  <si>
    <t>1002010001</t>
  </si>
  <si>
    <t>6100033916</t>
  </si>
  <si>
    <t>4700575208</t>
  </si>
  <si>
    <t>6100034371</t>
  </si>
  <si>
    <t>4700587664</t>
  </si>
  <si>
    <t>6100040690</t>
  </si>
  <si>
    <t>4700597306</t>
  </si>
  <si>
    <t>6100044078</t>
  </si>
  <si>
    <t>4700597298</t>
  </si>
  <si>
    <t>6100044082</t>
  </si>
  <si>
    <t>6100044083</t>
  </si>
  <si>
    <t>4700610711</t>
  </si>
  <si>
    <t>6100050034</t>
  </si>
  <si>
    <t>4700611891</t>
  </si>
  <si>
    <t>6100050111</t>
  </si>
  <si>
    <t>6100050222</t>
  </si>
  <si>
    <t>6100050942</t>
  </si>
  <si>
    <t>4700624122</t>
  </si>
  <si>
    <t>6100053762</t>
  </si>
  <si>
    <t>6100053766</t>
  </si>
  <si>
    <t>4700629426</t>
  </si>
  <si>
    <t>6100055240</t>
  </si>
  <si>
    <t>4700633756</t>
  </si>
  <si>
    <t>6100069991</t>
  </si>
  <si>
    <t>1001010001</t>
  </si>
  <si>
    <t>6100072560</t>
  </si>
  <si>
    <t>1001010017</t>
  </si>
  <si>
    <t>1001010006</t>
  </si>
  <si>
    <t>1001010004</t>
  </si>
  <si>
    <t>1001010003</t>
  </si>
  <si>
    <t>4700666882</t>
  </si>
  <si>
    <t>6100080313</t>
  </si>
  <si>
    <t>1001010002</t>
  </si>
  <si>
    <t>4700669449</t>
  </si>
  <si>
    <t>6100086410</t>
  </si>
  <si>
    <t>RELACION IMPUESTOS PREDIALES</t>
  </si>
  <si>
    <t>PREDIOS NUMERO</t>
  </si>
  <si>
    <t>MATRICULA INMOBILIARIA</t>
  </si>
  <si>
    <t xml:space="preserve">NOMBRE </t>
  </si>
  <si>
    <t>PROPIETARIO</t>
  </si>
  <si>
    <t xml:space="preserve">ESTADO </t>
  </si>
  <si>
    <t>AVALUO 2023</t>
  </si>
  <si>
    <t>AVALUO 2024</t>
  </si>
  <si>
    <t>VALOR IMPUESTO</t>
  </si>
  <si>
    <t>VALOR IMPUESTO + TASA BOMBERIL</t>
  </si>
  <si>
    <t>DESCUENTO</t>
  </si>
  <si>
    <t>VALOR A PAGAR TRIMESTRE 1</t>
  </si>
  <si>
    <t>034-1-001-011-0001-00019-00001-00001</t>
  </si>
  <si>
    <t>EDIFICIO DE LOS ANDES PROPIEDAD HORIZONTAL COMPRAS CAFÉ ANDES PLAZA</t>
  </si>
  <si>
    <t>COOPERATIVA</t>
  </si>
  <si>
    <t>034-1-001-011-0001-00019-00001-00002</t>
  </si>
  <si>
    <t>EDIFICIO DE LOS ANDES PROPIEDAD HORIZONTAL COMPRAS CAFÉ ANDES PLAZA BODEGA ANDES</t>
  </si>
  <si>
    <t>034-1-001-011-0001-00019-00001-00003</t>
  </si>
  <si>
    <t>EDIFICIO DE LOS ANDES PROPIEDAD HORIZONTAL COMPRAS CAFÉ ANDES PLAZA AUDITORIO</t>
  </si>
  <si>
    <t>034-1-001-017-0010-00028-00000-00000</t>
  </si>
  <si>
    <t>COMPRAS DE CAFÉ PRINCIPAL SAN LUIS</t>
  </si>
  <si>
    <t>034-1-004-001-0007-00011-00000-00000</t>
  </si>
  <si>
    <t>COMPRAS DE CAFÉ TAPARTO</t>
  </si>
  <si>
    <t>034-1-003-001-0010-00006-00000-00000</t>
  </si>
  <si>
    <t>034-2-004-000-0032-00060-00000-00000</t>
  </si>
  <si>
    <t>CENTRAL BENEFICIO CHAPARRALA</t>
  </si>
  <si>
    <t>034-1-005-001-0001-00007-00000-00000</t>
  </si>
  <si>
    <t>034-2-004-000-0014-00218-00000-00000</t>
  </si>
  <si>
    <t xml:space="preserve">LOTES COLINDANTES A LA TRILLADORA LA PRADERA </t>
  </si>
  <si>
    <t>034-2-004-000-0014-00239-00000-00000</t>
  </si>
  <si>
    <t>LOTE 02 TRILLADORA</t>
  </si>
  <si>
    <t>034-2-004-000-0014-00240-00000-00000</t>
  </si>
  <si>
    <t>LOTE 03 TRILLADORA</t>
  </si>
  <si>
    <t>034-2-004-000-0014-00242-00000-00000</t>
  </si>
  <si>
    <t xml:space="preserve">SD LOTES TRILLADORA </t>
  </si>
  <si>
    <t>034-1-001-009-0005-00012-00001-00002</t>
  </si>
  <si>
    <t>EDIFICIO DEL CAFÉ RPH PARQUE PRINCIPAL ANDES OFICINAS</t>
  </si>
  <si>
    <t>CREDICORP</t>
  </si>
  <si>
    <t>034-1-001-009-0005-00012-00001-00003</t>
  </si>
  <si>
    <t>EDIFICIO DEL CAFÉ RPH PARQUE PRINCIPAL ANDES ALMACEN DEL CAFÉ</t>
  </si>
  <si>
    <t>034-1-001-009-0005-00012-00001-00004</t>
  </si>
  <si>
    <t>034-1-001-009-0005-00012-00001-00005</t>
  </si>
  <si>
    <t>034-1-001-009-0005-00012-00001-00006</t>
  </si>
  <si>
    <t>EDIFICIO DEL CAFÉ RPH PARQUE PRINCIPAL ANDES SUPERMERCADO</t>
  </si>
  <si>
    <t>034-1-001-009-0005-00013-00000-00000</t>
  </si>
  <si>
    <t>LOTE PARQUEADERO Y CONSTRUCCION COLINDANTE A LAS OFICINAS EDIFICIO PARQUE</t>
  </si>
  <si>
    <t xml:space="preserve"> VENDIDO PENDIENTE ESCRITURA</t>
  </si>
  <si>
    <t>034-2-004-000-0014-00008-00000-00000</t>
  </si>
  <si>
    <t xml:space="preserve">TRILLADORA LA PRADERA </t>
  </si>
  <si>
    <t>EDIFICIO PARQUE PRINCIPAL BETANIA OFICINAS LOCALES COMERCIALES</t>
  </si>
  <si>
    <t>004-46675</t>
  </si>
  <si>
    <t>PUNTO COMPRAS CAFÉ BETANIA</t>
  </si>
  <si>
    <t>004-44565</t>
  </si>
  <si>
    <t>COMPRAS DE CAFÉ PLAZA DE FERIAS BOLIVAR</t>
  </si>
  <si>
    <t xml:space="preserve">BOLIVAR </t>
  </si>
  <si>
    <t>EDIFICIO MARCO JULIO MARIN RPH ALMACEN DEL CAFÉ</t>
  </si>
  <si>
    <t>EDIFICIO MARCO JULIO MARIN RPH COMPRAS DE CAFÉ</t>
  </si>
  <si>
    <t>EDIFICIO MARCO JULIO MARIN RPH OFICINAS Y AUDITORIO</t>
  </si>
  <si>
    <t>CENTRAL BENEFICIO FARALLONES</t>
  </si>
  <si>
    <t>353-1-001-001-0014-00010-0000-0000</t>
  </si>
  <si>
    <t>COMPRAS CAFÉ ALMACEN HISPANIA</t>
  </si>
  <si>
    <t>PARQUEADERO NUMERO 1 EDIFICIO PORVENIR</t>
  </si>
  <si>
    <t>MEDELLIN</t>
  </si>
  <si>
    <t>PARQUEADERO NUMERO 2 EDIFICIO PORVENIR</t>
  </si>
  <si>
    <t>EDIFICIO PORVENIR PH OFICINA 704</t>
  </si>
  <si>
    <t>PROYECCIÓN GASTOS TELÉFONO</t>
  </si>
  <si>
    <t>PROYECCIÓN GASTOS PAPELERÍA</t>
  </si>
  <si>
    <t>PROYECCIÓN GASTOS IMPUESTO PREDIAL</t>
  </si>
  <si>
    <t>1- Para los municipios donde ya se tiene el comprobante de pago 2024, se hizo con cifras actualizadas, los demás se consideran con cifras 2023</t>
  </si>
  <si>
    <t>2- Incluye el predial completo sin considerar el estimado en venta de activos, el cual sería un menor valor de este gasto.</t>
  </si>
  <si>
    <t>ventas año 1</t>
  </si>
  <si>
    <t>ventas año 2</t>
  </si>
  <si>
    <t>Rentas 10%</t>
  </si>
  <si>
    <t>gastos notariales 0.54%</t>
  </si>
  <si>
    <t>total</t>
  </si>
  <si>
    <t>total vendedor  año 1</t>
  </si>
  <si>
    <t>total vendedor  año 2</t>
  </si>
  <si>
    <t xml:space="preserve">Tramites y licencias </t>
  </si>
  <si>
    <t>PROYECCIÓN GASTOS LEGALES</t>
  </si>
  <si>
    <t>Se realiza partiendo del presupuesto de venta de activos y los trámites y licencias de la cifra al cierre de 2023</t>
  </si>
  <si>
    <t>DSX-152 
(Camioneta DMAX)</t>
  </si>
  <si>
    <t>Reparaciones y Mantenimiento General (Repuestos y Mano de Obra)</t>
  </si>
  <si>
    <t>En base a cambios anteriores. En Año 1 se realizaron reparaciones y mantenimientos pendientes.</t>
  </si>
  <si>
    <t>Cambio de Aceite (Tres veces en el año)</t>
  </si>
  <si>
    <t>En base a cambios anteriores</t>
  </si>
  <si>
    <t>Cambio de Llantas (Cada dos años)</t>
  </si>
  <si>
    <t>TOE-393
(Camión International Sencillo)
(Pendiente de Vender)</t>
  </si>
  <si>
    <t>Pendiente de venta</t>
  </si>
  <si>
    <t>Cambio de Aceite</t>
  </si>
  <si>
    <t>Solo una vez, se espera venta en Año 1</t>
  </si>
  <si>
    <t>Cambio de Llantas</t>
  </si>
  <si>
    <t>TOE-535
(Camión NKR Pequeño)
(Pendiente de Vender)</t>
  </si>
  <si>
    <t>Comentarios</t>
  </si>
  <si>
    <t>COMPRAS HISTORICAS CAFÉ PERGAMINO SECO</t>
  </si>
  <si>
    <t>Cantidad café pergamino seco (kg)</t>
  </si>
  <si>
    <t>Precio Café año 1 F88 (Carga)</t>
  </si>
  <si>
    <t>% Part</t>
  </si>
  <si>
    <t>Incremento Cantidad anual y sobreprecio</t>
  </si>
  <si>
    <t>Sobreprecio por carga vendida</t>
  </si>
  <si>
    <t>PROYECCIÓN DE KILOS DE VENTA DE CAFÉ PERGAMINO SECO</t>
  </si>
  <si>
    <t>PUNTOS DE COMPRA REACTIVACIÓN</t>
  </si>
  <si>
    <t>INGRESOS POR VENTA DE CAFÉ PERGAMINO SECO</t>
  </si>
  <si>
    <t>Proyección precio del café</t>
  </si>
  <si>
    <t>COSTOS POR VENTA DE CAFÉ PERGAMINO SECO</t>
  </si>
  <si>
    <t>UTILIDAD BRUTA CAFÉ PERGAMINO SECO</t>
  </si>
  <si>
    <t>VENTAS 2021 ALMACENES DE INSUMOS AGROPECUARIOS</t>
  </si>
  <si>
    <t>Cantidad fertilizantes (Kg)</t>
  </si>
  <si>
    <t>Precio venta fertilizante (saco 50kg)</t>
  </si>
  <si>
    <t>Incremento Cantidad anual</t>
  </si>
  <si>
    <t>CIUDAD BOLIVAR</t>
  </si>
  <si>
    <t>Total sacos (50kg)</t>
  </si>
  <si>
    <t>Total kg</t>
  </si>
  <si>
    <t>Proyección precio tonelada de fertilizante</t>
  </si>
  <si>
    <t>Valor coteo kg</t>
  </si>
  <si>
    <t>Kg Café</t>
  </si>
  <si>
    <t>Coteo</t>
  </si>
  <si>
    <t>Se contará con personal operativo directamente contratado, por lo que el costo de coteo disminuye en cada punto de compra y venta</t>
  </si>
  <si>
    <t>Saldo de caja anual</t>
  </si>
  <si>
    <t>Otros Ingresos</t>
  </si>
  <si>
    <t>Costos Café</t>
  </si>
  <si>
    <t>Costos Almacenes</t>
  </si>
  <si>
    <t xml:space="preserve">Honorarios Agente Especial - Contralor </t>
  </si>
  <si>
    <t>Otros Honorarios</t>
  </si>
  <si>
    <t>Honorarios Juridicos</t>
  </si>
  <si>
    <t>Mantenimiento Y Reparaciones Locativas</t>
  </si>
  <si>
    <t>Sostenimiento Vehiculos</t>
  </si>
  <si>
    <t>Aseo Y Cafetaria</t>
  </si>
  <si>
    <t>Seguros</t>
  </si>
  <si>
    <t>Sistematizacion</t>
  </si>
  <si>
    <t>Gastos Legales</t>
  </si>
  <si>
    <t>Acueducto</t>
  </si>
  <si>
    <t>Energia</t>
  </si>
  <si>
    <t>Internet</t>
  </si>
  <si>
    <t>Telefono</t>
  </si>
  <si>
    <t>Nomina</t>
  </si>
  <si>
    <t>Publicidad</t>
  </si>
  <si>
    <t>Vigilancia</t>
  </si>
  <si>
    <t>Gastos Viaje</t>
  </si>
  <si>
    <t>Arriendo</t>
  </si>
  <si>
    <t>Arrume Y Empacada</t>
  </si>
  <si>
    <t>Fletes</t>
  </si>
  <si>
    <t>Empaques</t>
  </si>
  <si>
    <t>Pepeleria</t>
  </si>
  <si>
    <t>Prediales</t>
  </si>
  <si>
    <t>Combustible</t>
  </si>
  <si>
    <t>Industria Y Comercio</t>
  </si>
  <si>
    <t>Solidaridad</t>
  </si>
  <si>
    <t>Gravamen a los movimientos financieros</t>
  </si>
  <si>
    <t>Rendimientos financieros</t>
  </si>
  <si>
    <t>Se proyecta primer semestre de Año 1, se tiene en arrendamiento.</t>
  </si>
  <si>
    <t>Se proyecta primer semestre de Año 1, se tendrá en arrendamiento.</t>
  </si>
  <si>
    <t>No se proyecta, se tendrá en arrendamiento. Actualmente Agrosura reconoce este servicio.</t>
  </si>
  <si>
    <t>Servicio de Alarma (Teleguardia)</t>
  </si>
  <si>
    <t>En base a servicios anteriores. Año 1 se proyecta solo 6 meses</t>
  </si>
  <si>
    <t>Servicio de Vigilancia Privada (MIRO)</t>
  </si>
  <si>
    <t>En base a servicio actual</t>
  </si>
  <si>
    <t>No se proyecta, se tendrá en arrendamiento.</t>
  </si>
  <si>
    <t>No se proyecta, pendiente arrendar o vender</t>
  </si>
  <si>
    <t>No se proyecta, está en modalidad de arrendamiento</t>
  </si>
  <si>
    <t>No se proyecta, pendiente de arrendar o vender</t>
  </si>
  <si>
    <t>Administrativo</t>
  </si>
  <si>
    <t>Software Contable + Nómina SIIGO (Soporte Anual)</t>
  </si>
  <si>
    <t>En base a lo pagado actualmente</t>
  </si>
  <si>
    <t>Software Antivirus Kaspersky (40 Licencias Anual)</t>
  </si>
  <si>
    <t>Servicio de Monitoreo Servidor + Licencias Windows Server</t>
  </si>
  <si>
    <t>Página Web + 8 Dominios (Alojamiento y Soporte)</t>
  </si>
  <si>
    <t>Compra e Instalación Filtro Perimetral (Seguridad Red)</t>
  </si>
  <si>
    <t>En  base a cotización de proveedor</t>
  </si>
  <si>
    <t>Soporte Anual Filtro Permitral</t>
  </si>
  <si>
    <t>Compra de Dispositivos Periféricos (Teclado, Mouse, entre otros)</t>
  </si>
  <si>
    <t>En base a necesidades histórica - valor promedio mercado</t>
  </si>
  <si>
    <t>Software de Copias de Seguridad (Licencia Anual)</t>
  </si>
  <si>
    <t>En base a últimos valores pagados</t>
  </si>
  <si>
    <t>Compra e Implementación Software de Compras de Café</t>
  </si>
  <si>
    <t>Soporte Anual Software Compras de Café</t>
  </si>
  <si>
    <t>Compra Impresora Multifuncional</t>
  </si>
  <si>
    <t>En base a valor promedio mercado</t>
  </si>
  <si>
    <t>Actividad</t>
  </si>
  <si>
    <t>No. servicios</t>
  </si>
  <si>
    <t>Valor unitario anual</t>
  </si>
  <si>
    <t>Valor total anual</t>
  </si>
  <si>
    <t>Consulta médica</t>
  </si>
  <si>
    <t>Medicamentos</t>
  </si>
  <si>
    <t>Laboratorio</t>
  </si>
  <si>
    <t>Mecánica cafetera</t>
  </si>
  <si>
    <t>Calamidad doméstica</t>
  </si>
  <si>
    <t>Seguro de vida grupo familiar</t>
  </si>
  <si>
    <t>Venta De Activos</t>
  </si>
  <si>
    <t>Mercancia En Consignación</t>
  </si>
  <si>
    <t>Venta Fertilizantes</t>
  </si>
  <si>
    <t>Industria y comercio</t>
  </si>
  <si>
    <t>Valor flete café (kg)</t>
  </si>
  <si>
    <t>Valor flete fertilizante (kg)</t>
  </si>
  <si>
    <t>Empaques por año</t>
  </si>
  <si>
    <t>Vr Unitario</t>
  </si>
  <si>
    <t>Costo Empaques</t>
  </si>
  <si>
    <t>Volver al Flujo de Caja Detallado</t>
  </si>
  <si>
    <t>Se contará con personal operativo directamente contratado, por lo que el costo de arrume y empacada disminuye en cada punto de compra y venta</t>
  </si>
  <si>
    <t>MOVIMIENTOS DE EFECTIVO QUE NO CORRESPONDE A LA OPERACIÓN</t>
  </si>
  <si>
    <t>Pago de acreencias</t>
  </si>
  <si>
    <t>INGRESOS NO OPERACIONALES</t>
  </si>
  <si>
    <t>INGRESOS OPERACIONALES</t>
  </si>
  <si>
    <t>Recaudo cartera</t>
  </si>
  <si>
    <t>Nota. Anderson como este rubro si genera gasto lo incluí en el archivo de simulación del acuerdo</t>
  </si>
  <si>
    <t>1- Se considera recuperación de cartera y alivios financieros, para los tres primeros años proyectados conforme los criterios estimados de recuperación de cartera de acuerdo con el vencimiento y la gestión  de recuperación de la misma.</t>
  </si>
  <si>
    <t>Número de identificación</t>
  </si>
  <si>
    <t>Morosidad</t>
  </si>
  <si>
    <t>Saldo de la operación</t>
  </si>
  <si>
    <t>Recaudo proyectado año 1</t>
  </si>
  <si>
    <t>1- Se considera recuperación de cartera de almacenes, para el primer año conforme los criterios de probabilidad de pago</t>
  </si>
  <si>
    <t>Recaudo Almacenes</t>
  </si>
  <si>
    <t>Recaudo C. Ordinaria</t>
  </si>
  <si>
    <t>Coopcentral</t>
  </si>
  <si>
    <t>Contribuciones y afiliaciones</t>
  </si>
  <si>
    <t>5110190101</t>
  </si>
  <si>
    <t>890203088</t>
  </si>
  <si>
    <t>SUPERINTENDENCIA DE LA ECONOMIA SOL</t>
  </si>
  <si>
    <t>830053043</t>
  </si>
  <si>
    <t>total año</t>
  </si>
  <si>
    <t xml:space="preserve">EGRESOS </t>
  </si>
  <si>
    <t>Repetición x trabajar en varios períodos</t>
  </si>
  <si>
    <t xml:space="preserve">DESDE </t>
  </si>
  <si>
    <t>HASTA CORREGIDO</t>
  </si>
  <si>
    <t>HASTA</t>
  </si>
  <si>
    <t>Días</t>
  </si>
  <si>
    <t>Meses</t>
  </si>
  <si>
    <t>semanas</t>
  </si>
  <si>
    <t>Años</t>
  </si>
  <si>
    <t>Ultimo Salario</t>
  </si>
  <si>
    <t>Fecha del cálculo</t>
  </si>
  <si>
    <t>Valor del cálculo</t>
  </si>
  <si>
    <t>Fecha nacimiento</t>
  </si>
  <si>
    <t>Edad en años</t>
  </si>
  <si>
    <t>En la hoja de vida no aparece</t>
  </si>
  <si>
    <t>Pagado</t>
  </si>
  <si>
    <t>cetil</t>
  </si>
  <si>
    <t>pagado</t>
  </si>
  <si>
    <t>Cetil</t>
  </si>
  <si>
    <t>Pago Bonos Pensionales</t>
  </si>
  <si>
    <t>Pago por procesos jurídicos</t>
  </si>
  <si>
    <t>TOTAL EGRESOS NO OPERACIONALES</t>
  </si>
  <si>
    <t>TOTAL EGRESOS ADMINISTRATIVOS Y OPERACIONALES</t>
  </si>
  <si>
    <t>EGRESOS NO OPERACIONALES</t>
  </si>
  <si>
    <t>CONCEPTO</t>
  </si>
  <si>
    <t>Compras de café</t>
  </si>
  <si>
    <t>% Contribución</t>
  </si>
  <si>
    <t>Año 9</t>
  </si>
  <si>
    <t>Año 10</t>
  </si>
  <si>
    <t>PERGAMINO</t>
  </si>
  <si>
    <t>EXCELSO</t>
  </si>
  <si>
    <t>FNC</t>
  </si>
  <si>
    <t>ENTREGAS DE CAFICULTORES</t>
  </si>
  <si>
    <t>ASOCIADOS</t>
  </si>
  <si>
    <t>ENTREGAS A FNc</t>
  </si>
  <si>
    <t>EQUIVALENCIA CPS</t>
  </si>
  <si>
    <t>Café con entrega Futura</t>
  </si>
  <si>
    <t>Costos Café con entrega futura</t>
  </si>
  <si>
    <t>Desenglobar punto de compra 20%</t>
  </si>
  <si>
    <t xml:space="preserve">Proy acuerdo </t>
  </si>
  <si>
    <t>PERDIDA BRUTA CAFÉ PERGAMINO SECO</t>
  </si>
  <si>
    <t>Estado de situación Financiera (Proyección de reactivación)</t>
  </si>
  <si>
    <t>Kg de café</t>
  </si>
  <si>
    <t>Kg de fertilizantes</t>
  </si>
  <si>
    <t>Año 6 - 10</t>
  </si>
  <si>
    <t>Flujo de caja libre anual</t>
  </si>
  <si>
    <t>Flujo de caja operativo  anual</t>
  </si>
  <si>
    <t>Cantidad Inventario cierre de año</t>
  </si>
  <si>
    <t>Valor inventario cierre de año</t>
  </si>
  <si>
    <t>PROYECCIÓN DE KILOS DE COMPRA DE CAFÉ PERGAMINO SECO</t>
  </si>
  <si>
    <t>Incremento  sobreprecio</t>
  </si>
  <si>
    <t>Deterioro año 3</t>
  </si>
  <si>
    <t>Mesadas pensionales</t>
  </si>
  <si>
    <t>Sueldo</t>
  </si>
  <si>
    <t>Total pago enero-diciembre 2024</t>
  </si>
  <si>
    <t>JORGE RAMIREZ LOPEZ</t>
  </si>
  <si>
    <t>RODRIGO DE JESUS SUAREZ RESTREPO</t>
  </si>
  <si>
    <t>ALBERTO SANTAMARIA TRUJILLO</t>
  </si>
  <si>
    <t>CECILIA GALLEGO DE BUSTAMANTE</t>
  </si>
  <si>
    <t>LUZ ELENA TABORDA SUAZA</t>
  </si>
  <si>
    <t>MARIA FLORENTINA SALDARRIAGA MONTOYA</t>
  </si>
  <si>
    <t>NELLY DE JESUS MONTOYA SIERRA</t>
  </si>
  <si>
    <t>AMPARO DEL SOCORRO RUIZ ALVAREZ</t>
  </si>
  <si>
    <t>GILMA ESCOBAR DE GUERRA</t>
  </si>
  <si>
    <t>MARIA RUTH DURANGO TOBON</t>
  </si>
  <si>
    <t>ALBA NELCY CORREA RESTREPO</t>
  </si>
  <si>
    <t>JESUS DAVID JARAMILLO CORREA</t>
  </si>
  <si>
    <t>Mesada pensional</t>
  </si>
  <si>
    <t>Rango de compraventa de kg cps</t>
  </si>
  <si>
    <t>Promedio 2011 - 2015</t>
  </si>
  <si>
    <t>Promedio 2016 - 2020</t>
  </si>
  <si>
    <t>Promedio proyectado para los primeros 5 años</t>
  </si>
  <si>
    <t>Promedio proyectado para los segundos 5 años</t>
  </si>
  <si>
    <t>No. caf.</t>
  </si>
  <si>
    <t>kg cps</t>
  </si>
  <si>
    <t>No. caficultores</t>
  </si>
  <si>
    <t>Cantidad kg cps</t>
  </si>
  <si>
    <t>% caf.</t>
  </si>
  <si>
    <t>% kg cps</t>
  </si>
  <si>
    <t>1 - 500</t>
  </si>
  <si>
    <t>501 - 1.000</t>
  </si>
  <si>
    <t>1.001 - 5.000</t>
  </si>
  <si>
    <t>5.001 - 10.000</t>
  </si>
  <si>
    <t>10.001 - 50.000</t>
  </si>
  <si>
    <t>50.001 - 100.000</t>
  </si>
  <si>
    <t>100.001 - 500.000</t>
  </si>
  <si>
    <t>500.001 - 1.000.000</t>
  </si>
  <si>
    <t>Mayor a 1.000.000</t>
  </si>
  <si>
    <t>Total compra de café</t>
  </si>
  <si>
    <t>Porcentaje estimado de participación</t>
  </si>
  <si>
    <t>Tamaño estimado del mercado</t>
  </si>
  <si>
    <t>Notas</t>
  </si>
  <si>
    <r>
      <rPr>
        <b/>
        <sz val="9"/>
        <color theme="1"/>
        <rFont val="Calibri"/>
        <family val="2"/>
        <scheme val="minor"/>
      </rPr>
      <t xml:space="preserve">1.015 </t>
    </r>
    <r>
      <rPr>
        <sz val="9"/>
        <color theme="1"/>
        <rFont val="Calibri"/>
        <family val="2"/>
        <scheme val="minor"/>
      </rPr>
      <t xml:space="preserve">caficultores vendieron el </t>
    </r>
    <r>
      <rPr>
        <b/>
        <sz val="9"/>
        <color theme="1"/>
        <rFont val="Calibri"/>
        <family val="2"/>
        <scheme val="minor"/>
      </rPr>
      <t>80%</t>
    </r>
    <r>
      <rPr>
        <sz val="9"/>
        <color theme="1"/>
        <rFont val="Calibri"/>
        <family val="2"/>
        <scheme val="minor"/>
      </rPr>
      <t xml:space="preserve"> del café comprado por COOPERAN</t>
    </r>
  </si>
  <si>
    <r>
      <rPr>
        <b/>
        <sz val="9"/>
        <color theme="1"/>
        <rFont val="Calibri"/>
        <family val="2"/>
        <scheme val="minor"/>
      </rPr>
      <t>193</t>
    </r>
    <r>
      <rPr>
        <sz val="9"/>
        <color theme="1"/>
        <rFont val="Calibri"/>
        <family val="2"/>
        <scheme val="minor"/>
      </rPr>
      <t xml:space="preserve"> caficultores vendieron el </t>
    </r>
    <r>
      <rPr>
        <b/>
        <sz val="9"/>
        <color theme="1"/>
        <rFont val="Calibri"/>
        <family val="2"/>
        <scheme val="minor"/>
      </rPr>
      <t>82%</t>
    </r>
    <r>
      <rPr>
        <sz val="9"/>
        <color theme="1"/>
        <rFont val="Calibri"/>
        <family val="2"/>
        <scheme val="minor"/>
      </rPr>
      <t xml:space="preserve"> del café comprado por COOPERAN</t>
    </r>
  </si>
  <si>
    <r>
      <rPr>
        <b/>
        <sz val="9"/>
        <color theme="1"/>
        <rFont val="Calibri"/>
        <family val="2"/>
        <scheme val="minor"/>
      </rPr>
      <t>2.517</t>
    </r>
    <r>
      <rPr>
        <sz val="9"/>
        <color theme="1"/>
        <rFont val="Calibri"/>
        <family val="2"/>
        <scheme val="minor"/>
      </rPr>
      <t xml:space="preserve"> caficultores vendieron el </t>
    </r>
    <r>
      <rPr>
        <b/>
        <sz val="9"/>
        <color theme="1"/>
        <rFont val="Calibri"/>
        <family val="2"/>
        <scheme val="minor"/>
      </rPr>
      <t xml:space="preserve">82% </t>
    </r>
    <r>
      <rPr>
        <sz val="9"/>
        <color theme="1"/>
        <rFont val="Calibri"/>
        <family val="2"/>
        <scheme val="minor"/>
      </rPr>
      <t>del café comprado por COOPERAN</t>
    </r>
  </si>
  <si>
    <r>
      <rPr>
        <b/>
        <sz val="9"/>
        <color theme="1"/>
        <rFont val="Calibri"/>
        <family val="2"/>
        <scheme val="minor"/>
      </rPr>
      <t>2.522</t>
    </r>
    <r>
      <rPr>
        <sz val="9"/>
        <color theme="1"/>
        <rFont val="Calibri"/>
        <family val="2"/>
        <scheme val="minor"/>
      </rPr>
      <t xml:space="preserve"> caficultores vendiendo el </t>
    </r>
    <r>
      <rPr>
        <b/>
        <sz val="9"/>
        <color theme="1"/>
        <rFont val="Calibri"/>
        <family val="2"/>
        <scheme val="minor"/>
      </rPr>
      <t xml:space="preserve">95% </t>
    </r>
    <r>
      <rPr>
        <sz val="9"/>
        <color theme="1"/>
        <rFont val="Calibri"/>
        <family val="2"/>
        <scheme val="minor"/>
      </rPr>
      <t>del café comprado por COOPERAN</t>
    </r>
  </si>
  <si>
    <r>
      <rPr>
        <b/>
        <sz val="9"/>
        <color theme="1"/>
        <rFont val="Calibri"/>
        <family val="2"/>
        <scheme val="minor"/>
      </rPr>
      <t>2.838</t>
    </r>
    <r>
      <rPr>
        <sz val="9"/>
        <color theme="1"/>
        <rFont val="Calibri"/>
        <family val="2"/>
        <scheme val="minor"/>
      </rPr>
      <t xml:space="preserve"> caficultores vendiendo el </t>
    </r>
    <r>
      <rPr>
        <b/>
        <sz val="9"/>
        <color theme="1"/>
        <rFont val="Calibri"/>
        <family val="2"/>
        <scheme val="minor"/>
      </rPr>
      <t xml:space="preserve">95% </t>
    </r>
    <r>
      <rPr>
        <sz val="9"/>
        <color theme="1"/>
        <rFont val="Calibri"/>
        <family val="2"/>
        <scheme val="minor"/>
      </rPr>
      <t>del café comprado por COOPERAN</t>
    </r>
  </si>
  <si>
    <r>
      <rPr>
        <b/>
        <sz val="9"/>
        <color theme="1"/>
        <rFont val="Calibri"/>
        <family val="2"/>
        <scheme val="minor"/>
      </rPr>
      <t>78</t>
    </r>
    <r>
      <rPr>
        <sz val="9"/>
        <color theme="1"/>
        <rFont val="Calibri"/>
        <family val="2"/>
        <scheme val="minor"/>
      </rPr>
      <t xml:space="preserve"> caficultores vendieron el </t>
    </r>
    <r>
      <rPr>
        <b/>
        <sz val="9"/>
        <color theme="1"/>
        <rFont val="Calibri"/>
        <family val="2"/>
        <scheme val="minor"/>
      </rPr>
      <t>43%</t>
    </r>
    <r>
      <rPr>
        <sz val="9"/>
        <color theme="1"/>
        <rFont val="Calibri"/>
        <family val="2"/>
        <scheme val="minor"/>
      </rPr>
      <t xml:space="preserve"> del café comprado por COOPERAN</t>
    </r>
  </si>
  <si>
    <r>
      <rPr>
        <b/>
        <sz val="9"/>
        <color theme="1"/>
        <rFont val="Calibri"/>
        <family val="2"/>
        <scheme val="minor"/>
      </rPr>
      <t>103</t>
    </r>
    <r>
      <rPr>
        <sz val="9"/>
        <color theme="1"/>
        <rFont val="Calibri"/>
        <family val="2"/>
        <scheme val="minor"/>
      </rPr>
      <t xml:space="preserve"> caficultores vendieron el </t>
    </r>
    <r>
      <rPr>
        <b/>
        <sz val="9"/>
        <color theme="1"/>
        <rFont val="Calibri"/>
        <family val="2"/>
        <scheme val="minor"/>
      </rPr>
      <t xml:space="preserve">49% </t>
    </r>
    <r>
      <rPr>
        <sz val="9"/>
        <color theme="1"/>
        <rFont val="Calibri"/>
        <family val="2"/>
        <scheme val="minor"/>
      </rPr>
      <t>del café comprado por COOPERAN</t>
    </r>
  </si>
  <si>
    <r>
      <rPr>
        <b/>
        <sz val="9"/>
        <color theme="1"/>
        <rFont val="Calibri"/>
        <family val="2"/>
        <scheme val="minor"/>
      </rPr>
      <t>390</t>
    </r>
    <r>
      <rPr>
        <sz val="9"/>
        <color theme="1"/>
        <rFont val="Calibri"/>
        <family val="2"/>
        <scheme val="minor"/>
      </rPr>
      <t xml:space="preserve"> caficultores vendieron el </t>
    </r>
    <r>
      <rPr>
        <b/>
        <sz val="9"/>
        <color theme="1"/>
        <rFont val="Calibri"/>
        <family val="2"/>
        <scheme val="minor"/>
      </rPr>
      <t>49%</t>
    </r>
    <r>
      <rPr>
        <sz val="9"/>
        <color theme="1"/>
        <rFont val="Calibri"/>
        <family val="2"/>
        <scheme val="minor"/>
      </rPr>
      <t xml:space="preserve"> del café comprado por COOPERAN</t>
    </r>
  </si>
  <si>
    <r>
      <rPr>
        <b/>
        <sz val="9"/>
        <color theme="1"/>
        <rFont val="Calibri"/>
        <family val="2"/>
        <scheme val="minor"/>
      </rPr>
      <t>194</t>
    </r>
    <r>
      <rPr>
        <sz val="9"/>
        <color theme="1"/>
        <rFont val="Calibri"/>
        <family val="2"/>
        <scheme val="minor"/>
      </rPr>
      <t xml:space="preserve"> caficultores vendiendo el </t>
    </r>
    <r>
      <rPr>
        <b/>
        <sz val="9"/>
        <color theme="1"/>
        <rFont val="Calibri"/>
        <family val="2"/>
        <scheme val="minor"/>
      </rPr>
      <t>47%</t>
    </r>
    <r>
      <rPr>
        <sz val="9"/>
        <color theme="1"/>
        <rFont val="Calibri"/>
        <family val="2"/>
        <scheme val="minor"/>
      </rPr>
      <t xml:space="preserve"> del café comprado por COOPERAN</t>
    </r>
  </si>
  <si>
    <r>
      <rPr>
        <b/>
        <sz val="9"/>
        <color theme="1"/>
        <rFont val="Calibri"/>
        <family val="2"/>
        <scheme val="minor"/>
      </rPr>
      <t>219</t>
    </r>
    <r>
      <rPr>
        <sz val="9"/>
        <color theme="1"/>
        <rFont val="Calibri"/>
        <family val="2"/>
        <scheme val="minor"/>
      </rPr>
      <t xml:space="preserve"> caficultores vendiendo el </t>
    </r>
    <r>
      <rPr>
        <b/>
        <sz val="9"/>
        <color theme="1"/>
        <rFont val="Calibri"/>
        <family val="2"/>
        <scheme val="minor"/>
      </rPr>
      <t>49%</t>
    </r>
    <r>
      <rPr>
        <sz val="9"/>
        <color theme="1"/>
        <rFont val="Calibri"/>
        <family val="2"/>
        <scheme val="minor"/>
      </rPr>
      <t xml:space="preserve"> del café comprado por COOPERAN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</si>
</sst>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quot;$&quot;\ #,##0.00"/>
    <numFmt numFmtId="167" formatCode="&quot;$&quot;\ #,##0"/>
    <numFmt numFmtId="168" formatCode="_-* #,##0_-;\-* #,##0_-;_-* &quot;-&quot;??_-;_-@_-"/>
    <numFmt numFmtId="169" formatCode="#,##0.0"/>
    <numFmt numFmtId="170" formatCode="_ &quot;$&quot;\ * #,##0.00_ ;_ &quot;$&quot;\ * \-#,##0.00_ ;_ &quot;$&quot;\ * &quot;-&quot;??_ ;_ @_ "/>
    <numFmt numFmtId="171" formatCode="#,##0.0;[Red]\(#,##0.0\)"/>
    <numFmt numFmtId="172" formatCode="_-&quot;$&quot;* #,##0_-;\-&quot;$&quot;* #,##0_-;_-&quot;$&quot;* &quot;-&quot;??_-;_-@_-"/>
    <numFmt numFmtId="173" formatCode="0.000%"/>
    <numFmt numFmtId="174" formatCode="0.0%"/>
    <numFmt numFmtId="175" formatCode="_(* #,##0.00_);_(* \(#,##0.00\);_(* &quot;-&quot;??_);_(@_)"/>
    <numFmt numFmtId="176" formatCode="_(* #,##0_);_(* \(#,##0\);_(* &quot;-&quot;??_);_(@_)"/>
    <numFmt numFmtId="177" formatCode="_-&quot;$&quot;\ * #,##0_-;\-&quot;$&quot;\ * #,##0_-;_-&quot;$&quot;\ * &quot;-&quot;??_-;_-@_-"/>
    <numFmt numFmtId="178" formatCode="_-* #,##0.0_-;\-* #,##0.0_-;_-* &quot;-&quot;??_-;_-@_-"/>
    <numFmt numFmtId="179" formatCode="_-* #,##0.00\ _€_-;\-* #,##0.00\ _€_-;_-* &quot;-&quot;??\ _€_-;_-@_-"/>
    <numFmt numFmtId="180" formatCode="_ * #,##0_ ;_ * \-#,##0_ ;_ * &quot;-&quot;??_ ;_ @_ "/>
    <numFmt numFmtId="181" formatCode="_-* #,##0\ _€_-;\-* #,##0\ _€_-;_-* &quot;-&quot;??\ _€_-;_-@_-"/>
    <numFmt numFmtId="182" formatCode="#,##0.00000"/>
    <numFmt numFmtId="183" formatCode="_ * #,##0.00_ ;_ * \-#,##0.00_ ;_ * &quot;-&quot;??_ ;_ @_ "/>
    <numFmt numFmtId="184" formatCode="dd/mm/yyyy"/>
    <numFmt numFmtId="185" formatCode="0.0"/>
    <numFmt numFmtId="186" formatCode="_-* #,##0.00_-;\-* #,##0.00_-;_-* &quot;-&quot;_-;_-@_-"/>
  </numFmts>
  <fonts count="9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9"/>
      <color indexed="81"/>
      <name val="Tahoma"/>
      <family val="2"/>
    </font>
    <font>
      <sz val="9"/>
      <color theme="1"/>
      <name val="Arial"/>
      <family val="2"/>
    </font>
    <font>
      <u/>
      <sz val="10"/>
      <color theme="10"/>
      <name val="Arial"/>
      <family val="2"/>
    </font>
    <font>
      <b/>
      <sz val="11"/>
      <color theme="0"/>
      <name val="Calibri"/>
      <family val="2"/>
      <scheme val="minor"/>
    </font>
    <font>
      <sz val="10"/>
      <color theme="1"/>
      <name val="Arial"/>
      <family val="2"/>
    </font>
    <font>
      <b/>
      <sz val="10"/>
      <color theme="0"/>
      <name val="Calibri"/>
      <family val="2"/>
      <scheme val="minor"/>
    </font>
    <font>
      <b/>
      <sz val="14"/>
      <color theme="0"/>
      <name val="Calibri"/>
      <family val="2"/>
      <scheme val="minor"/>
    </font>
    <font>
      <sz val="10"/>
      <name val="Calibri"/>
      <family val="2"/>
    </font>
    <font>
      <sz val="10"/>
      <name val="Calibri"/>
      <family val="2"/>
      <scheme val="minor"/>
    </font>
    <font>
      <b/>
      <sz val="10"/>
      <name val="Calibri"/>
      <family val="2"/>
      <scheme val="minor"/>
    </font>
    <font>
      <sz val="10"/>
      <name val="Arial     "/>
    </font>
    <font>
      <sz val="9"/>
      <name val="Calibri"/>
      <family val="2"/>
      <scheme val="minor"/>
    </font>
    <font>
      <sz val="12"/>
      <color theme="1"/>
      <name val="Calibri"/>
      <family val="2"/>
      <scheme val="minor"/>
    </font>
    <font>
      <sz val="9"/>
      <color theme="1"/>
      <name val="Calibri"/>
      <family val="2"/>
      <scheme val="minor"/>
    </font>
    <font>
      <sz val="10"/>
      <name val="Verdana"/>
      <family val="2"/>
    </font>
    <font>
      <sz val="10"/>
      <color theme="1"/>
      <name val="Calibri"/>
      <family val="2"/>
      <scheme val="minor"/>
    </font>
    <font>
      <b/>
      <sz val="9"/>
      <name val="Calibri"/>
      <family val="2"/>
      <scheme val="minor"/>
    </font>
    <font>
      <sz val="10"/>
      <color theme="1"/>
      <name val="Arial     "/>
    </font>
    <font>
      <sz val="11"/>
      <name val="Arial     "/>
    </font>
    <font>
      <b/>
      <sz val="12"/>
      <color rgb="FF1A5AE6"/>
      <name val="Calibri"/>
      <family val="2"/>
      <scheme val="minor"/>
    </font>
    <font>
      <sz val="9"/>
      <color theme="1"/>
      <name val="Arial"/>
      <family val="2"/>
    </font>
    <font>
      <sz val="8"/>
      <name val="Arial"/>
      <family val="2"/>
    </font>
    <font>
      <sz val="10"/>
      <color theme="0"/>
      <name val="Calibri"/>
      <family val="2"/>
      <scheme val="minor"/>
    </font>
    <font>
      <sz val="11"/>
      <color rgb="FF000000"/>
      <name val="Calibri"/>
      <family val="2"/>
    </font>
    <font>
      <b/>
      <sz val="11"/>
      <color theme="0" tint="-4.9989318521683403E-2"/>
      <name val="Calibri"/>
      <family val="2"/>
      <scheme val="minor"/>
    </font>
    <font>
      <sz val="9"/>
      <color indexed="81"/>
      <name val="Tahoma"/>
      <family val="2"/>
    </font>
    <font>
      <sz val="11"/>
      <name val="Calibri"/>
      <family val="2"/>
    </font>
    <font>
      <b/>
      <sz val="11"/>
      <name val="Calibri"/>
      <family val="2"/>
    </font>
    <font>
      <sz val="10"/>
      <color theme="0"/>
      <name val="Arial     "/>
    </font>
    <font>
      <b/>
      <sz val="10"/>
      <color theme="1"/>
      <name val="Arial"/>
      <family val="2"/>
    </font>
    <font>
      <sz val="11"/>
      <color theme="1"/>
      <name val="Arial     "/>
    </font>
    <font>
      <b/>
      <i/>
      <sz val="9"/>
      <color theme="1"/>
      <name val="Arial"/>
      <family val="2"/>
    </font>
    <font>
      <b/>
      <i/>
      <sz val="9"/>
      <color theme="1"/>
      <name val="Calibri"/>
      <family val="2"/>
      <scheme val="minor"/>
    </font>
    <font>
      <b/>
      <i/>
      <sz val="10"/>
      <color theme="1"/>
      <name val="Arial     "/>
    </font>
    <font>
      <b/>
      <i/>
      <sz val="10"/>
      <name val="Arial     "/>
    </font>
    <font>
      <b/>
      <sz val="12"/>
      <color theme="1"/>
      <name val="Calibri"/>
      <family val="2"/>
      <scheme val="minor"/>
    </font>
    <font>
      <b/>
      <sz val="11"/>
      <color theme="1"/>
      <name val="Calibri"/>
      <family val="2"/>
      <scheme val="minor"/>
    </font>
    <font>
      <b/>
      <i/>
      <sz val="11"/>
      <color theme="1"/>
      <name val="Calibri"/>
      <family val="2"/>
      <scheme val="minor"/>
    </font>
    <font>
      <b/>
      <i/>
      <sz val="9"/>
      <name val="Calibri"/>
      <family val="2"/>
      <scheme val="minor"/>
    </font>
    <font>
      <sz val="11"/>
      <color theme="0"/>
      <name val="Calibri"/>
      <family val="2"/>
      <scheme val="minor"/>
    </font>
    <font>
      <b/>
      <sz val="10"/>
      <color theme="1"/>
      <name val="Calibri"/>
      <family val="2"/>
      <scheme val="minor"/>
    </font>
    <font>
      <b/>
      <sz val="11"/>
      <name val="Calibri"/>
      <family val="2"/>
      <scheme val="minor"/>
    </font>
    <font>
      <sz val="11"/>
      <name val="Calibri"/>
      <family val="2"/>
      <scheme val="minor"/>
    </font>
    <font>
      <sz val="11"/>
      <color theme="1" tint="4.9989318521683403E-2"/>
      <name val="Calibri"/>
      <family val="2"/>
      <scheme val="minor"/>
    </font>
    <font>
      <sz val="10"/>
      <color theme="1" tint="4.9989318521683403E-2"/>
      <name val="Calibri"/>
      <family val="2"/>
      <scheme val="minor"/>
    </font>
    <font>
      <b/>
      <sz val="10"/>
      <color rgb="FF755242"/>
      <name val="Calibri"/>
      <family val="2"/>
      <scheme val="minor"/>
    </font>
    <font>
      <sz val="10"/>
      <color rgb="FF003300"/>
      <name val="Calibri"/>
      <family val="2"/>
      <scheme val="minor"/>
    </font>
    <font>
      <sz val="10"/>
      <color rgb="FF2F75B5"/>
      <name val="Calibri"/>
      <family val="2"/>
      <scheme val="minor"/>
    </font>
    <font>
      <sz val="9"/>
      <color rgb="FF0070C0"/>
      <name val="Calibri"/>
      <family val="2"/>
      <scheme val="minor"/>
    </font>
    <font>
      <b/>
      <sz val="9"/>
      <color rgb="FF0070C0"/>
      <name val="Calibri"/>
      <family val="2"/>
      <scheme val="minor"/>
    </font>
    <font>
      <b/>
      <sz val="10"/>
      <color rgb="FF000000"/>
      <name val="Calibri"/>
      <family val="2"/>
    </font>
    <font>
      <sz val="10"/>
      <color rgb="FF000000"/>
      <name val="Calibri"/>
      <family val="2"/>
    </font>
    <font>
      <b/>
      <sz val="14"/>
      <name val="Calibri"/>
      <family val="2"/>
      <scheme val="minor"/>
    </font>
    <font>
      <b/>
      <sz val="14"/>
      <color theme="1"/>
      <name val="Calibri"/>
      <family val="2"/>
      <scheme val="minor"/>
    </font>
    <font>
      <b/>
      <sz val="11"/>
      <color rgb="FF000000"/>
      <name val="Calibri"/>
      <family val="2"/>
    </font>
    <font>
      <b/>
      <sz val="11"/>
      <name val="Arial"/>
      <family val="2"/>
    </font>
    <font>
      <b/>
      <sz val="11"/>
      <color theme="0"/>
      <name val="Calibri"/>
      <family val="2"/>
    </font>
    <font>
      <sz val="11"/>
      <color theme="0"/>
      <name val="Calibri"/>
      <family val="2"/>
    </font>
    <font>
      <sz val="11"/>
      <color rgb="FF000000"/>
      <name val="Calibri"/>
      <family val="2"/>
      <scheme val="minor"/>
    </font>
    <font>
      <b/>
      <sz val="11"/>
      <name val="Calibri"/>
      <family val="1"/>
    </font>
    <font>
      <b/>
      <sz val="11"/>
      <color rgb="FF000000"/>
      <name val="Calibri"/>
      <family val="2"/>
      <scheme val="minor"/>
    </font>
    <font>
      <b/>
      <sz val="14"/>
      <color rgb="FFFFFFFF"/>
      <name val="Calibri"/>
      <family val="2"/>
    </font>
    <font>
      <b/>
      <sz val="14"/>
      <name val="Calibri"/>
      <family val="2"/>
    </font>
    <font>
      <b/>
      <sz val="12"/>
      <name val="Calibri"/>
      <family val="2"/>
    </font>
    <font>
      <sz val="11"/>
      <color theme="1"/>
      <name val="Calibri"/>
      <family val="2"/>
    </font>
    <font>
      <sz val="9"/>
      <color rgb="FF000000"/>
      <name val="Calibri"/>
      <family val="2"/>
    </font>
    <font>
      <sz val="9"/>
      <name val="Calibri"/>
      <family val="2"/>
    </font>
    <font>
      <b/>
      <sz val="9"/>
      <color rgb="FF755242"/>
      <name val="Calibri"/>
      <family val="2"/>
      <scheme val="minor"/>
    </font>
    <font>
      <b/>
      <sz val="9"/>
      <color theme="1" tint="0.249977111117893"/>
      <name val="Calibri"/>
      <family val="2"/>
      <scheme val="minor"/>
    </font>
    <font>
      <b/>
      <sz val="9"/>
      <color theme="0"/>
      <name val="Arial"/>
      <family val="2"/>
    </font>
    <font>
      <b/>
      <sz val="9"/>
      <name val="Calibri"/>
      <family val="2"/>
    </font>
    <font>
      <b/>
      <sz val="9"/>
      <color rgb="FF1A5AE6"/>
      <name val="Calibri"/>
      <family val="2"/>
      <scheme val="minor"/>
    </font>
    <font>
      <sz val="9"/>
      <color theme="0"/>
      <name val="Calibri"/>
      <family val="2"/>
    </font>
    <font>
      <sz val="9"/>
      <color theme="1"/>
      <name val="Calibri"/>
      <family val="2"/>
    </font>
    <font>
      <sz val="9"/>
      <color indexed="17"/>
      <name val="Calibri"/>
      <family val="2"/>
    </font>
    <font>
      <sz val="9"/>
      <color rgb="FF00B0F0"/>
      <name val="Calibri"/>
      <family val="2"/>
      <scheme val="minor"/>
    </font>
    <font>
      <b/>
      <sz val="11"/>
      <color theme="1" tint="4.9989318521683403E-2"/>
      <name val="Calibri"/>
      <family val="2"/>
      <scheme val="minor"/>
    </font>
    <font>
      <b/>
      <sz val="11"/>
      <color rgb="FFFFFFFF"/>
      <name val="Calibri"/>
      <family val="2"/>
    </font>
    <font>
      <b/>
      <sz val="11"/>
      <color rgb="FF2F75B5"/>
      <name val="Calibri"/>
      <family val="2"/>
      <scheme val="minor"/>
    </font>
    <font>
      <u/>
      <sz val="10"/>
      <color rgb="FF2F75B5"/>
      <name val="Arial"/>
      <family val="2"/>
    </font>
    <font>
      <b/>
      <sz val="9"/>
      <color theme="1"/>
      <name val="Calibri"/>
      <family val="2"/>
      <scheme val="minor"/>
    </font>
    <font>
      <b/>
      <sz val="9"/>
      <color theme="1"/>
      <name val="Calibri"/>
      <family val="2"/>
    </font>
  </fonts>
  <fills count="2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DEEDFF"/>
        <bgColor indexed="64"/>
      </patternFill>
    </fill>
    <fill>
      <patternFill patternType="solid">
        <fgColor rgb="FFEFE0C3"/>
        <bgColor indexed="64"/>
      </patternFill>
    </fill>
    <fill>
      <patternFill patternType="solid">
        <fgColor rgb="FF178352"/>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indexed="22"/>
        <bgColor indexed="64"/>
      </patternFill>
    </fill>
    <fill>
      <patternFill patternType="solid">
        <fgColor theme="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rgb="FFF6E8DD"/>
        <bgColor indexed="64"/>
      </patternFill>
    </fill>
    <fill>
      <patternFill patternType="solid">
        <fgColor theme="8" tint="0.79998168889431442"/>
        <bgColor indexed="64"/>
      </patternFill>
    </fill>
    <fill>
      <patternFill patternType="solid">
        <fgColor rgb="FF2F75B5"/>
        <bgColor indexed="64"/>
      </patternFill>
    </fill>
    <fill>
      <patternFill patternType="solid">
        <fgColor rgb="FFF1F4F9"/>
      </patternFill>
    </fill>
    <fill>
      <patternFill patternType="solid">
        <fgColor theme="5" tint="0.79998168889431442"/>
        <bgColor indexed="64"/>
      </patternFill>
    </fill>
    <fill>
      <patternFill patternType="solid">
        <fgColor theme="9" tint="0.79998168889431442"/>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theme="0"/>
      </left>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bottom style="medium">
        <color rgb="FF178352"/>
      </bottom>
      <diagonal/>
    </border>
    <border>
      <left/>
      <right/>
      <top style="thin">
        <color rgb="FF198F5A"/>
      </top>
      <bottom style="double">
        <color rgb="FF198F5A"/>
      </bottom>
      <diagonal/>
    </border>
    <border>
      <left style="medium">
        <color indexed="64"/>
      </left>
      <right style="medium">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top/>
      <bottom style="medium">
        <color rgb="FF41AAAD"/>
      </bottom>
      <diagonal/>
    </border>
    <border>
      <left/>
      <right/>
      <top style="thin">
        <color rgb="FFF6E8DD"/>
      </top>
      <bottom style="thin">
        <color rgb="FFF6E8DD"/>
      </bottom>
      <diagonal/>
    </border>
    <border>
      <left/>
      <right/>
      <top style="thin">
        <color rgb="FF41AAAD"/>
      </top>
      <bottom style="double">
        <color rgb="FF41AAAD"/>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medium">
        <color theme="0" tint="-0.499984740745262"/>
      </left>
      <right style="thin">
        <color indexed="64"/>
      </right>
      <top style="medium">
        <color theme="0" tint="-0.499984740745262"/>
      </top>
      <bottom/>
      <diagonal/>
    </border>
    <border>
      <left style="thin">
        <color indexed="64"/>
      </left>
      <right style="thin">
        <color indexed="64"/>
      </right>
      <top style="medium">
        <color theme="0" tint="-0.499984740745262"/>
      </top>
      <bottom/>
      <diagonal/>
    </border>
    <border>
      <left style="thin">
        <color indexed="64"/>
      </left>
      <right style="medium">
        <color theme="0" tint="-0.499984740745262"/>
      </right>
      <top style="medium">
        <color theme="0" tint="-0.499984740745262"/>
      </top>
      <bottom/>
      <diagonal/>
    </border>
    <border>
      <left style="medium">
        <color theme="0" tint="-0.499984740745262"/>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theme="0" tint="-0.499984740745262"/>
      </right>
      <top style="thin">
        <color theme="0" tint="-0.14996795556505021"/>
      </top>
      <bottom style="thin">
        <color theme="0" tint="-0.14996795556505021"/>
      </bottom>
      <diagonal/>
    </border>
    <border>
      <left style="medium">
        <color theme="0" tint="-0.499984740745262"/>
      </left>
      <right style="thin">
        <color theme="0" tint="-0.14996795556505021"/>
      </right>
      <top style="thin">
        <color theme="0" tint="-0.14996795556505021"/>
      </top>
      <bottom style="medium">
        <color theme="0" tint="-0.499984740745262"/>
      </bottom>
      <diagonal/>
    </border>
    <border>
      <left style="thin">
        <color theme="0" tint="-0.14996795556505021"/>
      </left>
      <right style="thin">
        <color theme="0" tint="-0.14996795556505021"/>
      </right>
      <top style="thin">
        <color theme="0" tint="-0.14996795556505021"/>
      </top>
      <bottom style="medium">
        <color theme="0" tint="-0.499984740745262"/>
      </bottom>
      <diagonal/>
    </border>
    <border>
      <left style="thin">
        <color theme="0" tint="-0.14996795556505021"/>
      </left>
      <right style="medium">
        <color theme="0" tint="-0.499984740745262"/>
      </right>
      <top style="thin">
        <color theme="0" tint="-0.14996795556505021"/>
      </top>
      <bottom style="medium">
        <color theme="0" tint="-0.499984740745262"/>
      </bottom>
      <diagonal/>
    </border>
    <border>
      <left style="thin">
        <color theme="0" tint="-0.14996795556505021"/>
      </left>
      <right style="thin">
        <color theme="0" tint="-0.14996795556505021"/>
      </right>
      <top/>
      <bottom style="thin">
        <color theme="0" tint="-0.14996795556505021"/>
      </bottom>
      <diagonal/>
    </border>
    <border>
      <left style="thin">
        <color indexed="64"/>
      </left>
      <right/>
      <top style="medium">
        <color theme="0" tint="-0.499984740745262"/>
      </top>
      <bottom/>
      <diagonal/>
    </border>
    <border>
      <left style="thin">
        <color theme="0" tint="-0.14996795556505021"/>
      </left>
      <right/>
      <top style="thin">
        <color theme="0" tint="-0.14996795556505021"/>
      </top>
      <bottom style="medium">
        <color theme="0" tint="-0.4999847407452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6795556505021"/>
      </bottom>
      <diagonal/>
    </border>
    <border>
      <left/>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6795556505021"/>
      </right>
      <top style="thin">
        <color theme="0" tint="-0.14996795556505021"/>
      </top>
      <bottom style="thin">
        <color theme="0" tint="-0.14996795556505021"/>
      </bottom>
      <diagonal/>
    </border>
    <border>
      <left style="thin">
        <color rgb="FFC6C6C6"/>
      </left>
      <right style="thin">
        <color rgb="FFC6C6C6"/>
      </right>
      <top style="thin">
        <color rgb="FFC6C6C6"/>
      </top>
      <bottom style="thin">
        <color rgb="FF000000"/>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bottom style="thin">
        <color rgb="FFC6C6C6"/>
      </bottom>
      <diagonal/>
    </border>
    <border>
      <left/>
      <right/>
      <top style="medium">
        <color rgb="FF41AAAD"/>
      </top>
      <bottom style="thin">
        <color rgb="FFF6E8DD"/>
      </bottom>
      <diagonal/>
    </border>
    <border>
      <left/>
      <right/>
      <top/>
      <bottom style="thin">
        <color rgb="FFF6E8DD"/>
      </bottom>
      <diagonal/>
    </border>
    <border>
      <left/>
      <right style="thin">
        <color theme="0"/>
      </right>
      <top style="thin">
        <color rgb="FF178352"/>
      </top>
      <bottom style="double">
        <color rgb="FF178352"/>
      </bottom>
      <diagonal/>
    </border>
    <border>
      <left/>
      <right style="thin">
        <color theme="0"/>
      </right>
      <top style="medium">
        <color rgb="FF178352"/>
      </top>
      <bottom style="double">
        <color rgb="FF178352"/>
      </bottom>
      <diagonal/>
    </border>
    <border>
      <left/>
      <right/>
      <top style="medium">
        <color rgb="FF178352"/>
      </top>
      <bottom style="double">
        <color rgb="FF178352"/>
      </bottom>
      <diagonal/>
    </border>
    <border>
      <left/>
      <right style="thin">
        <color theme="0"/>
      </right>
      <top style="thin">
        <color rgb="FF41AAAD"/>
      </top>
      <bottom style="double">
        <color rgb="FF178352"/>
      </bottom>
      <diagonal/>
    </border>
    <border>
      <left/>
      <right/>
      <top style="thin">
        <color rgb="FF41AAAD"/>
      </top>
      <bottom style="double">
        <color rgb="FF17835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6795556505021"/>
      </right>
      <top style="thin">
        <color theme="0" tint="-0.14993743705557422"/>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rgb="FFC6C6C6"/>
      </left>
      <right style="thin">
        <color rgb="FFC6C6C6"/>
      </right>
      <top/>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rgb="FFF6E8DD"/>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rgb="FFF6E8DD"/>
      </bottom>
      <diagonal/>
    </border>
    <border>
      <left style="medium">
        <color indexed="64"/>
      </left>
      <right/>
      <top style="thin">
        <color rgb="FFF6E8DD"/>
      </top>
      <bottom style="thin">
        <color rgb="FFF6E8DD"/>
      </bottom>
      <diagonal/>
    </border>
    <border>
      <left/>
      <right style="medium">
        <color indexed="64"/>
      </right>
      <top style="thin">
        <color rgb="FFF6E8DD"/>
      </top>
      <bottom style="thin">
        <color rgb="FFF6E8DD"/>
      </bottom>
      <diagonal/>
    </border>
    <border>
      <left style="medium">
        <color indexed="64"/>
      </left>
      <right/>
      <top style="thin">
        <color rgb="FFF6E8DD"/>
      </top>
      <bottom/>
      <diagonal/>
    </border>
    <border>
      <left/>
      <right/>
      <top style="thin">
        <color rgb="FFF6E8DD"/>
      </top>
      <bottom/>
      <diagonal/>
    </border>
    <border>
      <left/>
      <right style="medium">
        <color indexed="64"/>
      </right>
      <top style="thin">
        <color rgb="FFF6E8DD"/>
      </top>
      <bottom/>
      <diagonal/>
    </border>
    <border>
      <left style="medium">
        <color indexed="64"/>
      </left>
      <right/>
      <top style="medium">
        <color rgb="FF41AAAD"/>
      </top>
      <bottom style="thin">
        <color rgb="FFF6E8DD"/>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rgb="FFF6E8DD"/>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46">
    <xf numFmtId="0" fontId="0" fillId="0" borderId="0"/>
    <xf numFmtId="41" fontId="7" fillId="0" borderId="0" applyFont="0" applyFill="0" applyBorder="0" applyAlignment="0" applyProtection="0"/>
    <xf numFmtId="9" fontId="7" fillId="0" borderId="0" applyFont="0" applyFill="0" applyBorder="0" applyAlignment="0" applyProtection="0"/>
    <xf numFmtId="0" fontId="7" fillId="0" borderId="0"/>
    <xf numFmtId="41" fontId="7" fillId="0" borderId="0" applyFont="0" applyFill="0" applyBorder="0" applyAlignment="0" applyProtection="0"/>
    <xf numFmtId="43" fontId="7" fillId="0" borderId="0" applyFont="0" applyFill="0" applyBorder="0" applyAlignment="0" applyProtection="0"/>
    <xf numFmtId="0" fontId="11" fillId="0" borderId="0" applyNumberFormat="0" applyFill="0" applyBorder="0" applyAlignment="0" applyProtection="0">
      <alignment vertical="top"/>
      <protection locked="0"/>
    </xf>
    <xf numFmtId="170" fontId="7" fillId="0" borderId="0" applyFont="0" applyFill="0" applyBorder="0" applyAlignment="0" applyProtection="0"/>
    <xf numFmtId="0" fontId="19" fillId="0" borderId="0"/>
    <xf numFmtId="0" fontId="21" fillId="0" borderId="0"/>
    <xf numFmtId="165" fontId="19" fillId="0" borderId="0" applyFont="0" applyFill="0" applyBorder="0" applyAlignment="0" applyProtection="0"/>
    <xf numFmtId="0" fontId="23" fillId="0" borderId="0"/>
    <xf numFmtId="9" fontId="19" fillId="0" borderId="0" applyFont="0" applyFill="0" applyBorder="0" applyAlignment="0" applyProtection="0"/>
    <xf numFmtId="41" fontId="19" fillId="0" borderId="0" applyFont="0" applyFill="0" applyBorder="0" applyAlignment="0" applyProtection="0"/>
    <xf numFmtId="164" fontId="6" fillId="0" borderId="0" applyFont="0" applyFill="0" applyBorder="0" applyAlignment="0" applyProtection="0"/>
    <xf numFmtId="175" fontId="13" fillId="0" borderId="0" applyFont="0" applyFill="0" applyBorder="0" applyAlignment="0" applyProtection="0"/>
    <xf numFmtId="0" fontId="5" fillId="0" borderId="0"/>
    <xf numFmtId="17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1" fontId="5" fillId="0" borderId="0" applyFont="0" applyFill="0" applyBorder="0" applyAlignment="0" applyProtection="0"/>
    <xf numFmtId="0" fontId="60" fillId="0" borderId="0"/>
    <xf numFmtId="18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11" fillId="0" borderId="0" applyNumberForma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3" fillId="0" borderId="0"/>
    <xf numFmtId="41"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2" fontId="3" fillId="0" borderId="0" applyFont="0" applyFill="0" applyBorder="0" applyAlignment="0" applyProtection="0"/>
    <xf numFmtId="9" fontId="60"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cellStyleXfs>
  <cellXfs count="1005">
    <xf numFmtId="0" fontId="0" fillId="0" borderId="0" xfId="0"/>
    <xf numFmtId="0" fontId="7" fillId="0" borderId="0" xfId="0" applyFont="1"/>
    <xf numFmtId="41" fontId="0" fillId="0" borderId="0" xfId="1" applyFont="1"/>
    <xf numFmtId="0" fontId="0" fillId="0" borderId="1" xfId="0" applyBorder="1"/>
    <xf numFmtId="0" fontId="0" fillId="0" borderId="1" xfId="0" applyBorder="1" applyAlignment="1">
      <alignment horizontal="center"/>
    </xf>
    <xf numFmtId="0" fontId="7" fillId="0" borderId="1" xfId="0" applyFont="1" applyBorder="1"/>
    <xf numFmtId="0" fontId="19" fillId="0" borderId="0" xfId="8"/>
    <xf numFmtId="0" fontId="20" fillId="2" borderId="0" xfId="8" applyFont="1" applyFill="1"/>
    <xf numFmtId="0" fontId="20" fillId="2" borderId="0" xfId="9" applyFont="1" applyFill="1" applyAlignment="1">
      <alignment horizontal="center"/>
    </xf>
    <xf numFmtId="172" fontId="22" fillId="2" borderId="0" xfId="10" applyNumberFormat="1" applyFont="1" applyFill="1" applyAlignment="1">
      <alignment horizontal="center" vertical="center"/>
    </xf>
    <xf numFmtId="172" fontId="22" fillId="2" borderId="0" xfId="10" applyNumberFormat="1" applyFont="1" applyFill="1" applyBorder="1" applyAlignment="1">
      <alignment horizontal="center" vertical="center"/>
    </xf>
    <xf numFmtId="41" fontId="19" fillId="0" borderId="0" xfId="8" applyNumberFormat="1"/>
    <xf numFmtId="0" fontId="20" fillId="0" borderId="0" xfId="8" applyFont="1"/>
    <xf numFmtId="0" fontId="27" fillId="0" borderId="0" xfId="8" applyFont="1" applyAlignment="1">
      <alignment wrapText="1"/>
    </xf>
    <xf numFmtId="168" fontId="0" fillId="0" borderId="0" xfId="5" applyNumberFormat="1" applyFont="1"/>
    <xf numFmtId="168" fontId="0" fillId="0" borderId="0" xfId="0" applyNumberFormat="1"/>
    <xf numFmtId="168" fontId="0" fillId="0" borderId="1" xfId="5" applyNumberFormat="1" applyFont="1" applyBorder="1"/>
    <xf numFmtId="168" fontId="0" fillId="0" borderId="1" xfId="0" applyNumberFormat="1" applyBorder="1"/>
    <xf numFmtId="0" fontId="8" fillId="0" borderId="0" xfId="0" applyFont="1"/>
    <xf numFmtId="0" fontId="8" fillId="0" borderId="0" xfId="0" applyFont="1" applyAlignment="1">
      <alignment horizontal="center" vertical="center"/>
    </xf>
    <xf numFmtId="0" fontId="28" fillId="4" borderId="1" xfId="0" applyFont="1" applyFill="1" applyBorder="1" applyAlignment="1">
      <alignment horizontal="center" vertical="center"/>
    </xf>
    <xf numFmtId="174" fontId="0" fillId="0" borderId="1" xfId="2" applyNumberFormat="1" applyFont="1" applyBorder="1"/>
    <xf numFmtId="10" fontId="0" fillId="0" borderId="1" xfId="2" applyNumberFormat="1" applyFont="1" applyBorder="1"/>
    <xf numFmtId="10" fontId="0" fillId="0" borderId="0" xfId="2" applyNumberFormat="1" applyFont="1"/>
    <xf numFmtId="9" fontId="21" fillId="0" borderId="1" xfId="0" applyNumberFormat="1" applyFont="1" applyBorder="1" applyAlignment="1">
      <alignment horizontal="center"/>
    </xf>
    <xf numFmtId="0" fontId="21" fillId="0" borderId="1" xfId="0" applyFont="1" applyBorder="1" applyAlignment="1">
      <alignment horizontal="center"/>
    </xf>
    <xf numFmtId="168" fontId="21" fillId="0" borderId="1" xfId="5" applyNumberFormat="1" applyFont="1" applyBorder="1"/>
    <xf numFmtId="168" fontId="19" fillId="0" borderId="0" xfId="5" applyNumberFormat="1" applyFont="1"/>
    <xf numFmtId="0" fontId="17" fillId="0" borderId="7" xfId="0" applyFont="1" applyBorder="1" applyAlignment="1">
      <alignment wrapText="1"/>
    </xf>
    <xf numFmtId="0" fontId="13" fillId="0" borderId="3" xfId="0" applyFont="1" applyBorder="1" applyAlignment="1">
      <alignment vertical="center" wrapText="1"/>
    </xf>
    <xf numFmtId="0" fontId="24" fillId="2" borderId="3" xfId="0" applyFont="1" applyFill="1" applyBorder="1" applyAlignment="1">
      <alignment wrapText="1"/>
    </xf>
    <xf numFmtId="172" fontId="0" fillId="2" borderId="3" xfId="0" applyNumberFormat="1" applyFill="1" applyBorder="1" applyAlignment="1">
      <alignment horizontal="right" vertical="center" wrapText="1"/>
    </xf>
    <xf numFmtId="41" fontId="0" fillId="0" borderId="0" xfId="0" applyNumberFormat="1"/>
    <xf numFmtId="172" fontId="19" fillId="0" borderId="0" xfId="8" applyNumberFormat="1"/>
    <xf numFmtId="0" fontId="18" fillId="0" borderId="0" xfId="3" applyFont="1"/>
    <xf numFmtId="49" fontId="17" fillId="0" borderId="0" xfId="3" applyNumberFormat="1" applyFont="1"/>
    <xf numFmtId="0" fontId="17" fillId="0" borderId="0" xfId="3" applyFont="1"/>
    <xf numFmtId="0" fontId="18" fillId="0" borderId="9" xfId="3" applyFont="1" applyBorder="1"/>
    <xf numFmtId="0" fontId="31" fillId="0" borderId="9" xfId="3" applyFont="1" applyBorder="1"/>
    <xf numFmtId="0" fontId="18" fillId="5" borderId="0" xfId="3" applyFont="1" applyFill="1"/>
    <xf numFmtId="176" fontId="17" fillId="5" borderId="0" xfId="15" applyNumberFormat="1" applyFont="1" applyFill="1"/>
    <xf numFmtId="0" fontId="17" fillId="5" borderId="0" xfId="3" applyFont="1" applyFill="1"/>
    <xf numFmtId="176" fontId="14" fillId="6" borderId="10" xfId="15" applyNumberFormat="1" applyFont="1" applyFill="1" applyBorder="1"/>
    <xf numFmtId="176" fontId="18" fillId="5" borderId="0" xfId="15" applyNumberFormat="1" applyFont="1" applyFill="1"/>
    <xf numFmtId="41" fontId="18" fillId="5" borderId="0" xfId="1" applyFont="1" applyFill="1"/>
    <xf numFmtId="0" fontId="18" fillId="5" borderId="9" xfId="3" applyFont="1" applyFill="1" applyBorder="1" applyAlignment="1">
      <alignment horizontal="center" vertical="center"/>
    </xf>
    <xf numFmtId="43" fontId="0" fillId="0" borderId="0" xfId="5" applyFont="1"/>
    <xf numFmtId="0" fontId="17" fillId="0" borderId="0" xfId="0" applyFont="1"/>
    <xf numFmtId="168" fontId="17" fillId="0" borderId="0" xfId="0" applyNumberFormat="1" applyFont="1"/>
    <xf numFmtId="174" fontId="19" fillId="0" borderId="0" xfId="2" applyNumberFormat="1" applyFont="1"/>
    <xf numFmtId="168" fontId="19" fillId="0" borderId="0" xfId="8" applyNumberFormat="1"/>
    <xf numFmtId="0" fontId="0" fillId="0" borderId="0" xfId="0" applyAlignment="1">
      <alignment horizontal="left"/>
    </xf>
    <xf numFmtId="176" fontId="17" fillId="0" borderId="0" xfId="15" applyNumberFormat="1" applyFont="1" applyFill="1"/>
    <xf numFmtId="0" fontId="0" fillId="3" borderId="0" xfId="0" applyFill="1"/>
    <xf numFmtId="0" fontId="18" fillId="3" borderId="9" xfId="3" applyFont="1" applyFill="1" applyBorder="1" applyAlignment="1">
      <alignment horizontal="center" vertical="center" wrapText="1"/>
    </xf>
    <xf numFmtId="176" fontId="17" fillId="3" borderId="0" xfId="15" applyNumberFormat="1" applyFont="1" applyFill="1"/>
    <xf numFmtId="0" fontId="33" fillId="7" borderId="1" xfId="0" applyFont="1" applyFill="1" applyBorder="1" applyAlignment="1">
      <alignment horizontal="center"/>
    </xf>
    <xf numFmtId="3" fontId="33" fillId="7" borderId="1" xfId="0" applyNumberFormat="1" applyFont="1" applyFill="1" applyBorder="1" applyAlignment="1">
      <alignment horizontal="center"/>
    </xf>
    <xf numFmtId="10" fontId="22" fillId="0" borderId="1" xfId="2" applyNumberFormat="1" applyFont="1" applyFill="1" applyBorder="1" applyAlignment="1">
      <alignment wrapText="1"/>
    </xf>
    <xf numFmtId="172" fontId="20" fillId="0" borderId="1" xfId="10" applyNumberFormat="1" applyFont="1" applyFill="1" applyBorder="1" applyAlignment="1">
      <alignment horizontal="right" vertical="center" wrapText="1"/>
    </xf>
    <xf numFmtId="172" fontId="22" fillId="0" borderId="1" xfId="10" applyNumberFormat="1" applyFont="1" applyFill="1" applyBorder="1" applyAlignment="1">
      <alignment horizontal="right" vertical="center" wrapText="1"/>
    </xf>
    <xf numFmtId="10" fontId="22" fillId="0" borderId="3" xfId="2" applyNumberFormat="1" applyFont="1" applyFill="1" applyBorder="1" applyAlignment="1">
      <alignment wrapText="1"/>
    </xf>
    <xf numFmtId="172" fontId="20" fillId="0" borderId="3" xfId="10" applyNumberFormat="1" applyFont="1" applyFill="1" applyBorder="1" applyAlignment="1">
      <alignment horizontal="right" vertical="center" wrapText="1"/>
    </xf>
    <xf numFmtId="172" fontId="22" fillId="0" borderId="0" xfId="10" applyNumberFormat="1" applyFont="1" applyFill="1" applyBorder="1" applyAlignment="1">
      <alignment horizontal="right" vertical="center" wrapText="1"/>
    </xf>
    <xf numFmtId="10" fontId="37" fillId="0" borderId="0" xfId="2" applyNumberFormat="1" applyFont="1"/>
    <xf numFmtId="0" fontId="37" fillId="0" borderId="0" xfId="8" applyFont="1"/>
    <xf numFmtId="168" fontId="37" fillId="0" borderId="0" xfId="5" applyNumberFormat="1" applyFont="1"/>
    <xf numFmtId="41" fontId="37" fillId="0" borderId="0" xfId="8" applyNumberFormat="1" applyFont="1"/>
    <xf numFmtId="168" fontId="37" fillId="0" borderId="0" xfId="8" applyNumberFormat="1" applyFont="1"/>
    <xf numFmtId="172" fontId="37" fillId="0" borderId="0" xfId="8" applyNumberFormat="1" applyFont="1"/>
    <xf numFmtId="174" fontId="37" fillId="0" borderId="0" xfId="2" applyNumberFormat="1" applyFont="1"/>
    <xf numFmtId="10" fontId="26" fillId="0" borderId="0" xfId="2" applyNumberFormat="1" applyFont="1"/>
    <xf numFmtId="43" fontId="26" fillId="0" borderId="0" xfId="5" applyFont="1"/>
    <xf numFmtId="168" fontId="26" fillId="0" borderId="0" xfId="5" applyNumberFormat="1" applyFont="1"/>
    <xf numFmtId="0" fontId="26" fillId="0" borderId="0" xfId="8" applyFont="1"/>
    <xf numFmtId="172" fontId="26" fillId="0" borderId="0" xfId="8" applyNumberFormat="1" applyFont="1"/>
    <xf numFmtId="0" fontId="39" fillId="0" borderId="0" xfId="8" applyFont="1" applyAlignment="1">
      <alignment wrapText="1"/>
    </xf>
    <xf numFmtId="168" fontId="39" fillId="0" borderId="0" xfId="5" applyNumberFormat="1" applyFont="1" applyAlignment="1">
      <alignment wrapText="1"/>
    </xf>
    <xf numFmtId="172" fontId="39" fillId="0" borderId="0" xfId="8" applyNumberFormat="1" applyFont="1" applyAlignment="1">
      <alignment wrapText="1"/>
    </xf>
    <xf numFmtId="174" fontId="26" fillId="0" borderId="0" xfId="2" applyNumberFormat="1" applyFont="1"/>
    <xf numFmtId="168" fontId="26" fillId="0" borderId="0" xfId="8" applyNumberFormat="1" applyFont="1"/>
    <xf numFmtId="43" fontId="39" fillId="0" borderId="0" xfId="5" applyFont="1" applyAlignment="1">
      <alignment wrapText="1"/>
    </xf>
    <xf numFmtId="0" fontId="20" fillId="0" borderId="0" xfId="8" applyFont="1" applyAlignment="1">
      <alignment wrapText="1"/>
    </xf>
    <xf numFmtId="0" fontId="10" fillId="0" borderId="0" xfId="8" applyFont="1" applyAlignment="1">
      <alignment vertical="center" wrapText="1"/>
    </xf>
    <xf numFmtId="3" fontId="22" fillId="0" borderId="0" xfId="8" applyNumberFormat="1" applyFont="1" applyAlignment="1">
      <alignment wrapText="1"/>
    </xf>
    <xf numFmtId="174" fontId="22" fillId="0" borderId="0" xfId="2" applyNumberFormat="1" applyFont="1" applyFill="1" applyBorder="1" applyAlignment="1">
      <alignment wrapText="1"/>
    </xf>
    <xf numFmtId="172" fontId="20" fillId="0" borderId="0" xfId="10" applyNumberFormat="1" applyFont="1" applyFill="1" applyBorder="1" applyAlignment="1">
      <alignment horizontal="right" vertical="center" wrapText="1"/>
    </xf>
    <xf numFmtId="172" fontId="20" fillId="0" borderId="0" xfId="10" applyNumberFormat="1" applyFont="1" applyFill="1" applyBorder="1" applyAlignment="1">
      <alignment horizontal="left" vertical="center" wrapText="1"/>
    </xf>
    <xf numFmtId="168" fontId="22" fillId="0" borderId="0" xfId="5" applyNumberFormat="1" applyFont="1" applyFill="1" applyBorder="1" applyAlignment="1">
      <alignment horizontal="right" vertical="center" wrapText="1"/>
    </xf>
    <xf numFmtId="10" fontId="37" fillId="0" borderId="0" xfId="2" applyNumberFormat="1" applyFont="1" applyFill="1"/>
    <xf numFmtId="168" fontId="37" fillId="0" borderId="0" xfId="5" applyNumberFormat="1" applyFont="1" applyFill="1"/>
    <xf numFmtId="174" fontId="37" fillId="0" borderId="0" xfId="2" applyNumberFormat="1" applyFont="1" applyFill="1"/>
    <xf numFmtId="168" fontId="19" fillId="0" borderId="0" xfId="5" applyNumberFormat="1" applyFont="1" applyFill="1"/>
    <xf numFmtId="168" fontId="26" fillId="0" borderId="0" xfId="5" applyNumberFormat="1" applyFont="1" applyFill="1"/>
    <xf numFmtId="3" fontId="22" fillId="0" borderId="1" xfId="8" applyNumberFormat="1" applyFont="1" applyBorder="1" applyAlignment="1">
      <alignment wrapText="1"/>
    </xf>
    <xf numFmtId="174" fontId="22" fillId="0" borderId="1" xfId="2" applyNumberFormat="1" applyFont="1" applyFill="1" applyBorder="1" applyAlignment="1">
      <alignment wrapText="1"/>
    </xf>
    <xf numFmtId="0" fontId="42" fillId="0" borderId="0" xfId="8" applyFont="1"/>
    <xf numFmtId="174" fontId="42" fillId="0" borderId="0" xfId="2" applyNumberFormat="1" applyFont="1"/>
    <xf numFmtId="168" fontId="42" fillId="0" borderId="0" xfId="8" applyNumberFormat="1" applyFont="1"/>
    <xf numFmtId="0" fontId="43" fillId="0" borderId="0" xfId="8" applyFont="1"/>
    <xf numFmtId="172" fontId="42" fillId="0" borderId="0" xfId="8" applyNumberFormat="1" applyFont="1"/>
    <xf numFmtId="0" fontId="12" fillId="10" borderId="0" xfId="0" applyFont="1" applyFill="1" applyAlignment="1">
      <alignment horizontal="center" vertical="center" wrapText="1"/>
    </xf>
    <xf numFmtId="168" fontId="22" fillId="0" borderId="1" xfId="5" applyNumberFormat="1" applyFont="1" applyFill="1" applyBorder="1" applyAlignment="1">
      <alignment wrapText="1"/>
    </xf>
    <xf numFmtId="17" fontId="8" fillId="11" borderId="11" xfId="8" applyNumberFormat="1" applyFont="1" applyFill="1" applyBorder="1"/>
    <xf numFmtId="3" fontId="7" fillId="0" borderId="11" xfId="8" applyNumberFormat="1" applyFont="1" applyBorder="1" applyAlignment="1">
      <alignment horizontal="center"/>
    </xf>
    <xf numFmtId="3" fontId="0" fillId="0" borderId="0" xfId="0" applyNumberFormat="1"/>
    <xf numFmtId="168" fontId="21" fillId="0" borderId="0" xfId="5" applyNumberFormat="1" applyFont="1" applyFill="1" applyBorder="1"/>
    <xf numFmtId="168" fontId="21" fillId="0" borderId="1" xfId="5" applyNumberFormat="1" applyFont="1" applyFill="1" applyBorder="1"/>
    <xf numFmtId="173" fontId="0" fillId="0" borderId="0" xfId="2" applyNumberFormat="1" applyFont="1"/>
    <xf numFmtId="10" fontId="0" fillId="0" borderId="1" xfId="0" applyNumberFormat="1" applyBorder="1"/>
    <xf numFmtId="0" fontId="38" fillId="0" borderId="0" xfId="0" applyFont="1"/>
    <xf numFmtId="0" fontId="38" fillId="0" borderId="1" xfId="0" applyFont="1" applyBorder="1"/>
    <xf numFmtId="0" fontId="0" fillId="0" borderId="0" xfId="0" applyAlignment="1">
      <alignment horizontal="center"/>
    </xf>
    <xf numFmtId="168" fontId="8" fillId="0" borderId="1" xfId="0" applyNumberFormat="1" applyFont="1" applyBorder="1"/>
    <xf numFmtId="10" fontId="0" fillId="0" borderId="0" xfId="2" applyNumberFormat="1" applyFont="1" applyBorder="1"/>
    <xf numFmtId="17" fontId="18" fillId="5" borderId="9" xfId="3" applyNumberFormat="1" applyFont="1" applyFill="1" applyBorder="1" applyAlignment="1">
      <alignment horizontal="center" vertical="center"/>
    </xf>
    <xf numFmtId="176" fontId="14" fillId="6" borderId="0" xfId="15" applyNumberFormat="1" applyFont="1" applyFill="1" applyBorder="1"/>
    <xf numFmtId="17" fontId="18" fillId="5" borderId="9" xfId="3" applyNumberFormat="1" applyFont="1" applyFill="1" applyBorder="1" applyAlignment="1">
      <alignment horizontal="center" vertical="center" wrapText="1"/>
    </xf>
    <xf numFmtId="178" fontId="0" fillId="0" borderId="0" xfId="5" applyNumberFormat="1" applyFont="1"/>
    <xf numFmtId="49" fontId="17" fillId="3" borderId="0" xfId="3" applyNumberFormat="1" applyFont="1" applyFill="1"/>
    <xf numFmtId="168" fontId="22" fillId="0" borderId="1" xfId="5" applyNumberFormat="1" applyFont="1" applyFill="1" applyBorder="1" applyAlignment="1">
      <alignment horizontal="right" vertical="center" wrapText="1"/>
    </xf>
    <xf numFmtId="172" fontId="20" fillId="0" borderId="13" xfId="10" applyNumberFormat="1" applyFont="1" applyFill="1" applyBorder="1" applyAlignment="1">
      <alignment horizontal="left" vertical="center" wrapText="1"/>
    </xf>
    <xf numFmtId="172" fontId="20" fillId="0" borderId="12" xfId="10" applyNumberFormat="1" applyFont="1" applyFill="1" applyBorder="1" applyAlignment="1">
      <alignment horizontal="right" vertical="center" wrapText="1"/>
    </xf>
    <xf numFmtId="0" fontId="12" fillId="10" borderId="1" xfId="0" applyFont="1" applyFill="1" applyBorder="1" applyAlignment="1">
      <alignment horizontal="center" vertical="center" wrapText="1"/>
    </xf>
    <xf numFmtId="172" fontId="22" fillId="13" borderId="1" xfId="10" applyNumberFormat="1" applyFont="1" applyFill="1" applyBorder="1" applyAlignment="1">
      <alignment horizontal="right" vertical="center" wrapText="1"/>
    </xf>
    <xf numFmtId="168" fontId="39" fillId="0" borderId="0" xfId="8" applyNumberFormat="1" applyFont="1" applyAlignment="1">
      <alignment wrapText="1"/>
    </xf>
    <xf numFmtId="0" fontId="45" fillId="9" borderId="0" xfId="0" applyFont="1" applyFill="1"/>
    <xf numFmtId="0" fontId="46" fillId="9" borderId="0" xfId="0" applyFont="1" applyFill="1"/>
    <xf numFmtId="168" fontId="46" fillId="9" borderId="0" xfId="5" applyNumberFormat="1" applyFont="1" applyFill="1"/>
    <xf numFmtId="174" fontId="0" fillId="0" borderId="0" xfId="2" applyNumberFormat="1" applyFont="1"/>
    <xf numFmtId="0" fontId="47" fillId="15" borderId="6" xfId="8" applyFont="1" applyFill="1" applyBorder="1" applyAlignment="1">
      <alignment wrapText="1"/>
    </xf>
    <xf numFmtId="3" fontId="41" fillId="15" borderId="1" xfId="8" applyNumberFormat="1" applyFont="1" applyFill="1" applyBorder="1" applyAlignment="1">
      <alignment wrapText="1"/>
    </xf>
    <xf numFmtId="174" fontId="41" fillId="15" borderId="1" xfId="2" applyNumberFormat="1" applyFont="1" applyFill="1" applyBorder="1" applyAlignment="1">
      <alignment wrapText="1"/>
    </xf>
    <xf numFmtId="172" fontId="47" fillId="15" borderId="1" xfId="10" applyNumberFormat="1" applyFont="1" applyFill="1" applyBorder="1" applyAlignment="1">
      <alignment horizontal="right" vertical="center" wrapText="1"/>
    </xf>
    <xf numFmtId="172" fontId="41" fillId="15" borderId="1" xfId="10" applyNumberFormat="1" applyFont="1" applyFill="1" applyBorder="1" applyAlignment="1">
      <alignment horizontal="right" vertical="center" wrapText="1"/>
    </xf>
    <xf numFmtId="168" fontId="41" fillId="15" borderId="1" xfId="5" applyNumberFormat="1" applyFont="1" applyFill="1" applyBorder="1" applyAlignment="1">
      <alignment horizontal="right" vertical="center" wrapText="1"/>
    </xf>
    <xf numFmtId="0" fontId="47" fillId="15" borderId="7" xfId="8" applyFont="1" applyFill="1" applyBorder="1" applyAlignment="1">
      <alignment wrapText="1"/>
    </xf>
    <xf numFmtId="0" fontId="40" fillId="15" borderId="3" xfId="8" applyFont="1" applyFill="1" applyBorder="1" applyAlignment="1">
      <alignment vertical="center" wrapText="1"/>
    </xf>
    <xf numFmtId="168" fontId="41" fillId="15" borderId="3" xfId="5" applyNumberFormat="1" applyFont="1" applyFill="1" applyBorder="1" applyAlignment="1">
      <alignment wrapText="1"/>
    </xf>
    <xf numFmtId="0" fontId="41" fillId="15" borderId="1" xfId="8" applyFont="1" applyFill="1" applyBorder="1" applyAlignment="1">
      <alignment wrapText="1"/>
    </xf>
    <xf numFmtId="172" fontId="22" fillId="15" borderId="1" xfId="10" applyNumberFormat="1" applyFont="1" applyFill="1" applyBorder="1" applyAlignment="1">
      <alignment horizontal="right" vertical="center" wrapText="1"/>
    </xf>
    <xf numFmtId="168" fontId="22" fillId="15" borderId="1" xfId="5" applyNumberFormat="1" applyFont="1" applyFill="1" applyBorder="1" applyAlignment="1">
      <alignment horizontal="right" vertical="center" wrapText="1"/>
    </xf>
    <xf numFmtId="168" fontId="42" fillId="0" borderId="0" xfId="5" applyNumberFormat="1" applyFont="1"/>
    <xf numFmtId="10" fontId="42" fillId="0" borderId="0" xfId="2" applyNumberFormat="1" applyFont="1"/>
    <xf numFmtId="168" fontId="41" fillId="15" borderId="1" xfId="5" applyNumberFormat="1" applyFont="1" applyFill="1" applyBorder="1" applyAlignment="1">
      <alignment wrapText="1"/>
    </xf>
    <xf numFmtId="172" fontId="43" fillId="0" borderId="0" xfId="8" applyNumberFormat="1" applyFont="1"/>
    <xf numFmtId="174" fontId="47" fillId="15" borderId="1" xfId="2" applyNumberFormat="1" applyFont="1" applyFill="1" applyBorder="1" applyAlignment="1">
      <alignment horizontal="right" vertical="center" wrapText="1"/>
    </xf>
    <xf numFmtId="0" fontId="5" fillId="0" borderId="0" xfId="16"/>
    <xf numFmtId="0" fontId="24" fillId="0" borderId="0" xfId="16" applyFont="1"/>
    <xf numFmtId="0" fontId="5" fillId="0" borderId="0" xfId="16" applyAlignment="1">
      <alignment horizontal="center"/>
    </xf>
    <xf numFmtId="3" fontId="5" fillId="0" borderId="0" xfId="16" applyNumberFormat="1"/>
    <xf numFmtId="182" fontId="5" fillId="0" borderId="0" xfId="16" applyNumberFormat="1"/>
    <xf numFmtId="173" fontId="0" fillId="0" borderId="0" xfId="19" applyNumberFormat="1" applyFont="1"/>
    <xf numFmtId="0" fontId="45" fillId="0" borderId="0" xfId="16" applyFont="1"/>
    <xf numFmtId="0" fontId="12" fillId="18" borderId="0" xfId="16" applyFont="1" applyFill="1" applyAlignment="1">
      <alignment horizontal="center"/>
    </xf>
    <xf numFmtId="0" fontId="49" fillId="0" borderId="0" xfId="16" applyFont="1"/>
    <xf numFmtId="0" fontId="17" fillId="0" borderId="1" xfId="0" applyFont="1" applyBorder="1"/>
    <xf numFmtId="0" fontId="24" fillId="0" borderId="0" xfId="16" applyFont="1" applyAlignment="1">
      <alignment horizontal="center"/>
    </xf>
    <xf numFmtId="0" fontId="24" fillId="0" borderId="0" xfId="16" applyFont="1" applyAlignment="1">
      <alignment horizontal="left"/>
    </xf>
    <xf numFmtId="14" fontId="24" fillId="0" borderId="0" xfId="16" applyNumberFormat="1" applyFont="1"/>
    <xf numFmtId="0" fontId="24" fillId="0" borderId="0" xfId="16" applyFont="1" applyAlignment="1">
      <alignment horizontal="left" wrapText="1"/>
    </xf>
    <xf numFmtId="181" fontId="17" fillId="0" borderId="0" xfId="17" applyNumberFormat="1" applyFont="1"/>
    <xf numFmtId="181" fontId="17" fillId="0" borderId="0" xfId="17" applyNumberFormat="1" applyFont="1" applyAlignment="1">
      <alignment horizontal="left" wrapText="1"/>
    </xf>
    <xf numFmtId="0" fontId="21" fillId="0" borderId="0" xfId="16" applyFont="1"/>
    <xf numFmtId="0" fontId="14" fillId="18" borderId="0" xfId="16" applyFont="1" applyFill="1" applyAlignment="1">
      <alignment horizontal="center"/>
    </xf>
    <xf numFmtId="0" fontId="24" fillId="0" borderId="0" xfId="16" applyFont="1" applyAlignment="1">
      <alignment vertical="center"/>
    </xf>
    <xf numFmtId="0" fontId="24" fillId="0" borderId="0" xfId="16" applyFont="1" applyAlignment="1">
      <alignment horizontal="left" vertical="center"/>
    </xf>
    <xf numFmtId="0" fontId="24" fillId="0" borderId="0" xfId="16" applyFont="1" applyAlignment="1">
      <alignment vertical="center" wrapText="1"/>
    </xf>
    <xf numFmtId="0" fontId="54" fillId="0" borderId="14" xfId="3" applyFont="1" applyBorder="1" applyAlignment="1">
      <alignment horizontal="left" vertical="center"/>
    </xf>
    <xf numFmtId="0" fontId="49" fillId="0" borderId="0" xfId="16" applyFont="1" applyAlignment="1">
      <alignment horizontal="center"/>
    </xf>
    <xf numFmtId="0" fontId="55" fillId="0" borderId="15" xfId="3" applyFont="1" applyBorder="1" applyAlignment="1">
      <alignment horizontal="left" vertical="center"/>
    </xf>
    <xf numFmtId="14" fontId="55" fillId="0" borderId="15" xfId="3" applyNumberFormat="1" applyFont="1" applyBorder="1" applyAlignment="1">
      <alignment horizontal="left" vertical="center"/>
    </xf>
    <xf numFmtId="41" fontId="24" fillId="0" borderId="0" xfId="1" applyFont="1"/>
    <xf numFmtId="0" fontId="49" fillId="0" borderId="16" xfId="16" applyFont="1" applyBorder="1"/>
    <xf numFmtId="168" fontId="49" fillId="16" borderId="16" xfId="18" applyNumberFormat="1" applyFont="1" applyFill="1" applyBorder="1"/>
    <xf numFmtId="14" fontId="55" fillId="0" borderId="15" xfId="3" applyNumberFormat="1" applyFont="1" applyBorder="1" applyAlignment="1">
      <alignment horizontal="left" vertical="center" wrapText="1"/>
    </xf>
    <xf numFmtId="0" fontId="55" fillId="0" borderId="15" xfId="3" applyFont="1" applyBorder="1" applyAlignment="1">
      <alignment horizontal="left" vertical="center" wrapText="1"/>
    </xf>
    <xf numFmtId="3" fontId="24" fillId="0" borderId="0" xfId="16" applyNumberFormat="1" applyFont="1"/>
    <xf numFmtId="168" fontId="17" fillId="0" borderId="1" xfId="5" applyNumberFormat="1" applyFont="1" applyBorder="1"/>
    <xf numFmtId="3" fontId="55" fillId="16" borderId="0" xfId="17" applyNumberFormat="1" applyFont="1" applyFill="1" applyBorder="1" applyAlignment="1">
      <alignment horizontal="right" vertical="center"/>
    </xf>
    <xf numFmtId="41" fontId="14" fillId="18" borderId="0" xfId="1" applyFont="1" applyFill="1" applyAlignment="1">
      <alignment horizontal="center"/>
    </xf>
    <xf numFmtId="0" fontId="54" fillId="0" borderId="14" xfId="3" applyFont="1" applyBorder="1" applyAlignment="1">
      <alignment horizontal="center"/>
    </xf>
    <xf numFmtId="0" fontId="14" fillId="18" borderId="14" xfId="3" applyFont="1" applyFill="1" applyBorder="1" applyAlignment="1">
      <alignment horizontal="center"/>
    </xf>
    <xf numFmtId="0" fontId="14" fillId="18" borderId="0" xfId="3" applyFont="1" applyFill="1" applyAlignment="1">
      <alignment horizontal="center" wrapText="1"/>
    </xf>
    <xf numFmtId="0" fontId="14" fillId="18" borderId="0" xfId="3" applyFont="1" applyFill="1" applyAlignment="1">
      <alignment horizontal="center"/>
    </xf>
    <xf numFmtId="0" fontId="49" fillId="0" borderId="16" xfId="16" applyFont="1" applyBorder="1" applyAlignment="1">
      <alignment wrapText="1"/>
    </xf>
    <xf numFmtId="41" fontId="55" fillId="0" borderId="15" xfId="1" applyFont="1" applyBorder="1" applyAlignment="1">
      <alignment horizontal="left" vertical="center"/>
    </xf>
    <xf numFmtId="41" fontId="49" fillId="0" borderId="16" xfId="1" applyFont="1" applyBorder="1"/>
    <xf numFmtId="9" fontId="56" fillId="0" borderId="15" xfId="2" applyFont="1" applyBorder="1" applyAlignment="1">
      <alignment horizontal="right" vertical="center"/>
    </xf>
    <xf numFmtId="0" fontId="24" fillId="18" borderId="0" xfId="16" applyFont="1" applyFill="1" applyAlignment="1">
      <alignment vertical="center"/>
    </xf>
    <xf numFmtId="0" fontId="24" fillId="18" borderId="0" xfId="16" applyFont="1" applyFill="1" applyAlignment="1">
      <alignment horizontal="left" vertical="center"/>
    </xf>
    <xf numFmtId="41" fontId="14" fillId="18" borderId="0" xfId="1" applyFont="1" applyFill="1"/>
    <xf numFmtId="0" fontId="49" fillId="0" borderId="0" xfId="16" applyFont="1" applyAlignment="1">
      <alignment horizontal="left"/>
    </xf>
    <xf numFmtId="0" fontId="24" fillId="0" borderId="0" xfId="16" applyFont="1" applyAlignment="1">
      <alignment wrapText="1"/>
    </xf>
    <xf numFmtId="0" fontId="14" fillId="18" borderId="4" xfId="0" applyFont="1" applyFill="1" applyBorder="1" applyAlignment="1">
      <alignment horizontal="center"/>
    </xf>
    <xf numFmtId="174" fontId="17" fillId="0" borderId="4" xfId="2" applyNumberFormat="1" applyFont="1" applyBorder="1" applyAlignment="1">
      <alignment horizontal="center"/>
    </xf>
    <xf numFmtId="49" fontId="14" fillId="18" borderId="4" xfId="16" applyNumberFormat="1" applyFont="1" applyFill="1" applyBorder="1" applyAlignment="1">
      <alignment horizontal="center" vertical="center"/>
    </xf>
    <xf numFmtId="0" fontId="14" fillId="18" borderId="4" xfId="16" applyFont="1" applyFill="1" applyBorder="1" applyAlignment="1">
      <alignment horizontal="center" vertical="center"/>
    </xf>
    <xf numFmtId="180" fontId="14" fillId="18" borderId="4" xfId="18" applyNumberFormat="1" applyFont="1" applyFill="1" applyBorder="1" applyAlignment="1">
      <alignment horizontal="center" vertical="center" wrapText="1"/>
    </xf>
    <xf numFmtId="0" fontId="14" fillId="18" borderId="4" xfId="16" applyFont="1" applyFill="1" applyBorder="1" applyAlignment="1">
      <alignment horizontal="center"/>
    </xf>
    <xf numFmtId="49" fontId="24" fillId="0" borderId="4" xfId="16" applyNumberFormat="1" applyFont="1" applyBorder="1" applyAlignment="1">
      <alignment vertical="center"/>
    </xf>
    <xf numFmtId="0" fontId="24" fillId="0" borderId="4" xfId="16" applyFont="1" applyBorder="1" applyAlignment="1">
      <alignment vertical="center"/>
    </xf>
    <xf numFmtId="180" fontId="17" fillId="0" borderId="4" xfId="18" applyNumberFormat="1" applyFont="1" applyFill="1" applyBorder="1" applyAlignment="1" applyProtection="1">
      <alignment vertical="center"/>
    </xf>
    <xf numFmtId="180" fontId="24" fillId="0" borderId="4" xfId="16" applyNumberFormat="1" applyFont="1" applyBorder="1"/>
    <xf numFmtId="41" fontId="24" fillId="0" borderId="4" xfId="1" applyFont="1" applyBorder="1"/>
    <xf numFmtId="49" fontId="17" fillId="0" borderId="4" xfId="16" applyNumberFormat="1" applyFont="1" applyBorder="1" applyAlignment="1">
      <alignment vertical="center"/>
    </xf>
    <xf numFmtId="0" fontId="17" fillId="0" borderId="4" xfId="16" applyFont="1" applyBorder="1" applyAlignment="1">
      <alignment vertical="center"/>
    </xf>
    <xf numFmtId="49" fontId="24" fillId="0" borderId="4" xfId="16" applyNumberFormat="1" applyFont="1" applyBorder="1" applyAlignment="1">
      <alignment vertical="center" wrapText="1"/>
    </xf>
    <xf numFmtId="49" fontId="24" fillId="0" borderId="4" xfId="16" applyNumberFormat="1" applyFont="1" applyBorder="1"/>
    <xf numFmtId="49" fontId="24" fillId="13" borderId="4" xfId="16" applyNumberFormat="1" applyFont="1" applyFill="1" applyBorder="1" applyAlignment="1">
      <alignment vertical="center"/>
    </xf>
    <xf numFmtId="0" fontId="24" fillId="13" borderId="4" xfId="16" applyFont="1" applyFill="1" applyBorder="1" applyAlignment="1">
      <alignment vertical="center"/>
    </xf>
    <xf numFmtId="180" fontId="17" fillId="13" borderId="4" xfId="18" applyNumberFormat="1" applyFont="1" applyFill="1" applyBorder="1" applyAlignment="1" applyProtection="1">
      <alignment vertical="center"/>
    </xf>
    <xf numFmtId="180" fontId="14" fillId="18" borderId="4" xfId="16" applyNumberFormat="1" applyFont="1" applyFill="1" applyBorder="1" applyAlignment="1">
      <alignment vertical="center"/>
    </xf>
    <xf numFmtId="180" fontId="14" fillId="18" borderId="4" xfId="16" applyNumberFormat="1" applyFont="1" applyFill="1" applyBorder="1"/>
    <xf numFmtId="174" fontId="17" fillId="0" borderId="0" xfId="2" applyNumberFormat="1" applyFont="1" applyBorder="1" applyAlignment="1">
      <alignment horizontal="center"/>
    </xf>
    <xf numFmtId="181" fontId="14" fillId="18" borderId="4" xfId="17" applyNumberFormat="1" applyFont="1" applyFill="1" applyBorder="1" applyAlignment="1">
      <alignment horizontal="center" vertical="center"/>
    </xf>
    <xf numFmtId="181" fontId="14" fillId="18" borderId="4" xfId="17" applyNumberFormat="1" applyFont="1" applyFill="1" applyBorder="1" applyAlignment="1">
      <alignment horizontal="center" vertical="center" wrapText="1"/>
    </xf>
    <xf numFmtId="0" fontId="14" fillId="18" borderId="4" xfId="16" applyFont="1" applyFill="1" applyBorder="1" applyAlignment="1">
      <alignment horizontal="center" vertical="center" wrapText="1"/>
    </xf>
    <xf numFmtId="0" fontId="14" fillId="18" borderId="4" xfId="16" applyFont="1" applyFill="1" applyBorder="1" applyAlignment="1">
      <alignment horizontal="center" wrapText="1"/>
    </xf>
    <xf numFmtId="0" fontId="18" fillId="0" borderId="4" xfId="16" applyFont="1" applyBorder="1" applyAlignment="1">
      <alignment horizontal="left"/>
    </xf>
    <xf numFmtId="181" fontId="17" fillId="0" borderId="4" xfId="17" applyNumberFormat="1" applyFont="1" applyFill="1" applyBorder="1" applyAlignment="1">
      <alignment horizontal="center" vertical="center"/>
    </xf>
    <xf numFmtId="14" fontId="17" fillId="0" borderId="4" xfId="17" applyNumberFormat="1" applyFont="1" applyFill="1" applyBorder="1" applyAlignment="1">
      <alignment horizontal="center" vertical="center"/>
    </xf>
    <xf numFmtId="14" fontId="17" fillId="0" borderId="4" xfId="16" applyNumberFormat="1" applyFont="1" applyBorder="1" applyAlignment="1">
      <alignment horizontal="center" vertical="center"/>
    </xf>
    <xf numFmtId="10" fontId="17" fillId="0" borderId="4" xfId="16" applyNumberFormat="1" applyFont="1" applyBorder="1" applyAlignment="1">
      <alignment horizontal="center" vertical="center"/>
    </xf>
    <xf numFmtId="0" fontId="17" fillId="0" borderId="4" xfId="16" applyFont="1" applyBorder="1" applyAlignment="1">
      <alignment horizontal="center" vertical="center"/>
    </xf>
    <xf numFmtId="181" fontId="17" fillId="0" borderId="4" xfId="17" applyNumberFormat="1" applyFont="1" applyFill="1" applyBorder="1"/>
    <xf numFmtId="14" fontId="17" fillId="0" borderId="4" xfId="17" applyNumberFormat="1" applyFont="1" applyFill="1" applyBorder="1"/>
    <xf numFmtId="9" fontId="17" fillId="0" borderId="4" xfId="19" applyFont="1" applyFill="1" applyBorder="1"/>
    <xf numFmtId="14" fontId="24" fillId="0" borderId="4" xfId="16" applyNumberFormat="1" applyFont="1" applyBorder="1"/>
    <xf numFmtId="10" fontId="17" fillId="0" borderId="4" xfId="19" applyNumberFormat="1" applyFont="1" applyFill="1" applyBorder="1"/>
    <xf numFmtId="10" fontId="24" fillId="0" borderId="4" xfId="16" applyNumberFormat="1" applyFont="1" applyBorder="1"/>
    <xf numFmtId="0" fontId="24" fillId="0" borderId="4" xfId="16" applyFont="1" applyBorder="1"/>
    <xf numFmtId="0" fontId="18" fillId="0" borderId="4" xfId="16" applyFont="1" applyBorder="1" applyAlignment="1">
      <alignment horizontal="left" vertical="center"/>
    </xf>
    <xf numFmtId="174" fontId="17" fillId="0" borderId="4" xfId="19" applyNumberFormat="1" applyFont="1" applyFill="1" applyBorder="1"/>
    <xf numFmtId="181" fontId="24" fillId="0" borderId="4" xfId="16" applyNumberFormat="1" applyFont="1" applyBorder="1"/>
    <xf numFmtId="10" fontId="17" fillId="0" borderId="4" xfId="19" applyNumberFormat="1" applyFont="1" applyFill="1" applyBorder="1" applyAlignment="1">
      <alignment horizontal="center" vertical="center"/>
    </xf>
    <xf numFmtId="14" fontId="24" fillId="0" borderId="4" xfId="16" applyNumberFormat="1" applyFont="1" applyBorder="1" applyAlignment="1">
      <alignment horizontal="center"/>
    </xf>
    <xf numFmtId="0" fontId="18" fillId="13" borderId="4" xfId="16" applyFont="1" applyFill="1" applyBorder="1" applyAlignment="1">
      <alignment horizontal="left" vertical="center"/>
    </xf>
    <xf numFmtId="181" fontId="17" fillId="13" borderId="4" xfId="17" applyNumberFormat="1" applyFont="1" applyFill="1" applyBorder="1" applyAlignment="1">
      <alignment horizontal="center" vertical="center"/>
    </xf>
    <xf numFmtId="14" fontId="17" fillId="13" borderId="4" xfId="17" applyNumberFormat="1" applyFont="1" applyFill="1" applyBorder="1" applyAlignment="1">
      <alignment horizontal="center" vertical="center"/>
    </xf>
    <xf numFmtId="14" fontId="17" fillId="13" borderId="4" xfId="16" applyNumberFormat="1" applyFont="1" applyFill="1" applyBorder="1" applyAlignment="1">
      <alignment horizontal="center" vertical="center"/>
    </xf>
    <xf numFmtId="10" fontId="17" fillId="13" borderId="4" xfId="19" applyNumberFormat="1" applyFont="1" applyFill="1" applyBorder="1" applyAlignment="1">
      <alignment horizontal="center" vertical="center"/>
    </xf>
    <xf numFmtId="0" fontId="17" fillId="13" borderId="4" xfId="16" applyFont="1" applyFill="1" applyBorder="1" applyAlignment="1">
      <alignment horizontal="center" vertical="center"/>
    </xf>
    <xf numFmtId="181" fontId="17" fillId="13" borderId="4" xfId="17" applyNumberFormat="1" applyFont="1" applyFill="1" applyBorder="1"/>
    <xf numFmtId="14" fontId="17" fillId="13" borderId="4" xfId="17" applyNumberFormat="1" applyFont="1" applyFill="1" applyBorder="1"/>
    <xf numFmtId="9" fontId="17" fillId="13" borderId="4" xfId="19" applyFont="1" applyFill="1" applyBorder="1"/>
    <xf numFmtId="14" fontId="17" fillId="13" borderId="4" xfId="16" applyNumberFormat="1" applyFont="1" applyFill="1" applyBorder="1"/>
    <xf numFmtId="0" fontId="17" fillId="13" borderId="4" xfId="16" applyFont="1" applyFill="1" applyBorder="1"/>
    <xf numFmtId="14" fontId="53" fillId="0" borderId="4" xfId="16" applyNumberFormat="1" applyFont="1" applyBorder="1"/>
    <xf numFmtId="10" fontId="53" fillId="0" borderId="4" xfId="16" applyNumberFormat="1" applyFont="1" applyBorder="1"/>
    <xf numFmtId="0" fontId="53" fillId="0" borderId="4" xfId="16" applyFont="1" applyBorder="1"/>
    <xf numFmtId="10" fontId="53" fillId="0" borderId="4" xfId="19" applyNumberFormat="1" applyFont="1" applyBorder="1"/>
    <xf numFmtId="0" fontId="14" fillId="18" borderId="4" xfId="16" applyFont="1" applyFill="1" applyBorder="1" applyAlignment="1">
      <alignment horizontal="left" vertical="center"/>
    </xf>
    <xf numFmtId="14" fontId="14" fillId="18" borderId="4" xfId="16" applyNumberFormat="1" applyFont="1" applyFill="1" applyBorder="1" applyAlignment="1">
      <alignment horizontal="center" vertical="center"/>
    </xf>
    <xf numFmtId="10" fontId="14" fillId="18" borderId="4" xfId="19" applyNumberFormat="1" applyFont="1" applyFill="1" applyBorder="1" applyAlignment="1">
      <alignment horizontal="center" vertical="center"/>
    </xf>
    <xf numFmtId="181" fontId="14" fillId="18" borderId="4" xfId="17" applyNumberFormat="1" applyFont="1" applyFill="1" applyBorder="1"/>
    <xf numFmtId="0" fontId="14" fillId="18" borderId="25" xfId="16" applyFont="1" applyFill="1" applyBorder="1" applyAlignment="1">
      <alignment horizontal="center" vertical="center" wrapText="1"/>
    </xf>
    <xf numFmtId="181" fontId="17" fillId="0" borderId="25" xfId="17" applyNumberFormat="1" applyFont="1" applyFill="1" applyBorder="1"/>
    <xf numFmtId="181" fontId="17" fillId="13" borderId="25" xfId="17" applyNumberFormat="1" applyFont="1" applyFill="1" applyBorder="1"/>
    <xf numFmtId="181" fontId="14" fillId="18" borderId="25" xfId="17" applyNumberFormat="1" applyFont="1" applyFill="1" applyBorder="1"/>
    <xf numFmtId="0" fontId="14" fillId="18" borderId="30" xfId="16" applyFont="1" applyFill="1" applyBorder="1" applyAlignment="1">
      <alignment horizontal="center" wrapText="1"/>
    </xf>
    <xf numFmtId="0" fontId="14" fillId="18" borderId="31" xfId="16" applyFont="1" applyFill="1" applyBorder="1" applyAlignment="1">
      <alignment horizontal="center" vertical="center" wrapText="1"/>
    </xf>
    <xf numFmtId="14" fontId="17" fillId="0" borderId="30" xfId="17" applyNumberFormat="1" applyFont="1" applyFill="1" applyBorder="1"/>
    <xf numFmtId="181" fontId="17" fillId="0" borderId="31" xfId="17" applyNumberFormat="1" applyFont="1" applyFill="1" applyBorder="1"/>
    <xf numFmtId="14" fontId="17" fillId="13" borderId="30" xfId="17" applyNumberFormat="1" applyFont="1" applyFill="1" applyBorder="1"/>
    <xf numFmtId="181" fontId="17" fillId="13" borderId="31" xfId="17" applyNumberFormat="1" applyFont="1" applyFill="1" applyBorder="1"/>
    <xf numFmtId="14" fontId="17" fillId="13" borderId="30" xfId="17" applyNumberFormat="1" applyFont="1" applyFill="1" applyBorder="1" applyAlignment="1">
      <alignment horizontal="right"/>
    </xf>
    <xf numFmtId="0" fontId="14" fillId="18" borderId="32" xfId="16" applyFont="1" applyFill="1" applyBorder="1"/>
    <xf numFmtId="0" fontId="14" fillId="18" borderId="33" xfId="16" applyFont="1" applyFill="1" applyBorder="1"/>
    <xf numFmtId="181" fontId="14" fillId="18" borderId="34" xfId="17" applyNumberFormat="1" applyFont="1" applyFill="1" applyBorder="1"/>
    <xf numFmtId="0" fontId="14" fillId="18" borderId="24" xfId="16" applyFont="1" applyFill="1" applyBorder="1"/>
    <xf numFmtId="0" fontId="14" fillId="18" borderId="35" xfId="16" applyFont="1" applyFill="1" applyBorder="1"/>
    <xf numFmtId="14" fontId="53" fillId="0" borderId="30" xfId="17" applyNumberFormat="1" applyFont="1" applyFill="1" applyBorder="1"/>
    <xf numFmtId="181" fontId="53" fillId="0" borderId="31" xfId="17" applyNumberFormat="1" applyFont="1" applyFill="1" applyBorder="1"/>
    <xf numFmtId="14" fontId="17" fillId="0" borderId="32" xfId="17" applyNumberFormat="1" applyFont="1" applyFill="1" applyBorder="1"/>
    <xf numFmtId="14" fontId="24" fillId="0" borderId="33" xfId="16" applyNumberFormat="1" applyFont="1" applyBorder="1"/>
    <xf numFmtId="0" fontId="24" fillId="0" borderId="33" xfId="16" applyFont="1" applyBorder="1"/>
    <xf numFmtId="181" fontId="24" fillId="0" borderId="25" xfId="16" applyNumberFormat="1" applyFont="1" applyBorder="1"/>
    <xf numFmtId="181" fontId="53" fillId="0" borderId="25" xfId="17" applyNumberFormat="1" applyFont="1" applyFill="1" applyBorder="1"/>
    <xf numFmtId="181" fontId="17" fillId="0" borderId="37" xfId="17" applyNumberFormat="1" applyFont="1" applyFill="1" applyBorder="1"/>
    <xf numFmtId="181" fontId="14" fillId="18" borderId="22" xfId="17" applyNumberFormat="1" applyFont="1" applyFill="1" applyBorder="1"/>
    <xf numFmtId="0" fontId="14" fillId="18" borderId="26" xfId="16" applyFont="1" applyFill="1" applyBorder="1" applyAlignment="1">
      <alignment horizontal="center"/>
    </xf>
    <xf numFmtId="181" fontId="24" fillId="0" borderId="26" xfId="16" applyNumberFormat="1" applyFont="1" applyBorder="1" applyAlignment="1">
      <alignment horizontal="right"/>
    </xf>
    <xf numFmtId="181" fontId="14" fillId="18" borderId="26" xfId="16" applyNumberFormat="1" applyFont="1" applyFill="1" applyBorder="1" applyAlignment="1">
      <alignment horizontal="right"/>
    </xf>
    <xf numFmtId="0" fontId="14" fillId="18" borderId="30" xfId="16" applyFont="1" applyFill="1" applyBorder="1" applyAlignment="1">
      <alignment horizontal="center" vertical="center" wrapText="1"/>
    </xf>
    <xf numFmtId="0" fontId="24" fillId="0" borderId="30" xfId="16" applyFont="1" applyBorder="1"/>
    <xf numFmtId="14" fontId="24" fillId="0" borderId="31" xfId="16" applyNumberFormat="1" applyFont="1" applyBorder="1"/>
    <xf numFmtId="0" fontId="17" fillId="13" borderId="30" xfId="16" applyFont="1" applyFill="1" applyBorder="1"/>
    <xf numFmtId="14" fontId="17" fillId="13" borderId="31" xfId="16" applyNumberFormat="1" applyFont="1" applyFill="1" applyBorder="1"/>
    <xf numFmtId="0" fontId="14" fillId="18" borderId="34" xfId="16" applyFont="1" applyFill="1" applyBorder="1"/>
    <xf numFmtId="0" fontId="12" fillId="18" borderId="4" xfId="16" applyFont="1" applyFill="1" applyBorder="1" applyAlignment="1">
      <alignment horizontal="center" vertical="center"/>
    </xf>
    <xf numFmtId="0" fontId="5" fillId="0" borderId="4" xfId="16" applyBorder="1"/>
    <xf numFmtId="3" fontId="5" fillId="0" borderId="4" xfId="16" applyNumberFormat="1" applyBorder="1"/>
    <xf numFmtId="9" fontId="0" fillId="0" borderId="4" xfId="19" applyFont="1" applyFill="1" applyBorder="1"/>
    <xf numFmtId="0" fontId="12" fillId="18" borderId="4" xfId="16" applyFont="1" applyFill="1" applyBorder="1" applyAlignment="1">
      <alignment horizontal="center"/>
    </xf>
    <xf numFmtId="3" fontId="12" fillId="18" borderId="4" xfId="16" applyNumberFormat="1" applyFont="1" applyFill="1" applyBorder="1"/>
    <xf numFmtId="0" fontId="12" fillId="18" borderId="4" xfId="16" applyFont="1" applyFill="1" applyBorder="1" applyAlignment="1">
      <alignment horizontal="center" vertical="center" wrapText="1"/>
    </xf>
    <xf numFmtId="0" fontId="12" fillId="18" borderId="4" xfId="16" applyFont="1" applyFill="1" applyBorder="1"/>
    <xf numFmtId="9" fontId="12" fillId="18" borderId="4" xfId="16" applyNumberFormat="1" applyFont="1" applyFill="1" applyBorder="1"/>
    <xf numFmtId="0" fontId="12" fillId="18" borderId="4" xfId="16" applyFont="1" applyFill="1" applyBorder="1" applyAlignment="1">
      <alignment wrapText="1"/>
    </xf>
    <xf numFmtId="0" fontId="57" fillId="0" borderId="0" xfId="16" applyFont="1" applyAlignment="1">
      <alignment horizontal="center"/>
    </xf>
    <xf numFmtId="41" fontId="0" fillId="0" borderId="0" xfId="20" applyFont="1" applyAlignment="1"/>
    <xf numFmtId="0" fontId="57" fillId="0" borderId="0" xfId="16" applyFont="1"/>
    <xf numFmtId="41" fontId="12" fillId="18" borderId="0" xfId="20" applyFont="1" applyFill="1" applyAlignment="1">
      <alignment horizontal="center"/>
    </xf>
    <xf numFmtId="0" fontId="58" fillId="0" borderId="0" xfId="16" applyFont="1" applyAlignment="1">
      <alignment horizontal="left"/>
    </xf>
    <xf numFmtId="0" fontId="45" fillId="11" borderId="0" xfId="16" applyFont="1" applyFill="1" applyAlignment="1">
      <alignment horizontal="center"/>
    </xf>
    <xf numFmtId="14" fontId="5" fillId="0" borderId="4" xfId="16" applyNumberFormat="1" applyBorder="1"/>
    <xf numFmtId="41" fontId="0" fillId="0" borderId="4" xfId="20" applyFont="1" applyBorder="1"/>
    <xf numFmtId="9" fontId="52" fillId="0" borderId="4" xfId="16" applyNumberFormat="1" applyFont="1" applyBorder="1"/>
    <xf numFmtId="168" fontId="52" fillId="0" borderId="4" xfId="18" applyNumberFormat="1" applyFont="1" applyBorder="1"/>
    <xf numFmtId="168" fontId="52" fillId="0" borderId="4" xfId="18" applyNumberFormat="1" applyFont="1" applyBorder="1" applyAlignment="1">
      <alignment horizontal="center"/>
    </xf>
    <xf numFmtId="41" fontId="57" fillId="0" borderId="0" xfId="16" applyNumberFormat="1" applyFont="1"/>
    <xf numFmtId="168" fontId="5" fillId="0" borderId="0" xfId="16" applyNumberFormat="1"/>
    <xf numFmtId="41" fontId="0" fillId="0" borderId="0" xfId="20" applyFont="1"/>
    <xf numFmtId="168" fontId="12" fillId="18" borderId="45" xfId="18" applyNumberFormat="1" applyFont="1" applyFill="1" applyBorder="1"/>
    <xf numFmtId="168" fontId="12" fillId="18" borderId="45" xfId="16" applyNumberFormat="1" applyFont="1" applyFill="1" applyBorder="1"/>
    <xf numFmtId="168" fontId="52" fillId="0" borderId="0" xfId="18" applyNumberFormat="1" applyFont="1"/>
    <xf numFmtId="168" fontId="0" fillId="0" borderId="0" xfId="18" applyNumberFormat="1" applyFont="1"/>
    <xf numFmtId="0" fontId="5" fillId="0" borderId="25" xfId="16" applyBorder="1"/>
    <xf numFmtId="9" fontId="52" fillId="0" borderId="46" xfId="16" applyNumberFormat="1" applyFont="1" applyBorder="1"/>
    <xf numFmtId="9" fontId="5" fillId="0" borderId="46" xfId="16" applyNumberFormat="1" applyBorder="1"/>
    <xf numFmtId="0" fontId="31" fillId="0" borderId="0" xfId="0" applyFont="1"/>
    <xf numFmtId="176" fontId="17" fillId="0" borderId="0" xfId="0" applyNumberFormat="1" applyFont="1"/>
    <xf numFmtId="168" fontId="17" fillId="0" borderId="0" xfId="5" applyNumberFormat="1" applyFont="1"/>
    <xf numFmtId="168" fontId="17" fillId="0" borderId="0" xfId="5" applyNumberFormat="1" applyFont="1" applyFill="1"/>
    <xf numFmtId="168" fontId="31" fillId="0" borderId="0" xfId="5" applyNumberFormat="1" applyFont="1"/>
    <xf numFmtId="176" fontId="31" fillId="0" borderId="0" xfId="0" applyNumberFormat="1" applyFont="1"/>
    <xf numFmtId="168" fontId="31" fillId="0" borderId="0" xfId="0" applyNumberFormat="1" applyFont="1"/>
    <xf numFmtId="43" fontId="17" fillId="0" borderId="0" xfId="5" applyFont="1"/>
    <xf numFmtId="9" fontId="17" fillId="0" borderId="0" xfId="2" applyFont="1"/>
    <xf numFmtId="0" fontId="17" fillId="3" borderId="0" xfId="0" applyFont="1" applyFill="1"/>
    <xf numFmtId="0" fontId="49" fillId="12" borderId="1" xfId="0" applyFont="1" applyFill="1" applyBorder="1"/>
    <xf numFmtId="43" fontId="17" fillId="0" borderId="0" xfId="0" applyNumberFormat="1" applyFont="1"/>
    <xf numFmtId="0" fontId="31" fillId="18" borderId="0" xfId="0" applyFont="1" applyFill="1" applyAlignment="1">
      <alignment horizontal="left"/>
    </xf>
    <xf numFmtId="0" fontId="31" fillId="18" borderId="0" xfId="0" applyFont="1" applyFill="1"/>
    <xf numFmtId="168" fontId="31" fillId="18" borderId="0" xfId="0" applyNumberFormat="1" applyFont="1" applyFill="1"/>
    <xf numFmtId="0" fontId="18" fillId="0" borderId="0" xfId="0" applyFont="1"/>
    <xf numFmtId="0" fontId="31" fillId="18" borderId="4" xfId="0" applyFont="1" applyFill="1" applyBorder="1" applyAlignment="1">
      <alignment horizontal="center" vertical="center" wrapText="1"/>
    </xf>
    <xf numFmtId="43" fontId="49" fillId="0" borderId="4" xfId="0" applyNumberFormat="1" applyFont="1" applyBorder="1" applyAlignment="1">
      <alignment horizontal="center" vertical="center" wrapText="1"/>
    </xf>
    <xf numFmtId="0" fontId="49" fillId="0" borderId="4" xfId="0" applyFont="1" applyBorder="1" applyAlignment="1">
      <alignment horizontal="center" vertical="center" wrapText="1"/>
    </xf>
    <xf numFmtId="10" fontId="49" fillId="0" borderId="4" xfId="0" applyNumberFormat="1" applyFont="1" applyBorder="1" applyAlignment="1">
      <alignment horizontal="center" vertical="center" wrapText="1"/>
    </xf>
    <xf numFmtId="9" fontId="49" fillId="0" borderId="4" xfId="0" applyNumberFormat="1" applyFont="1" applyBorder="1" applyAlignment="1">
      <alignment horizontal="center"/>
    </xf>
    <xf numFmtId="10" fontId="49" fillId="0" borderId="4" xfId="0" applyNumberFormat="1" applyFont="1" applyBorder="1" applyAlignment="1">
      <alignment horizontal="center"/>
    </xf>
    <xf numFmtId="168" fontId="49" fillId="0" borderId="4" xfId="0" applyNumberFormat="1" applyFont="1" applyBorder="1" applyAlignment="1">
      <alignment horizontal="left" vertical="center" wrapText="1"/>
    </xf>
    <xf numFmtId="0" fontId="49" fillId="0" borderId="4" xfId="0" applyFont="1" applyBorder="1" applyAlignment="1">
      <alignment horizontal="left" vertical="center" wrapText="1"/>
    </xf>
    <xf numFmtId="0" fontId="24" fillId="0" borderId="4" xfId="0" applyFont="1" applyBorder="1" applyAlignment="1">
      <alignment horizontal="left" vertical="center" wrapText="1"/>
    </xf>
    <xf numFmtId="168" fontId="24" fillId="0" borderId="4" xfId="5" applyNumberFormat="1" applyFont="1" applyBorder="1" applyAlignment="1">
      <alignment horizontal="left" vertical="center" wrapText="1"/>
    </xf>
    <xf numFmtId="168" fontId="17" fillId="14" borderId="4" xfId="0" applyNumberFormat="1" applyFont="1" applyFill="1" applyBorder="1"/>
    <xf numFmtId="168" fontId="24" fillId="0" borderId="4" xfId="5" applyNumberFormat="1" applyFont="1" applyBorder="1" applyAlignment="1">
      <alignment horizontal="left"/>
    </xf>
    <xf numFmtId="49" fontId="17" fillId="0" borderId="4" xfId="0" applyNumberFormat="1" applyFont="1" applyBorder="1"/>
    <xf numFmtId="168" fontId="17" fillId="0" borderId="4" xfId="0" applyNumberFormat="1" applyFont="1" applyBorder="1"/>
    <xf numFmtId="168" fontId="17" fillId="0" borderId="4" xfId="0" applyNumberFormat="1" applyFont="1" applyBorder="1" applyAlignment="1">
      <alignment horizontal="left"/>
    </xf>
    <xf numFmtId="1" fontId="17" fillId="0" borderId="4" xfId="0" applyNumberFormat="1" applyFont="1" applyBorder="1" applyAlignment="1">
      <alignment horizontal="left"/>
    </xf>
    <xf numFmtId="14" fontId="17" fillId="0" borderId="4" xfId="0" applyNumberFormat="1" applyFont="1" applyBorder="1"/>
    <xf numFmtId="168" fontId="17" fillId="0" borderId="4" xfId="5" applyNumberFormat="1" applyFont="1" applyFill="1" applyBorder="1" applyAlignment="1">
      <alignment horizontal="left"/>
    </xf>
    <xf numFmtId="0" fontId="14" fillId="18" borderId="4" xfId="0" applyFont="1" applyFill="1" applyBorder="1" applyAlignment="1">
      <alignment horizontal="center" vertical="center"/>
    </xf>
    <xf numFmtId="0" fontId="17" fillId="0" borderId="4" xfId="0" applyFont="1" applyBorder="1" applyAlignment="1">
      <alignment horizontal="center"/>
    </xf>
    <xf numFmtId="0" fontId="17" fillId="0" borderId="4" xfId="0" applyFont="1" applyBorder="1"/>
    <xf numFmtId="168" fontId="18" fillId="0" borderId="4" xfId="0" applyNumberFormat="1" applyFont="1" applyBorder="1"/>
    <xf numFmtId="0" fontId="49" fillId="0" borderId="4" xfId="0" applyFont="1" applyBorder="1"/>
    <xf numFmtId="168" fontId="24" fillId="0" borderId="4" xfId="5" applyNumberFormat="1" applyFont="1" applyBorder="1"/>
    <xf numFmtId="168" fontId="17" fillId="0" borderId="4" xfId="5" applyNumberFormat="1" applyFont="1" applyBorder="1"/>
    <xf numFmtId="41" fontId="44" fillId="0" borderId="0" xfId="1" applyFont="1" applyAlignment="1"/>
    <xf numFmtId="0" fontId="31" fillId="18" borderId="49" xfId="0" applyFont="1" applyFill="1" applyBorder="1" applyAlignment="1">
      <alignment horizontal="center" vertical="center" wrapText="1"/>
    </xf>
    <xf numFmtId="41" fontId="17" fillId="0" borderId="35" xfId="1" applyFont="1" applyFill="1" applyBorder="1"/>
    <xf numFmtId="41" fontId="17" fillId="0" borderId="4" xfId="1" applyFont="1" applyFill="1" applyBorder="1"/>
    <xf numFmtId="41" fontId="17" fillId="0" borderId="48" xfId="1" applyFont="1" applyFill="1" applyBorder="1"/>
    <xf numFmtId="49" fontId="32" fillId="0" borderId="0" xfId="16" applyNumberFormat="1" applyFont="1" applyAlignment="1">
      <alignment horizontal="left" vertical="center"/>
    </xf>
    <xf numFmtId="168" fontId="7" fillId="0" borderId="0" xfId="18" applyNumberFormat="1" applyFont="1"/>
    <xf numFmtId="0" fontId="17" fillId="0" borderId="4" xfId="16" applyFont="1" applyBorder="1" applyAlignment="1">
      <alignment horizontal="left" vertical="center"/>
    </xf>
    <xf numFmtId="49" fontId="17" fillId="0" borderId="4" xfId="16" applyNumberFormat="1" applyFont="1" applyBorder="1" applyAlignment="1">
      <alignment horizontal="left" vertical="center"/>
    </xf>
    <xf numFmtId="4" fontId="17" fillId="0" borderId="4" xfId="21" applyNumberFormat="1" applyFont="1" applyBorder="1"/>
    <xf numFmtId="168" fontId="17" fillId="0" borderId="4" xfId="18" applyNumberFormat="1" applyFont="1" applyBorder="1"/>
    <xf numFmtId="0" fontId="31" fillId="18" borderId="4" xfId="16" applyFont="1" applyFill="1" applyBorder="1"/>
    <xf numFmtId="0" fontId="12" fillId="18" borderId="4" xfId="0" applyFont="1" applyFill="1" applyBorder="1" applyAlignment="1">
      <alignment horizontal="center"/>
    </xf>
    <xf numFmtId="174" fontId="51" fillId="0" borderId="4" xfId="2" applyNumberFormat="1" applyFont="1" applyBorder="1" applyAlignment="1">
      <alignment horizontal="center"/>
    </xf>
    <xf numFmtId="0" fontId="45" fillId="0" borderId="0" xfId="16" applyFont="1" applyAlignment="1">
      <alignment horizontal="left"/>
    </xf>
    <xf numFmtId="0" fontId="51" fillId="0" borderId="4" xfId="16" applyFont="1" applyBorder="1" applyAlignment="1">
      <alignment horizontal="left" vertical="center"/>
    </xf>
    <xf numFmtId="49" fontId="51" fillId="0" borderId="4" xfId="16" applyNumberFormat="1" applyFont="1" applyBorder="1" applyAlignment="1">
      <alignment horizontal="left" vertical="center"/>
    </xf>
    <xf numFmtId="4" fontId="51" fillId="0" borderId="4" xfId="21" applyNumberFormat="1" applyFont="1" applyBorder="1"/>
    <xf numFmtId="168" fontId="51" fillId="0" borderId="4" xfId="18" applyNumberFormat="1" applyFont="1" applyBorder="1"/>
    <xf numFmtId="41" fontId="5" fillId="0" borderId="4" xfId="1" applyFont="1" applyBorder="1"/>
    <xf numFmtId="0" fontId="48" fillId="18" borderId="4" xfId="16" applyFont="1" applyFill="1" applyBorder="1"/>
    <xf numFmtId="168" fontId="12" fillId="18" borderId="4" xfId="16" applyNumberFormat="1" applyFont="1" applyFill="1" applyBorder="1"/>
    <xf numFmtId="168" fontId="14" fillId="18" borderId="4" xfId="16" applyNumberFormat="1" applyFont="1" applyFill="1" applyBorder="1"/>
    <xf numFmtId="174" fontId="51" fillId="0" borderId="0" xfId="2" applyNumberFormat="1" applyFont="1" applyBorder="1" applyAlignment="1">
      <alignment horizontal="center"/>
    </xf>
    <xf numFmtId="180" fontId="0" fillId="0" borderId="0" xfId="22" applyNumberFormat="1" applyFont="1"/>
    <xf numFmtId="180" fontId="0" fillId="0" borderId="0" xfId="22" applyNumberFormat="1" applyFont="1" applyAlignment="1">
      <alignment horizontal="right"/>
    </xf>
    <xf numFmtId="0" fontId="51" fillId="0" borderId="0" xfId="0" applyFont="1"/>
    <xf numFmtId="0" fontId="51" fillId="3" borderId="0" xfId="0" applyFont="1" applyFill="1"/>
    <xf numFmtId="174" fontId="51" fillId="0" borderId="4" xfId="24" applyNumberFormat="1" applyFont="1" applyBorder="1"/>
    <xf numFmtId="174" fontId="51" fillId="0" borderId="0" xfId="24" applyNumberFormat="1" applyFont="1" applyBorder="1"/>
    <xf numFmtId="180" fontId="12" fillId="18" borderId="0" xfId="0" applyNumberFormat="1" applyFont="1" applyFill="1"/>
    <xf numFmtId="0" fontId="65" fillId="18" borderId="50" xfId="0" applyFont="1" applyFill="1" applyBorder="1" applyAlignment="1">
      <alignment horizontal="center" vertical="center" wrapText="1"/>
    </xf>
    <xf numFmtId="180" fontId="65" fillId="18" borderId="50" xfId="22" applyNumberFormat="1" applyFont="1" applyFill="1" applyBorder="1" applyAlignment="1">
      <alignment horizontal="center" vertical="center" wrapText="1"/>
    </xf>
    <xf numFmtId="180" fontId="65" fillId="18" borderId="50" xfId="22" applyNumberFormat="1" applyFont="1" applyFill="1" applyBorder="1" applyAlignment="1">
      <alignment horizontal="center" vertical="center"/>
    </xf>
    <xf numFmtId="0" fontId="0" fillId="3" borderId="0" xfId="0" applyFill="1" applyAlignment="1">
      <alignment horizontal="center"/>
    </xf>
    <xf numFmtId="0" fontId="12" fillId="18" borderId="0" xfId="0" applyFont="1" applyFill="1" applyAlignment="1">
      <alignment horizontal="center" vertical="center"/>
    </xf>
    <xf numFmtId="0" fontId="51" fillId="0" borderId="0" xfId="0" applyFont="1" applyAlignment="1">
      <alignment horizontal="center"/>
    </xf>
    <xf numFmtId="0" fontId="51" fillId="3" borderId="0" xfId="0" applyFont="1" applyFill="1" applyAlignment="1">
      <alignment horizontal="center"/>
    </xf>
    <xf numFmtId="0" fontId="35" fillId="0" borderId="35" xfId="0" applyFont="1" applyBorder="1" applyAlignment="1">
      <alignment horizontal="left" vertical="top" wrapText="1"/>
    </xf>
    <xf numFmtId="1" fontId="66" fillId="18" borderId="35" xfId="0" applyNumberFormat="1" applyFont="1" applyFill="1" applyBorder="1" applyAlignment="1">
      <alignment horizontal="center" vertical="top" shrinkToFit="1"/>
    </xf>
    <xf numFmtId="0" fontId="35" fillId="0" borderId="35" xfId="0" applyFont="1" applyBorder="1" applyAlignment="1">
      <alignment horizontal="center" vertical="top" wrapText="1"/>
    </xf>
    <xf numFmtId="180" fontId="32" fillId="0" borderId="35" xfId="22" applyNumberFormat="1" applyFont="1" applyFill="1" applyBorder="1" applyAlignment="1">
      <alignment horizontal="right" vertical="top" shrinkToFit="1"/>
    </xf>
    <xf numFmtId="180" fontId="35" fillId="0" borderId="35" xfId="22" applyNumberFormat="1" applyFont="1" applyFill="1" applyBorder="1" applyAlignment="1">
      <alignment horizontal="right" wrapText="1"/>
    </xf>
    <xf numFmtId="180" fontId="32" fillId="0" borderId="4" xfId="22" applyNumberFormat="1" applyFont="1" applyFill="1" applyBorder="1" applyAlignment="1">
      <alignment horizontal="right" vertical="top" shrinkToFit="1"/>
    </xf>
    <xf numFmtId="0" fontId="35" fillId="0" borderId="4" xfId="0" applyFont="1" applyBorder="1" applyAlignment="1">
      <alignment horizontal="left" vertical="top" wrapText="1"/>
    </xf>
    <xf numFmtId="1" fontId="66" fillId="18" borderId="4" xfId="0" applyNumberFormat="1" applyFont="1" applyFill="1" applyBorder="1" applyAlignment="1">
      <alignment horizontal="center" vertical="top" shrinkToFit="1"/>
    </xf>
    <xf numFmtId="0" fontId="35" fillId="0" borderId="4" xfId="0" applyFont="1" applyBorder="1" applyAlignment="1">
      <alignment horizontal="center" vertical="top" wrapText="1"/>
    </xf>
    <xf numFmtId="180" fontId="35" fillId="0" borderId="4" xfId="22" applyNumberFormat="1" applyFont="1" applyFill="1" applyBorder="1" applyAlignment="1">
      <alignment horizontal="right" wrapText="1"/>
    </xf>
    <xf numFmtId="180" fontId="67" fillId="0" borderId="4" xfId="22" applyNumberFormat="1" applyFont="1" applyFill="1" applyBorder="1" applyAlignment="1">
      <alignment horizontal="right" vertical="top" shrinkToFit="1"/>
    </xf>
    <xf numFmtId="180" fontId="35" fillId="0" borderId="4" xfId="22" applyNumberFormat="1" applyFont="1" applyFill="1" applyBorder="1" applyAlignment="1">
      <alignment horizontal="right" vertical="center" wrapText="1"/>
    </xf>
    <xf numFmtId="0" fontId="35" fillId="0" borderId="48" xfId="0" applyFont="1" applyBorder="1" applyAlignment="1">
      <alignment horizontal="left" vertical="top" wrapText="1"/>
    </xf>
    <xf numFmtId="1" fontId="66" fillId="18" borderId="48" xfId="0" applyNumberFormat="1" applyFont="1" applyFill="1" applyBorder="1" applyAlignment="1">
      <alignment horizontal="center" vertical="top" shrinkToFit="1"/>
    </xf>
    <xf numFmtId="0" fontId="35" fillId="0" borderId="48" xfId="0" applyFont="1" applyBorder="1" applyAlignment="1">
      <alignment horizontal="center" vertical="top" wrapText="1"/>
    </xf>
    <xf numFmtId="180" fontId="32" fillId="0" borderId="48" xfId="22" applyNumberFormat="1" applyFont="1" applyFill="1" applyBorder="1" applyAlignment="1">
      <alignment horizontal="right" vertical="top" shrinkToFit="1"/>
    </xf>
    <xf numFmtId="180" fontId="35" fillId="0" borderId="48" xfId="22" applyNumberFormat="1" applyFont="1" applyFill="1" applyBorder="1" applyAlignment="1">
      <alignment horizontal="right" wrapText="1"/>
    </xf>
    <xf numFmtId="180" fontId="65" fillId="18" borderId="53" xfId="22" applyNumberFormat="1" applyFont="1" applyFill="1" applyBorder="1" applyAlignment="1">
      <alignment horizontal="right" vertical="top" shrinkToFit="1"/>
    </xf>
    <xf numFmtId="0" fontId="36" fillId="0" borderId="0" xfId="0" applyFont="1" applyAlignment="1">
      <alignment horizontal="center" vertical="top" wrapText="1"/>
    </xf>
    <xf numFmtId="180" fontId="36" fillId="0" borderId="0" xfId="22" applyNumberFormat="1" applyFont="1" applyFill="1" applyBorder="1" applyAlignment="1">
      <alignment horizontal="right" vertical="top" shrinkToFit="1"/>
    </xf>
    <xf numFmtId="180" fontId="50" fillId="0" borderId="0" xfId="0" applyNumberFormat="1" applyFont="1"/>
    <xf numFmtId="180" fontId="51" fillId="0" borderId="0" xfId="22" applyNumberFormat="1" applyFont="1" applyAlignment="1">
      <alignment horizontal="right"/>
    </xf>
    <xf numFmtId="180" fontId="51" fillId="0" borderId="4" xfId="22" applyNumberFormat="1" applyFont="1" applyBorder="1" applyAlignment="1">
      <alignment horizontal="right"/>
    </xf>
    <xf numFmtId="180" fontId="0" fillId="0" borderId="0" xfId="0" applyNumberFormat="1"/>
    <xf numFmtId="180" fontId="0" fillId="0" borderId="0" xfId="22" applyNumberFormat="1" applyFont="1" applyFill="1"/>
    <xf numFmtId="180" fontId="0" fillId="0" borderId="0" xfId="22" applyNumberFormat="1" applyFont="1" applyFill="1" applyAlignment="1">
      <alignment horizontal="right"/>
    </xf>
    <xf numFmtId="0" fontId="36" fillId="0" borderId="54" xfId="0" applyFont="1" applyBorder="1" applyAlignment="1">
      <alignment horizontal="center" vertical="top"/>
    </xf>
    <xf numFmtId="0" fontId="36" fillId="0" borderId="0" xfId="0" applyFont="1" applyAlignment="1">
      <alignment horizontal="center" vertical="top"/>
    </xf>
    <xf numFmtId="180" fontId="51" fillId="0" borderId="4" xfId="22" applyNumberFormat="1" applyFont="1" applyBorder="1" applyAlignment="1">
      <alignment horizontal="left"/>
    </xf>
    <xf numFmtId="174" fontId="51" fillId="0" borderId="4" xfId="19" applyNumberFormat="1" applyFont="1" applyBorder="1"/>
    <xf numFmtId="0" fontId="48" fillId="18" borderId="4" xfId="16" applyFont="1" applyFill="1" applyBorder="1" applyAlignment="1">
      <alignment horizontal="center" vertical="center" wrapText="1"/>
    </xf>
    <xf numFmtId="0" fontId="69" fillId="0" borderId="0" xfId="16" applyFont="1" applyAlignment="1">
      <alignment horizontal="center" vertical="center" wrapText="1"/>
    </xf>
    <xf numFmtId="49" fontId="67" fillId="0" borderId="4" xfId="16" applyNumberFormat="1" applyFont="1" applyBorder="1" applyAlignment="1">
      <alignment horizontal="left" vertical="center"/>
    </xf>
    <xf numFmtId="168" fontId="0" fillId="0" borderId="4" xfId="18" applyNumberFormat="1" applyFont="1" applyBorder="1"/>
    <xf numFmtId="49" fontId="67" fillId="0" borderId="0" xfId="16" applyNumberFormat="1" applyFont="1" applyAlignment="1">
      <alignment horizontal="left" vertical="center"/>
    </xf>
    <xf numFmtId="49" fontId="69" fillId="0" borderId="0" xfId="16" applyNumberFormat="1" applyFont="1" applyAlignment="1">
      <alignment horizontal="left" vertical="center"/>
    </xf>
    <xf numFmtId="3" fontId="45" fillId="0" borderId="0" xfId="16" applyNumberFormat="1" applyFont="1"/>
    <xf numFmtId="4" fontId="5" fillId="0" borderId="0" xfId="16" applyNumberFormat="1"/>
    <xf numFmtId="43" fontId="0" fillId="0" borderId="0" xfId="18" applyFont="1"/>
    <xf numFmtId="179" fontId="5" fillId="0" borderId="0" xfId="16" applyNumberFormat="1"/>
    <xf numFmtId="0" fontId="5" fillId="0" borderId="0" xfId="16" applyAlignment="1">
      <alignment vertical="top"/>
    </xf>
    <xf numFmtId="174" fontId="0" fillId="0" borderId="0" xfId="19" applyNumberFormat="1" applyFont="1" applyBorder="1"/>
    <xf numFmtId="0" fontId="12" fillId="18" borderId="4" xfId="16" applyFont="1" applyFill="1" applyBorder="1" applyAlignment="1">
      <alignment horizontal="center" wrapText="1"/>
    </xf>
    <xf numFmtId="0" fontId="45" fillId="0" borderId="0" xfId="16" applyFont="1" applyAlignment="1">
      <alignment wrapText="1"/>
    </xf>
    <xf numFmtId="14" fontId="5" fillId="0" borderId="0" xfId="16" applyNumberFormat="1" applyAlignment="1">
      <alignment horizontal="right" vertical="top"/>
    </xf>
    <xf numFmtId="3" fontId="5" fillId="0" borderId="0" xfId="16" applyNumberFormat="1" applyAlignment="1">
      <alignment horizontal="right" vertical="top"/>
    </xf>
    <xf numFmtId="174" fontId="51" fillId="0" borderId="0" xfId="16" applyNumberFormat="1" applyFont="1" applyAlignment="1">
      <alignment vertical="top"/>
    </xf>
    <xf numFmtId="0" fontId="51" fillId="0" borderId="0" xfId="16" applyFont="1" applyAlignment="1">
      <alignment vertical="top"/>
    </xf>
    <xf numFmtId="0" fontId="5" fillId="0" borderId="1" xfId="16" applyBorder="1" applyAlignment="1">
      <alignment vertical="top"/>
    </xf>
    <xf numFmtId="0" fontId="5" fillId="0" borderId="0" xfId="16" applyAlignment="1">
      <alignment vertical="center"/>
    </xf>
    <xf numFmtId="41" fontId="44" fillId="0" borderId="0" xfId="20" applyFont="1" applyAlignment="1"/>
    <xf numFmtId="3" fontId="12" fillId="18" borderId="4" xfId="16" applyNumberFormat="1" applyFont="1" applyFill="1" applyBorder="1" applyAlignment="1">
      <alignment horizontal="center" vertical="center"/>
    </xf>
    <xf numFmtId="0" fontId="5" fillId="0" borderId="4" xfId="16" applyBorder="1" applyAlignment="1">
      <alignment vertical="center" wrapText="1"/>
    </xf>
    <xf numFmtId="3" fontId="5" fillId="0" borderId="4" xfId="16" applyNumberFormat="1" applyBorder="1" applyAlignment="1">
      <alignment vertical="center"/>
    </xf>
    <xf numFmtId="0" fontId="5" fillId="0" borderId="48" xfId="16" applyBorder="1" applyAlignment="1">
      <alignment vertical="center" wrapText="1"/>
    </xf>
    <xf numFmtId="3" fontId="5" fillId="0" borderId="48" xfId="16" applyNumberFormat="1" applyBorder="1" applyAlignment="1">
      <alignment vertical="center"/>
    </xf>
    <xf numFmtId="0" fontId="70" fillId="0" borderId="0" xfId="16" applyFont="1"/>
    <xf numFmtId="0" fontId="72" fillId="0" borderId="0" xfId="16" applyFont="1"/>
    <xf numFmtId="0" fontId="70" fillId="0" borderId="55" xfId="16" applyFont="1" applyBorder="1"/>
    <xf numFmtId="0" fontId="65" fillId="18" borderId="47" xfId="16" applyFont="1" applyFill="1" applyBorder="1" applyAlignment="1">
      <alignment horizontal="center" vertical="center" wrapText="1"/>
    </xf>
    <xf numFmtId="0" fontId="12" fillId="18" borderId="4" xfId="26" applyFont="1" applyFill="1" applyBorder="1" applyAlignment="1">
      <alignment horizontal="center" vertical="center"/>
    </xf>
    <xf numFmtId="0" fontId="63" fillId="0" borderId="0" xfId="16" applyFont="1" applyAlignment="1">
      <alignment horizontal="left" vertical="center"/>
    </xf>
    <xf numFmtId="4" fontId="63" fillId="0" borderId="0" xfId="16" applyNumberFormat="1" applyFont="1" applyAlignment="1">
      <alignment horizontal="right" vertical="center"/>
    </xf>
    <xf numFmtId="184" fontId="32" fillId="0" borderId="0" xfId="16" applyNumberFormat="1" applyFont="1" applyAlignment="1">
      <alignment horizontal="left" vertical="center"/>
    </xf>
    <xf numFmtId="4" fontId="32" fillId="0" borderId="0" xfId="16" applyNumberFormat="1" applyFont="1" applyAlignment="1">
      <alignment horizontal="right" vertical="center"/>
    </xf>
    <xf numFmtId="0" fontId="73" fillId="0" borderId="54" xfId="16" applyFont="1" applyBorder="1" applyAlignment="1">
      <alignment horizontal="left"/>
    </xf>
    <xf numFmtId="4" fontId="45" fillId="0" borderId="0" xfId="16" applyNumberFormat="1" applyFont="1"/>
    <xf numFmtId="41" fontId="45" fillId="0" borderId="0" xfId="20" applyFont="1" applyAlignment="1"/>
    <xf numFmtId="3" fontId="49" fillId="0" borderId="0" xfId="16" applyNumberFormat="1" applyFont="1"/>
    <xf numFmtId="3" fontId="49" fillId="0" borderId="0" xfId="16" applyNumberFormat="1" applyFont="1" applyAlignment="1">
      <alignment wrapText="1"/>
    </xf>
    <xf numFmtId="174" fontId="17" fillId="0" borderId="4" xfId="24" applyNumberFormat="1" applyFont="1" applyBorder="1"/>
    <xf numFmtId="3" fontId="14" fillId="18" borderId="4" xfId="16" applyNumberFormat="1" applyFont="1" applyFill="1" applyBorder="1" applyAlignment="1">
      <alignment horizontal="center" vertical="center"/>
    </xf>
    <xf numFmtId="0" fontId="24" fillId="0" borderId="4" xfId="16" applyFont="1" applyBorder="1" applyAlignment="1">
      <alignment vertical="center" wrapText="1"/>
    </xf>
    <xf numFmtId="3" fontId="24" fillId="0" borderId="4" xfId="16" applyNumberFormat="1" applyFont="1" applyBorder="1" applyAlignment="1">
      <alignment vertical="center"/>
    </xf>
    <xf numFmtId="0" fontId="24" fillId="0" borderId="4" xfId="16" applyFont="1" applyBorder="1" applyAlignment="1">
      <alignment wrapText="1"/>
    </xf>
    <xf numFmtId="3" fontId="14" fillId="18" borderId="4" xfId="16" applyNumberFormat="1" applyFont="1" applyFill="1" applyBorder="1" applyAlignment="1">
      <alignment vertical="center"/>
    </xf>
    <xf numFmtId="3" fontId="24" fillId="0" borderId="4" xfId="16" applyNumberFormat="1" applyFont="1" applyBorder="1" applyAlignment="1">
      <alignment vertical="center" wrapText="1"/>
    </xf>
    <xf numFmtId="3" fontId="24" fillId="0" borderId="0" xfId="16" applyNumberFormat="1" applyFont="1" applyAlignment="1">
      <alignment vertical="center"/>
    </xf>
    <xf numFmtId="3" fontId="14" fillId="18" borderId="4" xfId="16" applyNumberFormat="1" applyFont="1" applyFill="1" applyBorder="1"/>
    <xf numFmtId="0" fontId="51" fillId="0" borderId="0" xfId="0" applyFont="1" applyAlignment="1">
      <alignment vertical="top"/>
    </xf>
    <xf numFmtId="0" fontId="5" fillId="0" borderId="0" xfId="27" applyAlignment="1">
      <alignment vertical="top"/>
    </xf>
    <xf numFmtId="174" fontId="51" fillId="0" borderId="4" xfId="28" applyNumberFormat="1" applyFont="1" applyBorder="1"/>
    <xf numFmtId="174" fontId="5" fillId="0" borderId="0" xfId="28" applyNumberFormat="1" applyFont="1" applyBorder="1"/>
    <xf numFmtId="0" fontId="5" fillId="0" borderId="0" xfId="27"/>
    <xf numFmtId="0" fontId="12" fillId="18" borderId="4" xfId="27" applyFont="1" applyFill="1" applyBorder="1" applyAlignment="1">
      <alignment horizontal="center" vertical="center" wrapText="1"/>
    </xf>
    <xf numFmtId="0" fontId="12" fillId="18" borderId="4" xfId="27" applyFont="1" applyFill="1" applyBorder="1" applyAlignment="1">
      <alignment horizontal="center" vertical="center"/>
    </xf>
    <xf numFmtId="0" fontId="51" fillId="0" borderId="4" xfId="0" applyFont="1" applyBorder="1" applyAlignment="1">
      <alignment horizontal="right" vertical="top"/>
    </xf>
    <xf numFmtId="0" fontId="51" fillId="0" borderId="4" xfId="0" applyFont="1" applyBorder="1" applyAlignment="1">
      <alignment vertical="top"/>
    </xf>
    <xf numFmtId="14" fontId="51" fillId="0" borderId="4" xfId="0" applyNumberFormat="1" applyFont="1" applyBorder="1" applyAlignment="1">
      <alignment horizontal="right" vertical="top"/>
    </xf>
    <xf numFmtId="3" fontId="51" fillId="0" borderId="4" xfId="0" applyNumberFormat="1" applyFont="1" applyBorder="1" applyAlignment="1">
      <alignment horizontal="right" vertical="top"/>
    </xf>
    <xf numFmtId="3" fontId="5" fillId="0" borderId="4" xfId="27" applyNumberFormat="1" applyBorder="1"/>
    <xf numFmtId="0" fontId="51" fillId="0" borderId="0" xfId="0" applyFont="1" applyAlignment="1">
      <alignment horizontal="right" vertical="top"/>
    </xf>
    <xf numFmtId="0" fontId="50" fillId="17" borderId="0" xfId="0" applyFont="1" applyFill="1" applyAlignment="1">
      <alignment vertical="top"/>
    </xf>
    <xf numFmtId="3" fontId="50" fillId="17" borderId="0" xfId="0" applyNumberFormat="1" applyFont="1" applyFill="1" applyAlignment="1">
      <alignment vertical="top"/>
    </xf>
    <xf numFmtId="0" fontId="44" fillId="17" borderId="0" xfId="27" applyFont="1" applyFill="1" applyAlignment="1">
      <alignment horizontal="center"/>
    </xf>
    <xf numFmtId="174" fontId="0" fillId="0" borderId="0" xfId="28" applyNumberFormat="1" applyFont="1" applyBorder="1"/>
    <xf numFmtId="0" fontId="5" fillId="0" borderId="4" xfId="27" applyBorder="1" applyAlignment="1">
      <alignment vertical="top"/>
    </xf>
    <xf numFmtId="14" fontId="5" fillId="0" borderId="4" xfId="27" applyNumberFormat="1" applyBorder="1" applyAlignment="1">
      <alignment horizontal="right" vertical="top"/>
    </xf>
    <xf numFmtId="3" fontId="5" fillId="0" borderId="4" xfId="27" applyNumberFormat="1" applyBorder="1" applyAlignment="1">
      <alignment horizontal="right" vertical="top"/>
    </xf>
    <xf numFmtId="0" fontId="45" fillId="0" borderId="0" xfId="27" applyFont="1"/>
    <xf numFmtId="174" fontId="51" fillId="0" borderId="0" xfId="27" applyNumberFormat="1" applyFont="1" applyAlignment="1">
      <alignment vertical="top"/>
    </xf>
    <xf numFmtId="0" fontId="51" fillId="0" borderId="0" xfId="27" applyFont="1" applyAlignment="1">
      <alignment vertical="top"/>
    </xf>
    <xf numFmtId="0" fontId="45" fillId="17" borderId="0" xfId="27" applyFont="1" applyFill="1"/>
    <xf numFmtId="168" fontId="45" fillId="17" borderId="0" xfId="18" applyNumberFormat="1" applyFont="1" applyFill="1"/>
    <xf numFmtId="174" fontId="51" fillId="0" borderId="0" xfId="28" applyNumberFormat="1" applyFont="1" applyBorder="1"/>
    <xf numFmtId="0" fontId="48" fillId="18" borderId="4" xfId="0" applyFont="1" applyFill="1" applyBorder="1" applyAlignment="1">
      <alignment horizontal="center" vertical="center"/>
    </xf>
    <xf numFmtId="0" fontId="48" fillId="18" borderId="4" xfId="0" applyFont="1" applyFill="1" applyBorder="1" applyAlignment="1">
      <alignment horizontal="center" vertical="center" wrapText="1"/>
    </xf>
    <xf numFmtId="3" fontId="51" fillId="0" borderId="4" xfId="0" applyNumberFormat="1" applyFont="1" applyBorder="1" applyAlignment="1">
      <alignment vertical="top"/>
    </xf>
    <xf numFmtId="168" fontId="51" fillId="0" borderId="4" xfId="18" applyNumberFormat="1" applyFont="1" applyBorder="1" applyAlignment="1">
      <alignment vertical="top"/>
    </xf>
    <xf numFmtId="14" fontId="51" fillId="0" borderId="0" xfId="0" applyNumberFormat="1" applyFont="1" applyAlignment="1">
      <alignment horizontal="right" vertical="top"/>
    </xf>
    <xf numFmtId="3" fontId="51" fillId="0" borderId="0" xfId="0" applyNumberFormat="1" applyFont="1" applyAlignment="1">
      <alignment horizontal="right" vertical="top"/>
    </xf>
    <xf numFmtId="174" fontId="51" fillId="0" borderId="0" xfId="0" applyNumberFormat="1" applyFont="1" applyAlignment="1">
      <alignment vertical="top"/>
    </xf>
    <xf numFmtId="3" fontId="51" fillId="0" borderId="0" xfId="0" applyNumberFormat="1" applyFont="1" applyAlignment="1">
      <alignment vertical="top"/>
    </xf>
    <xf numFmtId="169" fontId="75" fillId="0" borderId="0" xfId="27" applyNumberFormat="1" applyFont="1" applyProtection="1">
      <protection locked="0"/>
    </xf>
    <xf numFmtId="0" fontId="22" fillId="0" borderId="0" xfId="27" applyFont="1"/>
    <xf numFmtId="0" fontId="77" fillId="0" borderId="0" xfId="27" applyFont="1" applyAlignment="1">
      <alignment vertical="center"/>
    </xf>
    <xf numFmtId="0" fontId="78" fillId="0" borderId="0" xfId="27" applyFont="1"/>
    <xf numFmtId="166" fontId="75" fillId="0" borderId="0" xfId="27" applyNumberFormat="1" applyFont="1" applyAlignment="1">
      <alignment horizontal="center"/>
    </xf>
    <xf numFmtId="0" fontId="25" fillId="0" borderId="0" xfId="27" applyFont="1" applyAlignment="1">
      <alignment vertical="center"/>
    </xf>
    <xf numFmtId="0" fontId="80" fillId="0" borderId="0" xfId="27" applyFont="1" applyAlignment="1">
      <alignment horizontal="center" vertical="center"/>
    </xf>
    <xf numFmtId="0" fontId="76" fillId="2" borderId="5" xfId="27" applyFont="1" applyFill="1" applyBorder="1" applyAlignment="1">
      <alignment horizontal="center" vertical="center"/>
    </xf>
    <xf numFmtId="169" fontId="20" fillId="0" borderId="0" xfId="27" applyNumberFormat="1" applyFont="1" applyProtection="1">
      <protection locked="0"/>
    </xf>
    <xf numFmtId="41" fontId="75" fillId="0" borderId="0" xfId="20" applyFont="1" applyAlignment="1" applyProtection="1">
      <alignment horizontal="right"/>
      <protection locked="0"/>
    </xf>
    <xf numFmtId="41" fontId="82" fillId="0" borderId="56" xfId="20" applyFont="1" applyBorder="1" applyAlignment="1" applyProtection="1">
      <alignment horizontal="right"/>
      <protection locked="0"/>
    </xf>
    <xf numFmtId="41" fontId="82" fillId="0" borderId="57" xfId="20" applyFont="1" applyBorder="1" applyAlignment="1" applyProtection="1">
      <alignment horizontal="right"/>
      <protection locked="0"/>
    </xf>
    <xf numFmtId="41" fontId="82" fillId="0" borderId="15" xfId="20" applyFont="1" applyBorder="1" applyAlignment="1" applyProtection="1">
      <alignment horizontal="right"/>
      <protection locked="0"/>
    </xf>
    <xf numFmtId="166" fontId="83" fillId="0" borderId="0" xfId="29" applyNumberFormat="1" applyFont="1" applyBorder="1" applyProtection="1">
      <protection locked="0"/>
    </xf>
    <xf numFmtId="41" fontId="83" fillId="0" borderId="0" xfId="20" applyFont="1" applyBorder="1" applyAlignment="1" applyProtection="1">
      <alignment horizontal="right"/>
      <protection locked="0"/>
    </xf>
    <xf numFmtId="0" fontId="80" fillId="0" borderId="0" xfId="27" applyFont="1" applyAlignment="1">
      <alignment horizontal="right" vertical="center" indent="1"/>
    </xf>
    <xf numFmtId="171" fontId="83" fillId="0" borderId="0" xfId="27" applyNumberFormat="1" applyFont="1" applyProtection="1">
      <protection locked="0"/>
    </xf>
    <xf numFmtId="0" fontId="84" fillId="0" borderId="0" xfId="27" applyFont="1"/>
    <xf numFmtId="41" fontId="84" fillId="0" borderId="0" xfId="27" applyNumberFormat="1" applyFont="1"/>
    <xf numFmtId="41" fontId="75" fillId="0" borderId="0" xfId="20" applyFont="1" applyBorder="1" applyAlignment="1" applyProtection="1">
      <alignment horizontal="right"/>
      <protection locked="0"/>
    </xf>
    <xf numFmtId="166" fontId="18" fillId="0" borderId="0" xfId="27" applyNumberFormat="1" applyFont="1" applyAlignment="1">
      <alignment horizontal="center"/>
    </xf>
    <xf numFmtId="167" fontId="81" fillId="0" borderId="0" xfId="29" applyNumberFormat="1" applyFont="1" applyFill="1" applyBorder="1" applyProtection="1">
      <protection locked="0"/>
    </xf>
    <xf numFmtId="41" fontId="25" fillId="0" borderId="58" xfId="20" applyFont="1" applyFill="1" applyBorder="1" applyAlignment="1">
      <alignment horizontal="center" vertical="center"/>
    </xf>
    <xf numFmtId="0" fontId="25" fillId="0" borderId="0" xfId="27" applyFont="1" applyAlignment="1">
      <alignment horizontal="center" vertical="center"/>
    </xf>
    <xf numFmtId="0" fontId="25" fillId="0" borderId="60" xfId="27" applyFont="1" applyBorder="1" applyAlignment="1">
      <alignment horizontal="left" vertical="center"/>
    </xf>
    <xf numFmtId="41" fontId="25" fillId="0" borderId="59" xfId="20" applyFont="1" applyFill="1" applyBorder="1" applyAlignment="1">
      <alignment horizontal="right" vertical="center"/>
    </xf>
    <xf numFmtId="0" fontId="25" fillId="0" borderId="9" xfId="27" applyFont="1" applyBorder="1" applyAlignment="1">
      <alignment horizontal="center" vertical="center"/>
    </xf>
    <xf numFmtId="41" fontId="25" fillId="0" borderId="9" xfId="20" applyFont="1" applyFill="1" applyBorder="1" applyAlignment="1">
      <alignment horizontal="right" vertical="center"/>
    </xf>
    <xf numFmtId="166" fontId="25" fillId="0" borderId="62" xfId="27" applyNumberFormat="1" applyFont="1" applyBorder="1" applyAlignment="1">
      <alignment horizontal="center"/>
    </xf>
    <xf numFmtId="41" fontId="25" fillId="0" borderId="61" xfId="20" applyFont="1" applyFill="1" applyBorder="1" applyAlignment="1">
      <alignment horizontal="right" vertical="center"/>
    </xf>
    <xf numFmtId="0" fontId="48" fillId="18" borderId="0" xfId="27" applyFont="1" applyFill="1" applyAlignment="1">
      <alignment horizontal="center" vertical="center" wrapText="1"/>
    </xf>
    <xf numFmtId="0" fontId="48" fillId="18" borderId="4" xfId="27" applyFont="1" applyFill="1" applyBorder="1" applyAlignment="1">
      <alignment horizontal="center" vertical="center" wrapText="1"/>
    </xf>
    <xf numFmtId="3" fontId="5" fillId="0" borderId="0" xfId="27" applyNumberFormat="1"/>
    <xf numFmtId="0" fontId="12" fillId="18" borderId="0" xfId="27" applyFont="1" applyFill="1" applyAlignment="1">
      <alignment horizontal="center" vertical="center"/>
    </xf>
    <xf numFmtId="0" fontId="45" fillId="0" borderId="0" xfId="27" applyFont="1" applyAlignment="1">
      <alignment horizontal="right"/>
    </xf>
    <xf numFmtId="174" fontId="50" fillId="0" borderId="0" xfId="27" applyNumberFormat="1" applyFont="1" applyAlignment="1">
      <alignment horizontal="right" vertical="top"/>
    </xf>
    <xf numFmtId="0" fontId="50" fillId="0" borderId="0" xfId="27" applyFont="1" applyAlignment="1">
      <alignment vertical="top"/>
    </xf>
    <xf numFmtId="168" fontId="5" fillId="0" borderId="0" xfId="27" applyNumberFormat="1"/>
    <xf numFmtId="168" fontId="51" fillId="0" borderId="4" xfId="18" applyNumberFormat="1" applyFont="1" applyBorder="1" applyAlignment="1">
      <alignment horizontal="right" vertical="top"/>
    </xf>
    <xf numFmtId="168" fontId="51" fillId="0" borderId="0" xfId="18" applyNumberFormat="1" applyFont="1"/>
    <xf numFmtId="0" fontId="48" fillId="18" borderId="1" xfId="27" applyFont="1" applyFill="1" applyBorder="1" applyAlignment="1">
      <alignment horizontal="center" vertical="center"/>
    </xf>
    <xf numFmtId="0" fontId="48" fillId="18" borderId="1" xfId="27" applyFont="1" applyFill="1" applyBorder="1" applyAlignment="1">
      <alignment horizontal="center" vertical="center" wrapText="1"/>
    </xf>
    <xf numFmtId="0" fontId="12" fillId="18" borderId="46" xfId="27" applyFont="1" applyFill="1" applyBorder="1" applyAlignment="1">
      <alignment horizontal="center" vertical="center" wrapText="1"/>
    </xf>
    <xf numFmtId="14" fontId="5" fillId="0" borderId="0" xfId="27" applyNumberFormat="1" applyAlignment="1">
      <alignment horizontal="right" vertical="top"/>
    </xf>
    <xf numFmtId="3" fontId="5" fillId="0" borderId="0" xfId="27" applyNumberFormat="1" applyAlignment="1">
      <alignment horizontal="right" vertical="top"/>
    </xf>
    <xf numFmtId="3" fontId="5" fillId="0" borderId="46" xfId="27" applyNumberFormat="1" applyBorder="1"/>
    <xf numFmtId="0" fontId="31" fillId="18" borderId="0" xfId="27" applyFont="1" applyFill="1" applyAlignment="1">
      <alignment horizontal="center" vertical="center"/>
    </xf>
    <xf numFmtId="49" fontId="60" fillId="0" borderId="0" xfId="27" applyNumberFormat="1" applyFont="1" applyAlignment="1">
      <alignment horizontal="left" vertical="center"/>
    </xf>
    <xf numFmtId="168" fontId="60" fillId="0" borderId="0" xfId="18" applyNumberFormat="1" applyFont="1" applyAlignment="1">
      <alignment horizontal="left" vertical="center"/>
    </xf>
    <xf numFmtId="168" fontId="60" fillId="0" borderId="0" xfId="18" applyNumberFormat="1" applyFont="1" applyFill="1" applyAlignment="1">
      <alignment horizontal="left" vertical="center"/>
    </xf>
    <xf numFmtId="0" fontId="24" fillId="0" borderId="0" xfId="27" applyFont="1"/>
    <xf numFmtId="179" fontId="24" fillId="0" borderId="0" xfId="27" applyNumberFormat="1" applyFont="1"/>
    <xf numFmtId="0" fontId="49" fillId="0" borderId="0" xfId="27" applyFont="1"/>
    <xf numFmtId="168" fontId="59" fillId="0" borderId="0" xfId="18" applyNumberFormat="1" applyFont="1" applyAlignment="1">
      <alignment horizontal="left" vertical="center"/>
    </xf>
    <xf numFmtId="0" fontId="14" fillId="18" borderId="45" xfId="16" applyFont="1" applyFill="1" applyBorder="1" applyAlignment="1">
      <alignment horizontal="center"/>
    </xf>
    <xf numFmtId="174" fontId="17" fillId="0" borderId="63" xfId="28" applyNumberFormat="1" applyFont="1" applyBorder="1"/>
    <xf numFmtId="0" fontId="31" fillId="18" borderId="4" xfId="27" applyFont="1" applyFill="1" applyBorder="1" applyAlignment="1">
      <alignment horizontal="center" vertical="center"/>
    </xf>
    <xf numFmtId="0" fontId="14" fillId="18" borderId="4" xfId="27" applyFont="1" applyFill="1" applyBorder="1" applyAlignment="1">
      <alignment horizontal="center"/>
    </xf>
    <xf numFmtId="0" fontId="14" fillId="0" borderId="0" xfId="3" applyFont="1" applyAlignment="1">
      <alignment horizontal="center" wrapText="1"/>
    </xf>
    <xf numFmtId="0" fontId="55" fillId="0" borderId="4" xfId="3" applyFont="1" applyBorder="1" applyAlignment="1">
      <alignment horizontal="left" vertical="center"/>
    </xf>
    <xf numFmtId="14" fontId="55" fillId="0" borderId="4" xfId="3" applyNumberFormat="1" applyFont="1" applyBorder="1" applyAlignment="1">
      <alignment horizontal="left" vertical="center"/>
    </xf>
    <xf numFmtId="3" fontId="55" fillId="0" borderId="4" xfId="17" applyNumberFormat="1" applyFont="1" applyFill="1" applyBorder="1" applyAlignment="1">
      <alignment horizontal="right" vertical="center"/>
    </xf>
    <xf numFmtId="41" fontId="55" fillId="0" borderId="4" xfId="1" applyFont="1" applyBorder="1" applyAlignment="1">
      <alignment horizontal="left" vertical="center"/>
    </xf>
    <xf numFmtId="41" fontId="24" fillId="0" borderId="4" xfId="27" applyNumberFormat="1" applyFont="1" applyBorder="1"/>
    <xf numFmtId="179" fontId="24" fillId="0" borderId="4" xfId="27" applyNumberFormat="1" applyFont="1" applyBorder="1"/>
    <xf numFmtId="41" fontId="24" fillId="0" borderId="63" xfId="1" applyFont="1" applyBorder="1"/>
    <xf numFmtId="41" fontId="24" fillId="0" borderId="64" xfId="1" applyFont="1" applyBorder="1"/>
    <xf numFmtId="41" fontId="49" fillId="0" borderId="4" xfId="1" applyFont="1" applyBorder="1"/>
    <xf numFmtId="14" fontId="55" fillId="0" borderId="4" xfId="3" applyNumberFormat="1" applyFont="1" applyBorder="1" applyAlignment="1">
      <alignment horizontal="left" vertical="center" wrapText="1"/>
    </xf>
    <xf numFmtId="43" fontId="24" fillId="0" borderId="4" xfId="18" applyFont="1" applyBorder="1" applyAlignment="1">
      <alignment vertical="center" wrapText="1"/>
    </xf>
    <xf numFmtId="41" fontId="5" fillId="0" borderId="4" xfId="27" applyNumberFormat="1" applyBorder="1"/>
    <xf numFmtId="0" fontId="5" fillId="0" borderId="4" xfId="27" applyBorder="1"/>
    <xf numFmtId="43" fontId="24" fillId="0" borderId="4" xfId="18" applyFont="1" applyBorder="1" applyAlignment="1">
      <alignment vertical="center"/>
    </xf>
    <xf numFmtId="43" fontId="24" fillId="0" borderId="0" xfId="18" applyFont="1" applyAlignment="1">
      <alignment vertical="center"/>
    </xf>
    <xf numFmtId="0" fontId="5" fillId="0" borderId="0" xfId="27" applyAlignment="1">
      <alignment vertical="center"/>
    </xf>
    <xf numFmtId="0" fontId="14" fillId="18" borderId="45" xfId="27" applyFont="1" applyFill="1" applyBorder="1" applyAlignment="1">
      <alignment horizontal="center"/>
    </xf>
    <xf numFmtId="3" fontId="12" fillId="18" borderId="4" xfId="27" applyNumberFormat="1" applyFont="1" applyFill="1" applyBorder="1" applyAlignment="1">
      <alignment horizontal="center" vertical="center"/>
    </xf>
    <xf numFmtId="0" fontId="5" fillId="0" borderId="4" xfId="27" applyBorder="1" applyAlignment="1">
      <alignment vertical="center" wrapText="1"/>
    </xf>
    <xf numFmtId="3" fontId="5" fillId="0" borderId="4" xfId="27" applyNumberFormat="1" applyBorder="1" applyAlignment="1">
      <alignment vertical="center"/>
    </xf>
    <xf numFmtId="0" fontId="24" fillId="0" borderId="65" xfId="27" applyFont="1" applyBorder="1" applyAlignment="1">
      <alignment wrapText="1"/>
    </xf>
    <xf numFmtId="3" fontId="12" fillId="18" borderId="4" xfId="27" applyNumberFormat="1" applyFont="1" applyFill="1" applyBorder="1" applyAlignment="1">
      <alignment vertical="center"/>
    </xf>
    <xf numFmtId="3" fontId="12" fillId="18" borderId="4" xfId="27" applyNumberFormat="1" applyFont="1" applyFill="1" applyBorder="1"/>
    <xf numFmtId="0" fontId="33" fillId="7" borderId="2" xfId="0" applyFont="1" applyFill="1" applyBorder="1" applyAlignment="1">
      <alignment horizontal="center"/>
    </xf>
    <xf numFmtId="0" fontId="33" fillId="7" borderId="0" xfId="0" applyFont="1" applyFill="1" applyAlignment="1">
      <alignment horizontal="center"/>
    </xf>
    <xf numFmtId="0" fontId="33" fillId="7" borderId="12" xfId="0" applyFont="1" applyFill="1" applyBorder="1" applyAlignment="1">
      <alignment horizontal="left"/>
    </xf>
    <xf numFmtId="168" fontId="52" fillId="0" borderId="1" xfId="5" applyNumberFormat="1" applyFont="1" applyFill="1" applyBorder="1" applyAlignment="1">
      <alignment horizontal="center"/>
    </xf>
    <xf numFmtId="9" fontId="0" fillId="0" borderId="1" xfId="0" applyNumberFormat="1" applyBorder="1"/>
    <xf numFmtId="0" fontId="13" fillId="0" borderId="1" xfId="0" applyFont="1" applyBorder="1"/>
    <xf numFmtId="168" fontId="13" fillId="0" borderId="1" xfId="5" applyNumberFormat="1" applyFont="1" applyBorder="1"/>
    <xf numFmtId="10" fontId="13" fillId="0" borderId="1" xfId="2" applyNumberFormat="1" applyFont="1" applyBorder="1"/>
    <xf numFmtId="0" fontId="13" fillId="3" borderId="1" xfId="0" applyFont="1" applyFill="1" applyBorder="1"/>
    <xf numFmtId="168" fontId="13" fillId="3" borderId="1" xfId="5" applyNumberFormat="1" applyFont="1" applyFill="1" applyBorder="1"/>
    <xf numFmtId="168" fontId="38" fillId="0" borderId="1" xfId="0" applyNumberFormat="1" applyFont="1" applyBorder="1"/>
    <xf numFmtId="174" fontId="8" fillId="0" borderId="1" xfId="2" applyNumberFormat="1" applyFont="1" applyBorder="1"/>
    <xf numFmtId="168" fontId="38" fillId="0" borderId="0" xfId="0" applyNumberFormat="1" applyFont="1"/>
    <xf numFmtId="168" fontId="8" fillId="0" borderId="0" xfId="0" applyNumberFormat="1" applyFont="1"/>
    <xf numFmtId="174" fontId="8" fillId="0" borderId="0" xfId="2" applyNumberFormat="1" applyFont="1" applyBorder="1"/>
    <xf numFmtId="9" fontId="38" fillId="0" borderId="1" xfId="0" applyNumberFormat="1" applyFont="1" applyBorder="1"/>
    <xf numFmtId="168" fontId="38" fillId="0" borderId="1" xfId="5" applyNumberFormat="1" applyFont="1" applyBorder="1"/>
    <xf numFmtId="174" fontId="13" fillId="0" borderId="1" xfId="2" applyNumberFormat="1" applyFont="1" applyBorder="1"/>
    <xf numFmtId="0" fontId="85" fillId="0" borderId="1" xfId="0" applyFont="1" applyBorder="1" applyAlignment="1">
      <alignment horizontal="center"/>
    </xf>
    <xf numFmtId="43" fontId="0" fillId="0" borderId="1" xfId="5" applyFont="1" applyBorder="1"/>
    <xf numFmtId="0" fontId="33" fillId="7" borderId="13" xfId="0" applyFont="1" applyFill="1" applyBorder="1" applyAlignment="1">
      <alignment horizontal="center"/>
    </xf>
    <xf numFmtId="174" fontId="38" fillId="0" borderId="1" xfId="2" applyNumberFormat="1" applyFont="1" applyBorder="1"/>
    <xf numFmtId="174" fontId="38" fillId="0" borderId="1" xfId="0" applyNumberFormat="1" applyFont="1" applyBorder="1"/>
    <xf numFmtId="168" fontId="33" fillId="7" borderId="1" xfId="0" applyNumberFormat="1" applyFont="1" applyFill="1" applyBorder="1" applyAlignment="1">
      <alignment horizontal="center"/>
    </xf>
    <xf numFmtId="185" fontId="0" fillId="0" borderId="0" xfId="0" applyNumberFormat="1"/>
    <xf numFmtId="0" fontId="33" fillId="7" borderId="1" xfId="0" applyFont="1" applyFill="1" applyBorder="1" applyAlignment="1">
      <alignment horizontal="left"/>
    </xf>
    <xf numFmtId="168" fontId="8" fillId="8" borderId="1" xfId="0" applyNumberFormat="1" applyFont="1" applyFill="1" applyBorder="1"/>
    <xf numFmtId="0" fontId="11" fillId="0" borderId="15" xfId="30" applyBorder="1" applyAlignment="1">
      <alignment vertical="center"/>
    </xf>
    <xf numFmtId="0" fontId="11" fillId="0" borderId="57" xfId="30" applyBorder="1" applyAlignment="1">
      <alignment vertical="center"/>
    </xf>
    <xf numFmtId="0" fontId="4" fillId="0" borderId="0" xfId="31" applyAlignment="1">
      <alignment vertical="center"/>
    </xf>
    <xf numFmtId="3" fontId="4" fillId="0" borderId="0" xfId="31" applyNumberFormat="1" applyAlignment="1">
      <alignment vertical="center"/>
    </xf>
    <xf numFmtId="0" fontId="4" fillId="0" borderId="0" xfId="31"/>
    <xf numFmtId="3" fontId="4" fillId="0" borderId="0" xfId="31" applyNumberFormat="1"/>
    <xf numFmtId="0" fontId="49" fillId="0" borderId="0" xfId="32" applyFont="1"/>
    <xf numFmtId="0" fontId="24" fillId="0" borderId="0" xfId="32" applyFont="1"/>
    <xf numFmtId="0" fontId="14" fillId="18" borderId="45" xfId="33" applyFont="1" applyFill="1" applyBorder="1" applyAlignment="1">
      <alignment horizontal="center"/>
    </xf>
    <xf numFmtId="174" fontId="51" fillId="0" borderId="4" xfId="34" applyNumberFormat="1" applyFont="1" applyBorder="1"/>
    <xf numFmtId="0" fontId="4" fillId="0" borderId="4" xfId="31" applyBorder="1"/>
    <xf numFmtId="0" fontId="4" fillId="0" borderId="4" xfId="31" applyBorder="1" applyAlignment="1">
      <alignment vertical="center" wrapText="1"/>
    </xf>
    <xf numFmtId="3" fontId="4" fillId="0" borderId="4" xfId="31" applyNumberFormat="1" applyBorder="1" applyAlignment="1">
      <alignment vertical="center"/>
    </xf>
    <xf numFmtId="3" fontId="4" fillId="0" borderId="4" xfId="31" applyNumberFormat="1" applyBorder="1"/>
    <xf numFmtId="177" fontId="45" fillId="0" borderId="0" xfId="35" applyNumberFormat="1" applyFont="1"/>
    <xf numFmtId="177" fontId="45" fillId="0" borderId="0" xfId="33" applyNumberFormat="1" applyFont="1"/>
    <xf numFmtId="0" fontId="4" fillId="0" borderId="0" xfId="33"/>
    <xf numFmtId="0" fontId="45" fillId="0" borderId="1" xfId="33" applyFont="1" applyBorder="1"/>
    <xf numFmtId="0" fontId="45" fillId="0" borderId="1" xfId="33" applyFont="1" applyBorder="1" applyAlignment="1">
      <alignment horizontal="center"/>
    </xf>
    <xf numFmtId="0" fontId="4" fillId="0" borderId="1" xfId="33" applyBorder="1"/>
    <xf numFmtId="3" fontId="4" fillId="0" borderId="1" xfId="33" applyNumberFormat="1" applyBorder="1"/>
    <xf numFmtId="177" fontId="0" fillId="0" borderId="1" xfId="35" applyNumberFormat="1" applyFont="1" applyBorder="1"/>
    <xf numFmtId="177" fontId="4" fillId="0" borderId="1" xfId="33" applyNumberFormat="1" applyBorder="1"/>
    <xf numFmtId="3" fontId="45" fillId="0" borderId="1" xfId="33" applyNumberFormat="1" applyFont="1" applyBorder="1"/>
    <xf numFmtId="177" fontId="45" fillId="0" borderId="1" xfId="33" applyNumberFormat="1" applyFont="1" applyBorder="1"/>
    <xf numFmtId="0" fontId="48" fillId="18" borderId="0" xfId="0" applyFont="1" applyFill="1" applyAlignment="1">
      <alignment horizontal="center"/>
    </xf>
    <xf numFmtId="168" fontId="0" fillId="0" borderId="0" xfId="5" applyNumberFormat="1" applyFont="1" applyBorder="1"/>
    <xf numFmtId="0" fontId="86" fillId="0" borderId="0" xfId="0" applyFont="1" applyAlignment="1">
      <alignment horizontal="left" vertical="center"/>
    </xf>
    <xf numFmtId="0" fontId="25" fillId="0" borderId="9" xfId="27" applyFont="1" applyBorder="1" applyAlignment="1">
      <alignment horizontal="left" vertical="center"/>
    </xf>
    <xf numFmtId="0" fontId="25" fillId="0" borderId="0" xfId="27" applyFont="1" applyAlignment="1">
      <alignment horizontal="left" vertical="center"/>
    </xf>
    <xf numFmtId="41" fontId="25" fillId="0" borderId="0" xfId="20" applyFont="1" applyFill="1" applyBorder="1" applyAlignment="1">
      <alignment horizontal="right" vertical="center"/>
    </xf>
    <xf numFmtId="0" fontId="3" fillId="0" borderId="0" xfId="36"/>
    <xf numFmtId="0" fontId="57" fillId="0" borderId="0" xfId="36" applyFont="1" applyAlignment="1">
      <alignment horizontal="center"/>
    </xf>
    <xf numFmtId="0" fontId="87" fillId="0" borderId="0" xfId="36" applyFont="1"/>
    <xf numFmtId="41" fontId="0" fillId="0" borderId="0" xfId="37" applyFont="1" applyAlignment="1"/>
    <xf numFmtId="0" fontId="57" fillId="0" borderId="0" xfId="36" applyFont="1"/>
    <xf numFmtId="0" fontId="12" fillId="18" borderId="0" xfId="36" applyFont="1" applyFill="1" applyAlignment="1">
      <alignment horizontal="center"/>
    </xf>
    <xf numFmtId="41" fontId="12" fillId="18" borderId="0" xfId="37" applyFont="1" applyFill="1" applyAlignment="1">
      <alignment horizontal="center"/>
    </xf>
    <xf numFmtId="0" fontId="58" fillId="0" borderId="0" xfId="36" applyFont="1" applyAlignment="1">
      <alignment horizontal="left"/>
    </xf>
    <xf numFmtId="0" fontId="45" fillId="11" borderId="0" xfId="36" applyFont="1" applyFill="1" applyAlignment="1">
      <alignment horizontal="center"/>
    </xf>
    <xf numFmtId="0" fontId="49" fillId="0" borderId="0" xfId="38" applyFont="1" applyAlignment="1">
      <alignment horizontal="left"/>
    </xf>
    <xf numFmtId="0" fontId="24" fillId="0" borderId="0" xfId="38" applyFont="1" applyAlignment="1">
      <alignment horizontal="center"/>
    </xf>
    <xf numFmtId="0" fontId="3" fillId="0" borderId="4" xfId="36" applyBorder="1"/>
    <xf numFmtId="14" fontId="3" fillId="0" borderId="4" xfId="36" applyNumberFormat="1" applyBorder="1"/>
    <xf numFmtId="41" fontId="0" fillId="0" borderId="4" xfId="37" applyFont="1" applyBorder="1"/>
    <xf numFmtId="9" fontId="52" fillId="0" borderId="4" xfId="36" applyNumberFormat="1" applyFont="1" applyBorder="1"/>
    <xf numFmtId="168" fontId="52" fillId="0" borderId="4" xfId="39" applyNumberFormat="1" applyFont="1" applyBorder="1"/>
    <xf numFmtId="168" fontId="52" fillId="0" borderId="4" xfId="39" applyNumberFormat="1" applyFont="1" applyBorder="1" applyAlignment="1">
      <alignment horizontal="center"/>
    </xf>
    <xf numFmtId="41" fontId="57" fillId="0" borderId="0" xfId="36" applyNumberFormat="1" applyFont="1"/>
    <xf numFmtId="168" fontId="3" fillId="0" borderId="0" xfId="36" applyNumberFormat="1"/>
    <xf numFmtId="0" fontId="3" fillId="0" borderId="0" xfId="38"/>
    <xf numFmtId="0" fontId="45" fillId="0" borderId="0" xfId="38" applyFont="1"/>
    <xf numFmtId="0" fontId="12" fillId="18" borderId="0" xfId="38" applyFont="1" applyFill="1" applyAlignment="1">
      <alignment horizontal="center"/>
    </xf>
    <xf numFmtId="0" fontId="3" fillId="0" borderId="25" xfId="38" applyBorder="1"/>
    <xf numFmtId="9" fontId="52" fillId="0" borderId="46" xfId="38" applyNumberFormat="1" applyFont="1" applyBorder="1"/>
    <xf numFmtId="9" fontId="3" fillId="0" borderId="46" xfId="38" applyNumberFormat="1" applyBorder="1"/>
    <xf numFmtId="41" fontId="0" fillId="0" borderId="0" xfId="37" applyFont="1"/>
    <xf numFmtId="168" fontId="12" fillId="18" borderId="45" xfId="39" applyNumberFormat="1" applyFont="1" applyFill="1" applyBorder="1"/>
    <xf numFmtId="168" fontId="12" fillId="18" borderId="45" xfId="36" applyNumberFormat="1" applyFont="1" applyFill="1" applyBorder="1"/>
    <xf numFmtId="168" fontId="52" fillId="0" borderId="0" xfId="39" applyNumberFormat="1" applyFont="1"/>
    <xf numFmtId="168" fontId="0" fillId="0" borderId="0" xfId="39" applyNumberFormat="1" applyFont="1"/>
    <xf numFmtId="0" fontId="12" fillId="18" borderId="0" xfId="38" applyFont="1" applyFill="1" applyAlignment="1">
      <alignment horizontal="center" vertical="center" wrapText="1"/>
    </xf>
    <xf numFmtId="0" fontId="45" fillId="0" borderId="0" xfId="38" applyFont="1" applyAlignment="1">
      <alignment horizontal="center" vertical="center" wrapText="1"/>
    </xf>
    <xf numFmtId="0" fontId="3" fillId="0" borderId="4" xfId="38" applyBorder="1" applyAlignment="1">
      <alignment horizontal="right"/>
    </xf>
    <xf numFmtId="1" fontId="3" fillId="0" borderId="4" xfId="38" applyNumberFormat="1" applyBorder="1"/>
    <xf numFmtId="168" fontId="0" fillId="0" borderId="4" xfId="39" applyNumberFormat="1" applyFont="1" applyBorder="1"/>
    <xf numFmtId="0" fontId="3" fillId="0" borderId="4" xfId="38" applyBorder="1"/>
    <xf numFmtId="9" fontId="3" fillId="0" borderId="4" xfId="38" applyNumberFormat="1" applyBorder="1"/>
    <xf numFmtId="168" fontId="45" fillId="0" borderId="0" xfId="38" applyNumberFormat="1" applyFont="1"/>
    <xf numFmtId="0" fontId="45" fillId="0" borderId="0" xfId="36" applyFont="1"/>
    <xf numFmtId="168" fontId="45" fillId="0" borderId="0" xfId="36" applyNumberFormat="1" applyFont="1"/>
    <xf numFmtId="0" fontId="11" fillId="0" borderId="0" xfId="30" applyBorder="1" applyAlignment="1">
      <alignment horizontal="left" vertical="center"/>
    </xf>
    <xf numFmtId="41" fontId="20" fillId="0" borderId="0" xfId="20" applyFont="1" applyFill="1" applyBorder="1" applyAlignment="1">
      <alignment horizontal="right" vertical="center"/>
    </xf>
    <xf numFmtId="3" fontId="24" fillId="0" borderId="0" xfId="38" applyNumberFormat="1" applyFont="1"/>
    <xf numFmtId="174" fontId="17" fillId="0" borderId="0" xfId="40" applyNumberFormat="1" applyFont="1" applyBorder="1"/>
    <xf numFmtId="0" fontId="17" fillId="0" borderId="0" xfId="38" applyFont="1"/>
    <xf numFmtId="174" fontId="17" fillId="0" borderId="1" xfId="40" applyNumberFormat="1" applyFont="1" applyBorder="1"/>
    <xf numFmtId="0" fontId="17" fillId="0" borderId="1" xfId="38" applyFont="1" applyBorder="1"/>
    <xf numFmtId="168" fontId="24" fillId="0" borderId="0" xfId="39" applyNumberFormat="1" applyFont="1"/>
    <xf numFmtId="0" fontId="24" fillId="0" borderId="0" xfId="38" applyFont="1"/>
    <xf numFmtId="3" fontId="60" fillId="0" borderId="0" xfId="38" applyNumberFormat="1" applyFont="1" applyAlignment="1">
      <alignment horizontal="right" vertical="center"/>
    </xf>
    <xf numFmtId="4" fontId="60" fillId="0" borderId="0" xfId="38" applyNumberFormat="1" applyFont="1" applyAlignment="1">
      <alignment horizontal="right" vertical="center"/>
    </xf>
    <xf numFmtId="49" fontId="60" fillId="0" borderId="0" xfId="38" applyNumberFormat="1" applyFont="1" applyAlignment="1">
      <alignment horizontal="left" vertical="center"/>
    </xf>
    <xf numFmtId="168" fontId="24" fillId="0" borderId="0" xfId="38" applyNumberFormat="1" applyFont="1"/>
    <xf numFmtId="0" fontId="31" fillId="18" borderId="0" xfId="38" applyFont="1" applyFill="1" applyAlignment="1">
      <alignment horizontal="center" vertical="center"/>
    </xf>
    <xf numFmtId="0" fontId="63" fillId="19" borderId="69" xfId="38" applyFont="1" applyFill="1" applyBorder="1" applyAlignment="1">
      <alignment horizontal="center" vertical="center" wrapText="1"/>
    </xf>
    <xf numFmtId="0" fontId="63" fillId="19" borderId="47" xfId="38" applyFont="1" applyFill="1" applyBorder="1" applyAlignment="1">
      <alignment horizontal="center" vertical="center" wrapText="1"/>
    </xf>
    <xf numFmtId="3" fontId="3" fillId="0" borderId="0" xfId="38" applyNumberFormat="1"/>
    <xf numFmtId="168" fontId="3" fillId="0" borderId="0" xfId="5" applyNumberFormat="1" applyFont="1"/>
    <xf numFmtId="168" fontId="3" fillId="0" borderId="0" xfId="38" applyNumberFormat="1"/>
    <xf numFmtId="0" fontId="49" fillId="0" borderId="0" xfId="38" applyFont="1" applyAlignment="1">
      <alignment horizontal="center"/>
    </xf>
    <xf numFmtId="0" fontId="49" fillId="0" borderId="0" xfId="38" applyFont="1" applyAlignment="1">
      <alignment horizontal="center" wrapText="1"/>
    </xf>
    <xf numFmtId="3" fontId="24" fillId="0" borderId="0" xfId="37" applyNumberFormat="1" applyFont="1" applyFill="1" applyBorder="1" applyAlignment="1">
      <alignment horizontal="right"/>
    </xf>
    <xf numFmtId="0" fontId="3" fillId="0" borderId="0" xfId="38" applyAlignment="1">
      <alignment horizontal="left"/>
    </xf>
    <xf numFmtId="42" fontId="0" fillId="0" borderId="0" xfId="41" applyFont="1" applyFill="1"/>
    <xf numFmtId="9" fontId="24" fillId="0" borderId="0" xfId="40" applyFont="1" applyFill="1" applyBorder="1" applyAlignment="1">
      <alignment horizontal="right"/>
    </xf>
    <xf numFmtId="42" fontId="24" fillId="0" borderId="0" xfId="41" applyFont="1"/>
    <xf numFmtId="42" fontId="24" fillId="0" borderId="0" xfId="38" applyNumberFormat="1" applyFont="1"/>
    <xf numFmtId="41" fontId="22" fillId="0" borderId="0" xfId="27" applyNumberFormat="1" applyFont="1"/>
    <xf numFmtId="168" fontId="52" fillId="0" borderId="0" xfId="5" applyNumberFormat="1" applyFont="1" applyFill="1" applyBorder="1" applyAlignment="1">
      <alignment horizontal="center"/>
    </xf>
    <xf numFmtId="168" fontId="13" fillId="0" borderId="0" xfId="5" applyNumberFormat="1" applyFont="1" applyBorder="1"/>
    <xf numFmtId="43" fontId="0" fillId="0" borderId="0" xfId="5" applyFont="1" applyBorder="1"/>
    <xf numFmtId="0" fontId="85" fillId="0" borderId="0" xfId="0" applyFont="1" applyAlignment="1">
      <alignment horizontal="center"/>
    </xf>
    <xf numFmtId="0" fontId="13" fillId="12" borderId="1" xfId="0" applyFont="1" applyFill="1" applyBorder="1"/>
    <xf numFmtId="168" fontId="13" fillId="12" borderId="1" xfId="5" applyNumberFormat="1" applyFont="1" applyFill="1" applyBorder="1"/>
    <xf numFmtId="0" fontId="13" fillId="0" borderId="0" xfId="0" applyFont="1" applyAlignment="1">
      <alignment horizontal="left"/>
    </xf>
    <xf numFmtId="0" fontId="13" fillId="0" borderId="0" xfId="0" applyFont="1"/>
    <xf numFmtId="0" fontId="13" fillId="0" borderId="1" xfId="0" applyFont="1" applyBorder="1" applyAlignment="1">
      <alignment horizontal="left"/>
    </xf>
    <xf numFmtId="0" fontId="11" fillId="0" borderId="0" xfId="30" applyBorder="1" applyAlignment="1">
      <alignment vertical="center"/>
    </xf>
    <xf numFmtId="168" fontId="55" fillId="0" borderId="15" xfId="5" applyNumberFormat="1" applyFont="1" applyBorder="1" applyAlignment="1">
      <alignment horizontal="left" vertical="center"/>
    </xf>
    <xf numFmtId="0" fontId="20" fillId="0" borderId="6" xfId="8" applyFont="1" applyBorder="1" applyAlignment="1">
      <alignment wrapText="1"/>
    </xf>
    <xf numFmtId="0" fontId="10" fillId="0" borderId="1" xfId="8" applyFont="1" applyBorder="1" applyAlignment="1">
      <alignment vertical="center" wrapText="1"/>
    </xf>
    <xf numFmtId="0" fontId="29" fillId="0" borderId="3" xfId="8" applyFont="1" applyBorder="1" applyAlignment="1">
      <alignment vertical="center" wrapText="1"/>
    </xf>
    <xf numFmtId="0" fontId="10" fillId="0" borderId="1" xfId="8" applyFont="1" applyBorder="1" applyAlignment="1">
      <alignment horizontal="left" vertical="center" wrapText="1"/>
    </xf>
    <xf numFmtId="0" fontId="22" fillId="0" borderId="1" xfId="8" applyFont="1" applyBorder="1" applyAlignment="1">
      <alignment wrapText="1"/>
    </xf>
    <xf numFmtId="0" fontId="22" fillId="0" borderId="1" xfId="27" applyFont="1" applyBorder="1"/>
    <xf numFmtId="0" fontId="77" fillId="0" borderId="1" xfId="27" applyFont="1" applyBorder="1" applyAlignment="1">
      <alignment vertical="center"/>
    </xf>
    <xf numFmtId="168" fontId="22" fillId="0" borderId="1" xfId="5" applyNumberFormat="1" applyFont="1" applyBorder="1"/>
    <xf numFmtId="169" fontId="79" fillId="0" borderId="1" xfId="27" applyNumberFormat="1" applyFont="1" applyBorder="1" applyAlignment="1" applyProtection="1">
      <alignment horizontal="center"/>
      <protection locked="0"/>
    </xf>
    <xf numFmtId="168" fontId="77" fillId="0" borderId="1" xfId="5" applyNumberFormat="1" applyFont="1" applyBorder="1" applyAlignment="1">
      <alignment vertical="center"/>
    </xf>
    <xf numFmtId="174" fontId="0" fillId="0" borderId="1" xfId="0" applyNumberFormat="1" applyBorder="1"/>
    <xf numFmtId="0" fontId="8" fillId="0" borderId="1" xfId="0" applyFont="1" applyBorder="1"/>
    <xf numFmtId="9" fontId="0" fillId="0" borderId="0" xfId="0" applyNumberFormat="1"/>
    <xf numFmtId="41" fontId="24" fillId="0" borderId="4" xfId="1" applyFont="1" applyFill="1" applyBorder="1"/>
    <xf numFmtId="185" fontId="0" fillId="0" borderId="1" xfId="0" applyNumberFormat="1" applyBorder="1"/>
    <xf numFmtId="168" fontId="8" fillId="8" borderId="1" xfId="5" applyNumberFormat="1" applyFont="1" applyFill="1" applyBorder="1"/>
    <xf numFmtId="41" fontId="45" fillId="0" borderId="0" xfId="20" applyFont="1" applyBorder="1" applyAlignment="1">
      <alignment horizontal="center"/>
    </xf>
    <xf numFmtId="0" fontId="2" fillId="0" borderId="0" xfId="33" applyFont="1"/>
    <xf numFmtId="168" fontId="4" fillId="0" borderId="0" xfId="5" applyNumberFormat="1" applyFont="1"/>
    <xf numFmtId="169" fontId="79" fillId="0" borderId="0" xfId="27" applyNumberFormat="1" applyFont="1" applyAlignment="1" applyProtection="1">
      <alignment horizontal="center"/>
      <protection locked="0"/>
    </xf>
    <xf numFmtId="168" fontId="22" fillId="0" borderId="0" xfId="5" applyNumberFormat="1" applyFont="1" applyBorder="1"/>
    <xf numFmtId="168" fontId="77" fillId="0" borderId="0" xfId="5" applyNumberFormat="1" applyFont="1" applyBorder="1" applyAlignment="1">
      <alignment vertical="center"/>
    </xf>
    <xf numFmtId="168" fontId="0" fillId="0" borderId="0" xfId="5" applyNumberFormat="1" applyFont="1" applyFill="1"/>
    <xf numFmtId="168" fontId="24" fillId="0" borderId="0" xfId="5" applyNumberFormat="1" applyFont="1"/>
    <xf numFmtId="168" fontId="24" fillId="0" borderId="0" xfId="5" applyNumberFormat="1" applyFont="1" applyFill="1" applyBorder="1" applyAlignment="1">
      <alignment horizontal="right"/>
    </xf>
    <xf numFmtId="0" fontId="45" fillId="0" borderId="4" xfId="31" applyFont="1" applyBorder="1" applyAlignment="1">
      <alignment horizontal="center" vertical="center"/>
    </xf>
    <xf numFmtId="9" fontId="45" fillId="0" borderId="4" xfId="31" applyNumberFormat="1" applyFont="1" applyBorder="1" applyAlignment="1">
      <alignment horizontal="center" vertical="center"/>
    </xf>
    <xf numFmtId="0" fontId="12" fillId="18" borderId="4" xfId="31" applyFont="1" applyFill="1" applyBorder="1" applyAlignment="1">
      <alignment horizontal="center" vertical="center"/>
    </xf>
    <xf numFmtId="3" fontId="12" fillId="18" borderId="4" xfId="31" applyNumberFormat="1" applyFont="1" applyFill="1" applyBorder="1" applyAlignment="1">
      <alignment horizontal="center" vertical="center"/>
    </xf>
    <xf numFmtId="0" fontId="12" fillId="18" borderId="4" xfId="31" applyFont="1" applyFill="1" applyBorder="1" applyAlignment="1">
      <alignment horizontal="center" vertical="center" wrapText="1"/>
    </xf>
    <xf numFmtId="3" fontId="12" fillId="18" borderId="4" xfId="31" applyNumberFormat="1" applyFont="1" applyFill="1" applyBorder="1" applyAlignment="1">
      <alignment vertical="center"/>
    </xf>
    <xf numFmtId="3" fontId="12" fillId="18" borderId="4" xfId="31" applyNumberFormat="1" applyFont="1" applyFill="1" applyBorder="1"/>
    <xf numFmtId="0" fontId="22" fillId="0" borderId="0" xfId="31" applyFont="1"/>
    <xf numFmtId="3" fontId="22" fillId="0" borderId="0" xfId="31" applyNumberFormat="1" applyFont="1" applyAlignment="1">
      <alignment vertical="center"/>
    </xf>
    <xf numFmtId="0" fontId="22" fillId="0" borderId="0" xfId="31" applyFont="1" applyAlignment="1">
      <alignment vertical="center"/>
    </xf>
    <xf numFmtId="0" fontId="22" fillId="0" borderId="4" xfId="31" applyFont="1" applyBorder="1"/>
    <xf numFmtId="3" fontId="22" fillId="0" borderId="4" xfId="31" applyNumberFormat="1" applyFont="1" applyBorder="1" applyAlignment="1">
      <alignment vertical="center"/>
    </xf>
    <xf numFmtId="184" fontId="16" fillId="0" borderId="0" xfId="38" applyNumberFormat="1" applyFont="1" applyAlignment="1">
      <alignment horizontal="left"/>
    </xf>
    <xf numFmtId="41" fontId="17" fillId="0" borderId="0" xfId="37" applyFont="1" applyFill="1" applyAlignment="1">
      <alignment horizontal="right"/>
    </xf>
    <xf numFmtId="186" fontId="17" fillId="0" borderId="0" xfId="37" applyNumberFormat="1" applyFont="1" applyFill="1" applyAlignment="1">
      <alignment horizontal="right"/>
    </xf>
    <xf numFmtId="3" fontId="17" fillId="0" borderId="0" xfId="37" applyNumberFormat="1" applyFont="1" applyFill="1" applyAlignment="1">
      <alignment horizontal="right"/>
    </xf>
    <xf numFmtId="14" fontId="17" fillId="0" borderId="0" xfId="38" applyNumberFormat="1" applyFont="1"/>
    <xf numFmtId="0" fontId="51" fillId="0" borderId="0" xfId="38" applyFont="1"/>
    <xf numFmtId="41" fontId="17" fillId="0" borderId="0" xfId="37" applyFont="1" applyFill="1" applyBorder="1" applyAlignment="1">
      <alignment horizontal="right"/>
    </xf>
    <xf numFmtId="3" fontId="17" fillId="0" borderId="0" xfId="37" applyNumberFormat="1" applyFont="1" applyFill="1" applyBorder="1" applyAlignment="1">
      <alignment horizontal="right"/>
    </xf>
    <xf numFmtId="41" fontId="16" fillId="0" borderId="0" xfId="37" applyFont="1" applyFill="1" applyBorder="1" applyAlignment="1">
      <alignment horizontal="left"/>
    </xf>
    <xf numFmtId="14" fontId="17" fillId="0" borderId="0" xfId="37" applyNumberFormat="1" applyFont="1" applyFill="1" applyAlignment="1">
      <alignment horizontal="right"/>
    </xf>
    <xf numFmtId="184" fontId="16" fillId="0" borderId="0" xfId="38" applyNumberFormat="1" applyFont="1" applyAlignment="1">
      <alignment horizontal="right"/>
    </xf>
    <xf numFmtId="186" fontId="17" fillId="0" borderId="0" xfId="37" applyNumberFormat="1" applyFont="1" applyFill="1" applyBorder="1" applyAlignment="1">
      <alignment horizontal="right"/>
    </xf>
    <xf numFmtId="14" fontId="51" fillId="0" borderId="0" xfId="38" applyNumberFormat="1" applyFont="1"/>
    <xf numFmtId="1" fontId="51" fillId="0" borderId="0" xfId="38" applyNumberFormat="1" applyFont="1"/>
    <xf numFmtId="3" fontId="51" fillId="0" borderId="0" xfId="38" applyNumberFormat="1" applyFont="1"/>
    <xf numFmtId="14" fontId="51" fillId="0" borderId="0" xfId="38" applyNumberFormat="1" applyFont="1" applyAlignment="1">
      <alignment horizontal="left"/>
    </xf>
    <xf numFmtId="185" fontId="51" fillId="0" borderId="0" xfId="38" applyNumberFormat="1" applyFont="1" applyAlignment="1">
      <alignment horizontal="left"/>
    </xf>
    <xf numFmtId="3" fontId="49" fillId="0" borderId="0" xfId="37" applyNumberFormat="1" applyFont="1" applyFill="1" applyBorder="1" applyAlignment="1">
      <alignment horizontal="right"/>
    </xf>
    <xf numFmtId="0" fontId="17" fillId="20" borderId="0" xfId="38" applyFont="1" applyFill="1" applyAlignment="1">
      <alignment horizontal="left"/>
    </xf>
    <xf numFmtId="14" fontId="3" fillId="0" borderId="0" xfId="38" applyNumberFormat="1" applyAlignment="1">
      <alignment horizontal="left"/>
    </xf>
    <xf numFmtId="9" fontId="38" fillId="0" borderId="0" xfId="0" applyNumberFormat="1" applyFont="1"/>
    <xf numFmtId="168" fontId="38" fillId="0" borderId="0" xfId="5" applyNumberFormat="1" applyFont="1" applyBorder="1"/>
    <xf numFmtId="43" fontId="38" fillId="0" borderId="0" xfId="5" applyFont="1" applyBorder="1"/>
    <xf numFmtId="0" fontId="1" fillId="0" borderId="0" xfId="16" applyFont="1"/>
    <xf numFmtId="168" fontId="5" fillId="0" borderId="0" xfId="5" applyNumberFormat="1" applyFont="1"/>
    <xf numFmtId="0" fontId="60" fillId="0" borderId="0" xfId="21"/>
    <xf numFmtId="174" fontId="51" fillId="0" borderId="4" xfId="42" applyNumberFormat="1" applyFont="1" applyBorder="1"/>
    <xf numFmtId="0" fontId="62" fillId="0" borderId="0" xfId="21" applyFont="1"/>
    <xf numFmtId="0" fontId="48" fillId="18" borderId="0" xfId="21" applyFont="1" applyFill="1" applyAlignment="1">
      <alignment horizontal="center" vertical="center" wrapText="1"/>
    </xf>
    <xf numFmtId="0" fontId="60" fillId="0" borderId="0" xfId="21" applyAlignment="1">
      <alignment wrapText="1"/>
    </xf>
    <xf numFmtId="0" fontId="12" fillId="18" borderId="0" xfId="21" applyFont="1" applyFill="1" applyAlignment="1">
      <alignment horizontal="center" vertical="center"/>
    </xf>
    <xf numFmtId="0" fontId="60" fillId="0" borderId="4" xfId="21" applyBorder="1" applyAlignment="1">
      <alignment vertical="top"/>
    </xf>
    <xf numFmtId="3" fontId="60" fillId="0" borderId="4" xfId="21" applyNumberFormat="1" applyBorder="1" applyAlignment="1">
      <alignment vertical="top"/>
    </xf>
    <xf numFmtId="3" fontId="59" fillId="0" borderId="4" xfId="21" applyNumberFormat="1" applyFont="1" applyBorder="1" applyAlignment="1">
      <alignment vertical="top"/>
    </xf>
    <xf numFmtId="0" fontId="51" fillId="0" borderId="4" xfId="21" applyFont="1" applyBorder="1" applyAlignment="1">
      <alignment horizontal="center"/>
    </xf>
    <xf numFmtId="41" fontId="82" fillId="0" borderId="0" xfId="20" applyFont="1" applyBorder="1" applyAlignment="1" applyProtection="1">
      <alignment horizontal="right"/>
      <protection locked="0"/>
    </xf>
    <xf numFmtId="0" fontId="88" fillId="0" borderId="15" xfId="30" applyFont="1" applyBorder="1" applyAlignment="1">
      <alignment vertical="center"/>
    </xf>
    <xf numFmtId="0" fontId="88" fillId="0" borderId="0" xfId="30" applyFont="1" applyBorder="1" applyAlignment="1">
      <alignment horizontal="left" vertical="center"/>
    </xf>
    <xf numFmtId="0" fontId="88" fillId="0" borderId="56" xfId="30" applyFont="1" applyBorder="1" applyAlignment="1">
      <alignment vertical="center"/>
    </xf>
    <xf numFmtId="0" fontId="88" fillId="0" borderId="0" xfId="30" applyFont="1" applyBorder="1" applyAlignment="1">
      <alignment vertical="center"/>
    </xf>
    <xf numFmtId="0" fontId="49" fillId="12" borderId="70" xfId="43" applyFont="1" applyFill="1" applyBorder="1" applyAlignment="1">
      <alignment horizontal="center" vertical="center"/>
    </xf>
    <xf numFmtId="0" fontId="45" fillId="12" borderId="71" xfId="43" applyFont="1" applyFill="1" applyBorder="1" applyAlignment="1">
      <alignment horizontal="center" vertical="center" wrapText="1"/>
    </xf>
    <xf numFmtId="0" fontId="45" fillId="12" borderId="72" xfId="43" applyFont="1" applyFill="1" applyBorder="1" applyAlignment="1">
      <alignment horizontal="center" vertical="center" wrapText="1"/>
    </xf>
    <xf numFmtId="0" fontId="45" fillId="12" borderId="72" xfId="43" applyFont="1" applyFill="1" applyBorder="1" applyAlignment="1">
      <alignment horizontal="center"/>
    </xf>
    <xf numFmtId="0" fontId="45" fillId="12" borderId="75" xfId="43" applyFont="1" applyFill="1" applyBorder="1" applyAlignment="1">
      <alignment horizontal="center"/>
    </xf>
    <xf numFmtId="0" fontId="45" fillId="12" borderId="71" xfId="43" applyFont="1" applyFill="1" applyBorder="1" applyAlignment="1">
      <alignment horizontal="center"/>
    </xf>
    <xf numFmtId="0" fontId="45" fillId="12" borderId="76" xfId="43" applyFont="1" applyFill="1" applyBorder="1" applyAlignment="1">
      <alignment horizontal="center"/>
    </xf>
    <xf numFmtId="0" fontId="45" fillId="12" borderId="77" xfId="43" applyFont="1" applyFill="1" applyBorder="1" applyAlignment="1">
      <alignment horizontal="center"/>
    </xf>
    <xf numFmtId="0" fontId="1" fillId="0" borderId="0" xfId="43"/>
    <xf numFmtId="0" fontId="38" fillId="12" borderId="70" xfId="30" applyFont="1" applyFill="1" applyBorder="1" applyAlignment="1">
      <alignment vertical="center"/>
    </xf>
    <xf numFmtId="0" fontId="45" fillId="12" borderId="75" xfId="43" applyFont="1" applyFill="1" applyBorder="1" applyAlignment="1">
      <alignment horizontal="center" vertical="center" wrapText="1"/>
    </xf>
    <xf numFmtId="0" fontId="38" fillId="0" borderId="78" xfId="30" applyFont="1" applyBorder="1" applyAlignment="1">
      <alignment vertical="center"/>
    </xf>
    <xf numFmtId="3" fontId="1" fillId="0" borderId="79" xfId="43" applyNumberFormat="1" applyBorder="1" applyAlignment="1">
      <alignment horizontal="right"/>
    </xf>
    <xf numFmtId="3" fontId="1" fillId="0" borderId="80" xfId="43" applyNumberFormat="1" applyBorder="1" applyAlignment="1">
      <alignment horizontal="right"/>
    </xf>
    <xf numFmtId="41" fontId="82" fillId="0" borderId="78" xfId="44" applyFont="1" applyBorder="1" applyAlignment="1" applyProtection="1">
      <alignment horizontal="right"/>
      <protection locked="0"/>
    </xf>
    <xf numFmtId="41" fontId="82" fillId="0" borderId="57" xfId="44" applyFont="1" applyBorder="1" applyAlignment="1" applyProtection="1">
      <alignment horizontal="right"/>
      <protection locked="0"/>
    </xf>
    <xf numFmtId="174" fontId="82" fillId="0" borderId="57" xfId="45" applyNumberFormat="1" applyFont="1" applyBorder="1" applyAlignment="1" applyProtection="1">
      <alignment horizontal="right"/>
      <protection locked="0"/>
    </xf>
    <xf numFmtId="174" fontId="82" fillId="0" borderId="81" xfId="45" applyNumberFormat="1" applyFont="1" applyBorder="1" applyAlignment="1" applyProtection="1">
      <alignment horizontal="right"/>
      <protection locked="0"/>
    </xf>
    <xf numFmtId="41" fontId="82" fillId="0" borderId="81" xfId="44" applyFont="1" applyBorder="1" applyAlignment="1" applyProtection="1">
      <alignment horizontal="right"/>
      <protection locked="0"/>
    </xf>
    <xf numFmtId="0" fontId="38" fillId="0" borderId="82" xfId="30" applyFont="1" applyBorder="1" applyAlignment="1">
      <alignment vertical="center"/>
    </xf>
    <xf numFmtId="3" fontId="1" fillId="0" borderId="1" xfId="43" applyNumberFormat="1" applyBorder="1" applyAlignment="1">
      <alignment horizontal="right"/>
    </xf>
    <xf numFmtId="3" fontId="1" fillId="0" borderId="13" xfId="43" applyNumberFormat="1" applyBorder="1" applyAlignment="1">
      <alignment horizontal="right"/>
    </xf>
    <xf numFmtId="41" fontId="82" fillId="0" borderId="82" xfId="44" applyFont="1" applyBorder="1" applyAlignment="1" applyProtection="1">
      <alignment horizontal="right"/>
      <protection locked="0"/>
    </xf>
    <xf numFmtId="41" fontId="82" fillId="0" borderId="15" xfId="44" applyFont="1" applyBorder="1" applyAlignment="1" applyProtection="1">
      <alignment horizontal="right"/>
      <protection locked="0"/>
    </xf>
    <xf numFmtId="174" fontId="82" fillId="0" borderId="15" xfId="45" applyNumberFormat="1" applyFont="1" applyBorder="1" applyAlignment="1" applyProtection="1">
      <alignment horizontal="right"/>
      <protection locked="0"/>
    </xf>
    <xf numFmtId="174" fontId="82" fillId="0" borderId="83" xfId="45" applyNumberFormat="1" applyFont="1" applyBorder="1" applyAlignment="1" applyProtection="1">
      <alignment horizontal="right"/>
      <protection locked="0"/>
    </xf>
    <xf numFmtId="9" fontId="82" fillId="0" borderId="15" xfId="45" applyFont="1" applyBorder="1" applyAlignment="1" applyProtection="1">
      <alignment horizontal="right"/>
      <protection locked="0"/>
    </xf>
    <xf numFmtId="9" fontId="82" fillId="0" borderId="83" xfId="45" applyFont="1" applyBorder="1" applyAlignment="1" applyProtection="1">
      <alignment horizontal="right"/>
      <protection locked="0"/>
    </xf>
    <xf numFmtId="9" fontId="82" fillId="0" borderId="57" xfId="45" applyFont="1" applyBorder="1" applyAlignment="1" applyProtection="1">
      <alignment horizontal="right"/>
      <protection locked="0"/>
    </xf>
    <xf numFmtId="9" fontId="82" fillId="0" borderId="81" xfId="45" applyFont="1" applyBorder="1" applyAlignment="1" applyProtection="1">
      <alignment horizontal="right"/>
      <protection locked="0"/>
    </xf>
    <xf numFmtId="0" fontId="38" fillId="0" borderId="84" xfId="30" applyFont="1" applyBorder="1" applyAlignment="1">
      <alignment vertical="center"/>
    </xf>
    <xf numFmtId="3" fontId="1" fillId="0" borderId="2" xfId="43" applyNumberFormat="1" applyBorder="1" applyAlignment="1">
      <alignment horizontal="right"/>
    </xf>
    <xf numFmtId="3" fontId="1" fillId="0" borderId="8" xfId="43" applyNumberFormat="1" applyBorder="1" applyAlignment="1">
      <alignment horizontal="right"/>
    </xf>
    <xf numFmtId="41" fontId="82" fillId="0" borderId="84" xfId="44" applyFont="1" applyBorder="1" applyAlignment="1" applyProtection="1">
      <alignment horizontal="right"/>
      <protection locked="0"/>
    </xf>
    <xf numFmtId="41" fontId="82" fillId="0" borderId="85" xfId="44" applyFont="1" applyBorder="1" applyAlignment="1" applyProtection="1">
      <alignment horizontal="right"/>
      <protection locked="0"/>
    </xf>
    <xf numFmtId="174" fontId="82" fillId="0" borderId="85" xfId="45" applyNumberFormat="1" applyFont="1" applyBorder="1" applyAlignment="1" applyProtection="1">
      <alignment horizontal="right"/>
      <protection locked="0"/>
    </xf>
    <xf numFmtId="174" fontId="82" fillId="0" borderId="86" xfId="45" applyNumberFormat="1" applyFont="1" applyBorder="1" applyAlignment="1" applyProtection="1">
      <alignment horizontal="right"/>
      <protection locked="0"/>
    </xf>
    <xf numFmtId="9" fontId="82" fillId="0" borderId="85" xfId="45" applyFont="1" applyBorder="1" applyAlignment="1" applyProtection="1">
      <alignment horizontal="right"/>
      <protection locked="0"/>
    </xf>
    <xf numFmtId="9" fontId="82" fillId="0" borderId="86" xfId="45" applyFont="1" applyBorder="1" applyAlignment="1" applyProtection="1">
      <alignment horizontal="right"/>
      <protection locked="0"/>
    </xf>
    <xf numFmtId="0" fontId="38" fillId="3" borderId="70" xfId="30" applyFont="1" applyFill="1" applyBorder="1" applyAlignment="1">
      <alignment vertical="center"/>
    </xf>
    <xf numFmtId="3" fontId="45" fillId="3" borderId="75" xfId="43" applyNumberFormat="1" applyFont="1" applyFill="1" applyBorder="1" applyAlignment="1">
      <alignment horizontal="right"/>
    </xf>
    <xf numFmtId="3" fontId="45" fillId="3" borderId="71" xfId="43" applyNumberFormat="1" applyFont="1" applyFill="1" applyBorder="1" applyAlignment="1">
      <alignment horizontal="right"/>
    </xf>
    <xf numFmtId="3" fontId="45" fillId="21" borderId="79" xfId="43" applyNumberFormat="1" applyFont="1" applyFill="1" applyBorder="1" applyAlignment="1">
      <alignment horizontal="right"/>
    </xf>
    <xf numFmtId="9" fontId="45" fillId="21" borderId="79" xfId="45" applyFont="1" applyFill="1" applyBorder="1" applyAlignment="1">
      <alignment horizontal="right"/>
    </xf>
    <xf numFmtId="9" fontId="45" fillId="21" borderId="80" xfId="45" applyFont="1" applyFill="1" applyBorder="1" applyAlignment="1">
      <alignment horizontal="right"/>
    </xf>
    <xf numFmtId="0" fontId="38" fillId="0" borderId="87" xfId="30" applyFont="1" applyBorder="1" applyAlignment="1">
      <alignment vertical="center"/>
    </xf>
    <xf numFmtId="3" fontId="45" fillId="21" borderId="88" xfId="43" applyNumberFormat="1" applyFont="1" applyFill="1" applyBorder="1" applyAlignment="1">
      <alignment horizontal="right"/>
    </xf>
    <xf numFmtId="3" fontId="45" fillId="21" borderId="89" xfId="43" applyNumberFormat="1" applyFont="1" applyFill="1" applyBorder="1" applyAlignment="1">
      <alignment horizontal="right"/>
    </xf>
    <xf numFmtId="0" fontId="38" fillId="3" borderId="90" xfId="30" applyFont="1" applyFill="1" applyBorder="1" applyAlignment="1">
      <alignment vertical="center"/>
    </xf>
    <xf numFmtId="0" fontId="1" fillId="3" borderId="91" xfId="43" applyFill="1" applyBorder="1"/>
    <xf numFmtId="0" fontId="22" fillId="3" borderId="91" xfId="43" applyFont="1" applyFill="1" applyBorder="1"/>
    <xf numFmtId="0" fontId="38" fillId="3" borderId="57" xfId="30" applyFont="1" applyFill="1" applyBorder="1" applyAlignment="1">
      <alignment vertical="center"/>
    </xf>
    <xf numFmtId="0" fontId="1" fillId="3" borderId="0" xfId="43" applyFill="1"/>
    <xf numFmtId="0" fontId="22" fillId="3" borderId="0" xfId="43" applyFont="1" applyFill="1"/>
    <xf numFmtId="41" fontId="90" fillId="3" borderId="70" xfId="44" applyFont="1" applyFill="1" applyBorder="1" applyAlignment="1" applyProtection="1">
      <alignment horizontal="right"/>
      <protection locked="0"/>
    </xf>
    <xf numFmtId="41" fontId="90" fillId="3" borderId="73" xfId="44" applyFont="1" applyFill="1" applyBorder="1" applyAlignment="1" applyProtection="1">
      <alignment horizontal="right"/>
      <protection locked="0"/>
    </xf>
    <xf numFmtId="174" fontId="90" fillId="3" borderId="73" xfId="45" applyNumberFormat="1" applyFont="1" applyFill="1" applyBorder="1" applyAlignment="1" applyProtection="1">
      <alignment horizontal="right"/>
      <protection locked="0"/>
    </xf>
    <xf numFmtId="174" fontId="90" fillId="3" borderId="74" xfId="45" applyNumberFormat="1" applyFont="1" applyFill="1" applyBorder="1" applyAlignment="1" applyProtection="1">
      <alignment horizontal="right"/>
      <protection locked="0"/>
    </xf>
    <xf numFmtId="9" fontId="90" fillId="3" borderId="73" xfId="45" applyFont="1" applyFill="1" applyBorder="1" applyAlignment="1" applyProtection="1">
      <alignment horizontal="right"/>
      <protection locked="0"/>
    </xf>
    <xf numFmtId="9" fontId="90" fillId="3" borderId="74" xfId="45" applyFont="1" applyFill="1" applyBorder="1" applyAlignment="1" applyProtection="1">
      <alignment horizontal="right"/>
      <protection locked="0"/>
    </xf>
    <xf numFmtId="9" fontId="56" fillId="0" borderId="4" xfId="2" applyFont="1" applyFill="1" applyBorder="1" applyAlignment="1">
      <alignment horizontal="right" vertical="center"/>
    </xf>
    <xf numFmtId="0" fontId="49" fillId="3" borderId="0" xfId="0" applyFont="1" applyFill="1" applyAlignment="1">
      <alignment horizontal="center"/>
    </xf>
    <xf numFmtId="0" fontId="15" fillId="10" borderId="0" xfId="0" applyFont="1" applyFill="1" applyAlignment="1">
      <alignment horizontal="center" vertical="center"/>
    </xf>
    <xf numFmtId="0" fontId="22" fillId="3" borderId="92" xfId="43" applyFont="1" applyFill="1" applyBorder="1" applyAlignment="1">
      <alignment horizontal="center"/>
    </xf>
    <xf numFmtId="0" fontId="22" fillId="3" borderId="91" xfId="43" applyFont="1" applyFill="1" applyBorder="1" applyAlignment="1">
      <alignment horizontal="center"/>
    </xf>
    <xf numFmtId="0" fontId="22" fillId="3" borderId="93" xfId="43" applyFont="1" applyFill="1" applyBorder="1" applyAlignment="1">
      <alignment horizontal="center"/>
    </xf>
    <xf numFmtId="0" fontId="45" fillId="12" borderId="70" xfId="43" applyFont="1" applyFill="1" applyBorder="1" applyAlignment="1">
      <alignment horizontal="center"/>
    </xf>
    <xf numFmtId="0" fontId="45" fillId="12" borderId="73" xfId="43" applyFont="1" applyFill="1" applyBorder="1" applyAlignment="1">
      <alignment horizontal="center"/>
    </xf>
    <xf numFmtId="0" fontId="45" fillId="12" borderId="74" xfId="43" applyFont="1" applyFill="1" applyBorder="1" applyAlignment="1">
      <alignment horizontal="center"/>
    </xf>
    <xf numFmtId="0" fontId="45" fillId="12" borderId="72" xfId="43" applyFont="1" applyFill="1" applyBorder="1" applyAlignment="1">
      <alignment horizontal="center"/>
    </xf>
    <xf numFmtId="0" fontId="45" fillId="12" borderId="75" xfId="43" applyFont="1" applyFill="1" applyBorder="1" applyAlignment="1">
      <alignment horizontal="center"/>
    </xf>
    <xf numFmtId="0" fontId="45" fillId="12" borderId="71" xfId="43" applyFont="1" applyFill="1" applyBorder="1" applyAlignment="1">
      <alignment horizontal="center"/>
    </xf>
    <xf numFmtId="0" fontId="45" fillId="12" borderId="76" xfId="43" applyFont="1" applyFill="1" applyBorder="1" applyAlignment="1">
      <alignment horizontal="center"/>
    </xf>
    <xf numFmtId="0" fontId="45" fillId="12" borderId="77" xfId="43" applyFont="1" applyFill="1" applyBorder="1" applyAlignment="1">
      <alignment horizontal="center"/>
    </xf>
    <xf numFmtId="0" fontId="45" fillId="12" borderId="73" xfId="43" applyFont="1" applyFill="1" applyBorder="1" applyAlignment="1">
      <alignment horizontal="center" vertical="center" wrapText="1"/>
    </xf>
    <xf numFmtId="0" fontId="45" fillId="12" borderId="72" xfId="43" applyFont="1" applyFill="1" applyBorder="1" applyAlignment="1">
      <alignment horizontal="center" vertical="center" wrapText="1"/>
    </xf>
    <xf numFmtId="0" fontId="45" fillId="12" borderId="71" xfId="43" applyFont="1" applyFill="1" applyBorder="1" applyAlignment="1">
      <alignment horizontal="center" vertical="center" wrapText="1"/>
    </xf>
    <xf numFmtId="0" fontId="45" fillId="12" borderId="70" xfId="43" applyFont="1" applyFill="1" applyBorder="1" applyAlignment="1">
      <alignment horizontal="center" vertical="center"/>
    </xf>
    <xf numFmtId="0" fontId="45" fillId="12" borderId="73" xfId="43" applyFont="1" applyFill="1" applyBorder="1" applyAlignment="1">
      <alignment horizontal="center" vertical="center"/>
    </xf>
    <xf numFmtId="0" fontId="45" fillId="12" borderId="74" xfId="43" applyFont="1" applyFill="1" applyBorder="1" applyAlignment="1">
      <alignment horizontal="center" vertical="center"/>
    </xf>
    <xf numFmtId="0" fontId="13" fillId="0" borderId="8" xfId="0" applyFont="1" applyBorder="1" applyAlignment="1">
      <alignment horizontal="left"/>
    </xf>
    <xf numFmtId="0" fontId="13" fillId="0" borderId="66" xfId="0" applyFont="1" applyBorder="1" applyAlignment="1">
      <alignment horizontal="left"/>
    </xf>
    <xf numFmtId="0" fontId="38" fillId="0" borderId="13" xfId="0" applyFont="1" applyBorder="1" applyAlignment="1">
      <alignment horizontal="center"/>
    </xf>
    <xf numFmtId="0" fontId="38" fillId="0" borderId="6" xfId="0" applyFont="1" applyBorder="1" applyAlignment="1">
      <alignment horizontal="center"/>
    </xf>
    <xf numFmtId="0" fontId="33" fillId="7" borderId="13" xfId="0" applyFont="1" applyFill="1" applyBorder="1" applyAlignment="1">
      <alignment horizontal="center"/>
    </xf>
    <xf numFmtId="0" fontId="33" fillId="7" borderId="6" xfId="0" applyFont="1" applyFill="1" applyBorder="1" applyAlignment="1">
      <alignment horizontal="center"/>
    </xf>
    <xf numFmtId="0" fontId="33" fillId="7" borderId="12" xfId="0" applyFont="1" applyFill="1" applyBorder="1" applyAlignment="1">
      <alignment horizontal="center"/>
    </xf>
    <xf numFmtId="0" fontId="33" fillId="7" borderId="0" xfId="0" applyFont="1" applyFill="1" applyAlignment="1">
      <alignment horizontal="center"/>
    </xf>
    <xf numFmtId="0" fontId="33" fillId="7" borderId="12" xfId="0" applyFont="1" applyFill="1" applyBorder="1" applyAlignment="1">
      <alignment horizontal="left"/>
    </xf>
    <xf numFmtId="0" fontId="33" fillId="7" borderId="7" xfId="0" applyFont="1" applyFill="1" applyBorder="1" applyAlignment="1">
      <alignment horizontal="left"/>
    </xf>
    <xf numFmtId="0" fontId="33" fillId="7" borderId="1" xfId="0" applyFont="1" applyFill="1" applyBorder="1" applyAlignment="1">
      <alignment horizontal="center"/>
    </xf>
    <xf numFmtId="0" fontId="85" fillId="0" borderId="1" xfId="0" applyFont="1" applyBorder="1" applyAlignment="1">
      <alignment horizontal="center"/>
    </xf>
    <xf numFmtId="0" fontId="33" fillId="7" borderId="1" xfId="0" applyFont="1" applyFill="1" applyBorder="1" applyAlignment="1">
      <alignment horizontal="left"/>
    </xf>
    <xf numFmtId="0" fontId="13" fillId="0" borderId="13" xfId="0" applyFont="1" applyBorder="1" applyAlignment="1">
      <alignment horizontal="left"/>
    </xf>
    <xf numFmtId="0" fontId="13" fillId="0" borderId="6" xfId="0" applyFont="1" applyBorder="1" applyAlignment="1">
      <alignment horizontal="left"/>
    </xf>
    <xf numFmtId="0" fontId="33" fillId="7" borderId="7" xfId="0" applyFont="1" applyFill="1" applyBorder="1" applyAlignment="1">
      <alignment horizontal="center"/>
    </xf>
    <xf numFmtId="41" fontId="44" fillId="0" borderId="0" xfId="1" applyFont="1" applyAlignment="1">
      <alignment horizontal="center"/>
    </xf>
    <xf numFmtId="0" fontId="14" fillId="18" borderId="4" xfId="16" applyFont="1" applyFill="1" applyBorder="1" applyAlignment="1">
      <alignment horizontal="center" vertical="center"/>
    </xf>
    <xf numFmtId="0" fontId="24" fillId="0" borderId="17" xfId="16" applyFont="1" applyBorder="1" applyAlignment="1">
      <alignment horizontal="left" vertical="top" wrapText="1"/>
    </xf>
    <xf numFmtId="0" fontId="24" fillId="0" borderId="18" xfId="16" applyFont="1" applyBorder="1" applyAlignment="1">
      <alignment horizontal="left" vertical="top" wrapText="1"/>
    </xf>
    <xf numFmtId="0" fontId="24" fillId="0" borderId="19" xfId="16" applyFont="1" applyBorder="1" applyAlignment="1">
      <alignment horizontal="left" vertical="top" wrapText="1"/>
    </xf>
    <xf numFmtId="0" fontId="24" fillId="0" borderId="20" xfId="16" applyFont="1" applyBorder="1" applyAlignment="1">
      <alignment horizontal="left" vertical="top" wrapText="1"/>
    </xf>
    <xf numFmtId="0" fontId="24" fillId="0" borderId="0" xfId="16" applyFont="1" applyAlignment="1">
      <alignment horizontal="left" vertical="top" wrapText="1"/>
    </xf>
    <xf numFmtId="0" fontId="24" fillId="0" borderId="21" xfId="16" applyFont="1" applyBorder="1" applyAlignment="1">
      <alignment horizontal="left" vertical="top" wrapText="1"/>
    </xf>
    <xf numFmtId="0" fontId="24" fillId="0" borderId="22" xfId="16" applyFont="1" applyBorder="1" applyAlignment="1">
      <alignment horizontal="left" vertical="top" wrapText="1"/>
    </xf>
    <xf numFmtId="0" fontId="24" fillId="0" borderId="23" xfId="16" applyFont="1" applyBorder="1" applyAlignment="1">
      <alignment horizontal="left" vertical="top" wrapText="1"/>
    </xf>
    <xf numFmtId="0" fontId="24" fillId="0" borderId="24" xfId="16" applyFont="1" applyBorder="1" applyAlignment="1">
      <alignment horizontal="left" vertical="top" wrapText="1"/>
    </xf>
    <xf numFmtId="0" fontId="24" fillId="0" borderId="20" xfId="16" applyFont="1" applyBorder="1" applyAlignment="1">
      <alignment horizontal="left" wrapText="1"/>
    </xf>
    <xf numFmtId="0" fontId="24" fillId="0" borderId="0" xfId="16" applyFont="1" applyAlignment="1">
      <alignment horizontal="left" wrapText="1"/>
    </xf>
    <xf numFmtId="0" fontId="24" fillId="0" borderId="21" xfId="16" applyFont="1" applyBorder="1" applyAlignment="1">
      <alignment horizontal="left" wrapText="1"/>
    </xf>
    <xf numFmtId="0" fontId="24" fillId="0" borderId="17" xfId="16" applyFont="1" applyBorder="1" applyAlignment="1">
      <alignment horizontal="left" wrapText="1"/>
    </xf>
    <xf numFmtId="0" fontId="24" fillId="0" borderId="18" xfId="16" applyFont="1" applyBorder="1" applyAlignment="1">
      <alignment horizontal="left" wrapText="1"/>
    </xf>
    <xf numFmtId="0" fontId="24" fillId="0" borderId="19" xfId="16" applyFont="1" applyBorder="1" applyAlignment="1">
      <alignment horizontal="left" wrapText="1"/>
    </xf>
    <xf numFmtId="0" fontId="24" fillId="0" borderId="22" xfId="16" applyFont="1" applyBorder="1" applyAlignment="1">
      <alignment horizontal="left" wrapText="1"/>
    </xf>
    <xf numFmtId="0" fontId="24" fillId="0" borderId="23" xfId="16" applyFont="1" applyBorder="1" applyAlignment="1">
      <alignment horizontal="left" wrapText="1"/>
    </xf>
    <xf numFmtId="0" fontId="24" fillId="0" borderId="24" xfId="16" applyFont="1" applyBorder="1" applyAlignment="1">
      <alignment horizontal="left" wrapText="1"/>
    </xf>
    <xf numFmtId="0" fontId="14" fillId="18" borderId="38" xfId="16" applyFont="1" applyFill="1" applyBorder="1" applyAlignment="1">
      <alignment horizontal="center"/>
    </xf>
    <xf numFmtId="0" fontId="14" fillId="18" borderId="39" xfId="16" applyFont="1" applyFill="1" applyBorder="1" applyAlignment="1">
      <alignment horizontal="center"/>
    </xf>
    <xf numFmtId="0" fontId="14" fillId="18" borderId="40" xfId="16" applyFont="1" applyFill="1" applyBorder="1" applyAlignment="1">
      <alignment horizontal="center"/>
    </xf>
    <xf numFmtId="0" fontId="14" fillId="18" borderId="27" xfId="16" applyFont="1" applyFill="1" applyBorder="1" applyAlignment="1">
      <alignment horizontal="center"/>
    </xf>
    <xf numFmtId="0" fontId="14" fillId="18" borderId="28" xfId="16" applyFont="1" applyFill="1" applyBorder="1" applyAlignment="1">
      <alignment horizontal="center"/>
    </xf>
    <xf numFmtId="0" fontId="14" fillId="18" borderId="29" xfId="16" applyFont="1" applyFill="1" applyBorder="1" applyAlignment="1">
      <alignment horizontal="center"/>
    </xf>
    <xf numFmtId="0" fontId="14" fillId="18" borderId="36" xfId="16" applyFont="1" applyFill="1" applyBorder="1" applyAlignment="1">
      <alignment horizontal="center"/>
    </xf>
    <xf numFmtId="41" fontId="44" fillId="0" borderId="0" xfId="1" applyFont="1" applyAlignment="1">
      <alignment horizontal="center" wrapText="1"/>
    </xf>
    <xf numFmtId="0" fontId="45" fillId="0" borderId="23" xfId="16" applyFont="1" applyBorder="1" applyAlignment="1">
      <alignment horizontal="center"/>
    </xf>
    <xf numFmtId="0" fontId="48" fillId="18" borderId="4" xfId="16" applyFont="1" applyFill="1" applyBorder="1" applyAlignment="1">
      <alignment horizontal="center"/>
    </xf>
    <xf numFmtId="0" fontId="45" fillId="0" borderId="0" xfId="16" applyFont="1" applyAlignment="1">
      <alignment horizontal="center"/>
    </xf>
    <xf numFmtId="0" fontId="24" fillId="0" borderId="17" xfId="38" applyFont="1" applyBorder="1" applyAlignment="1">
      <alignment horizontal="left" wrapText="1"/>
    </xf>
    <xf numFmtId="0" fontId="24" fillId="0" borderId="18" xfId="38" applyFont="1" applyBorder="1" applyAlignment="1">
      <alignment horizontal="left" wrapText="1"/>
    </xf>
    <xf numFmtId="0" fontId="24" fillId="0" borderId="19" xfId="38" applyFont="1" applyBorder="1" applyAlignment="1">
      <alignment horizontal="left" wrapText="1"/>
    </xf>
    <xf numFmtId="0" fontId="24" fillId="0" borderId="20" xfId="38" applyFont="1" applyBorder="1" applyAlignment="1">
      <alignment horizontal="left" wrapText="1"/>
    </xf>
    <xf numFmtId="0" fontId="24" fillId="0" borderId="0" xfId="38" applyFont="1" applyAlignment="1">
      <alignment horizontal="left" wrapText="1"/>
    </xf>
    <xf numFmtId="0" fontId="24" fillId="0" borderId="21" xfId="38" applyFont="1" applyBorder="1" applyAlignment="1">
      <alignment horizontal="left" wrapText="1"/>
    </xf>
    <xf numFmtId="0" fontId="24" fillId="0" borderId="22" xfId="38" applyFont="1" applyBorder="1" applyAlignment="1">
      <alignment horizontal="left" wrapText="1"/>
    </xf>
    <xf numFmtId="0" fontId="24" fillId="0" borderId="23" xfId="38" applyFont="1" applyBorder="1" applyAlignment="1">
      <alignment horizontal="left" wrapText="1"/>
    </xf>
    <xf numFmtId="0" fontId="24" fillId="0" borderId="24" xfId="38" applyFont="1" applyBorder="1" applyAlignment="1">
      <alignment horizontal="left" wrapText="1"/>
    </xf>
    <xf numFmtId="0" fontId="12" fillId="18" borderId="41" xfId="36" applyFont="1" applyFill="1" applyBorder="1" applyAlignment="1">
      <alignment horizontal="center"/>
    </xf>
    <xf numFmtId="0" fontId="12" fillId="18" borderId="42" xfId="36" applyFont="1" applyFill="1" applyBorder="1" applyAlignment="1">
      <alignment horizontal="center"/>
    </xf>
    <xf numFmtId="0" fontId="12" fillId="18" borderId="43" xfId="36" applyFont="1" applyFill="1" applyBorder="1" applyAlignment="1">
      <alignment horizontal="center"/>
    </xf>
    <xf numFmtId="0" fontId="12" fillId="18" borderId="44" xfId="36" applyFont="1" applyFill="1" applyBorder="1" applyAlignment="1">
      <alignment horizontal="center"/>
    </xf>
    <xf numFmtId="0" fontId="12" fillId="18" borderId="26" xfId="36" applyFont="1" applyFill="1" applyBorder="1" applyAlignment="1">
      <alignment horizontal="center"/>
    </xf>
    <xf numFmtId="0" fontId="8" fillId="8" borderId="1" xfId="0" applyFont="1" applyFill="1" applyBorder="1" applyAlignment="1">
      <alignment horizontal="left"/>
    </xf>
    <xf numFmtId="0" fontId="0" fillId="0" borderId="1" xfId="0" applyBorder="1" applyAlignment="1">
      <alignment horizontal="left"/>
    </xf>
    <xf numFmtId="0" fontId="33" fillId="7" borderId="67" xfId="0" applyFont="1" applyFill="1" applyBorder="1" applyAlignment="1">
      <alignment horizontal="center"/>
    </xf>
    <xf numFmtId="0" fontId="33" fillId="7" borderId="8" xfId="0" applyFont="1" applyFill="1" applyBorder="1" applyAlignment="1">
      <alignment horizontal="center"/>
    </xf>
    <xf numFmtId="0" fontId="33" fillId="7" borderId="66" xfId="0" applyFont="1" applyFill="1" applyBorder="1" applyAlignment="1">
      <alignment horizontal="center"/>
    </xf>
    <xf numFmtId="0" fontId="33" fillId="7" borderId="68" xfId="0" applyFont="1" applyFill="1" applyBorder="1" applyAlignment="1">
      <alignment horizontal="center"/>
    </xf>
    <xf numFmtId="0" fontId="8" fillId="0" borderId="1" xfId="0" applyFont="1" applyBorder="1" applyAlignment="1">
      <alignment horizontal="left"/>
    </xf>
    <xf numFmtId="0" fontId="12" fillId="18" borderId="41" xfId="16" applyFont="1" applyFill="1" applyBorder="1" applyAlignment="1">
      <alignment horizontal="center"/>
    </xf>
    <xf numFmtId="0" fontId="12" fillId="18" borderId="42" xfId="16" applyFont="1" applyFill="1" applyBorder="1" applyAlignment="1">
      <alignment horizontal="center"/>
    </xf>
    <xf numFmtId="0" fontId="12" fillId="18" borderId="43" xfId="16" applyFont="1" applyFill="1" applyBorder="1" applyAlignment="1">
      <alignment horizontal="center"/>
    </xf>
    <xf numFmtId="0" fontId="12" fillId="18" borderId="44" xfId="16" applyFont="1" applyFill="1" applyBorder="1" applyAlignment="1">
      <alignment horizontal="center"/>
    </xf>
    <xf numFmtId="0" fontId="12" fillId="18" borderId="26" xfId="16" applyFont="1" applyFill="1" applyBorder="1" applyAlignment="1">
      <alignment horizontal="center"/>
    </xf>
    <xf numFmtId="0" fontId="5" fillId="0" borderId="17" xfId="16" applyBorder="1" applyAlignment="1">
      <alignment horizontal="left" wrapText="1"/>
    </xf>
    <xf numFmtId="0" fontId="5" fillId="0" borderId="18" xfId="16" applyBorder="1" applyAlignment="1">
      <alignment horizontal="left" wrapText="1"/>
    </xf>
    <xf numFmtId="0" fontId="5" fillId="0" borderId="19" xfId="16" applyBorder="1" applyAlignment="1">
      <alignment horizontal="left" wrapText="1"/>
    </xf>
    <xf numFmtId="0" fontId="5" fillId="0" borderId="20" xfId="16" applyBorder="1" applyAlignment="1">
      <alignment horizontal="left" wrapText="1"/>
    </xf>
    <xf numFmtId="0" fontId="5" fillId="0" borderId="0" xfId="16" applyAlignment="1">
      <alignment horizontal="left" wrapText="1"/>
    </xf>
    <xf numFmtId="0" fontId="5" fillId="0" borderId="21" xfId="16" applyBorder="1" applyAlignment="1">
      <alignment horizontal="left" wrapText="1"/>
    </xf>
    <xf numFmtId="0" fontId="5" fillId="0" borderId="22" xfId="16" applyBorder="1" applyAlignment="1">
      <alignment horizontal="left" wrapText="1"/>
    </xf>
    <xf numFmtId="0" fontId="5" fillId="0" borderId="23" xfId="16" applyBorder="1" applyAlignment="1">
      <alignment horizontal="left" wrapText="1"/>
    </xf>
    <xf numFmtId="0" fontId="5" fillId="0" borderId="24" xfId="16" applyBorder="1" applyAlignment="1">
      <alignment horizontal="left" wrapText="1"/>
    </xf>
    <xf numFmtId="0" fontId="48" fillId="18" borderId="0" xfId="0" applyFont="1" applyFill="1" applyAlignment="1">
      <alignment horizontal="center"/>
    </xf>
    <xf numFmtId="0" fontId="64" fillId="8" borderId="0" xfId="0" applyFont="1" applyFill="1" applyAlignment="1">
      <alignment horizontal="center"/>
    </xf>
    <xf numFmtId="0" fontId="65" fillId="18" borderId="51" xfId="0" applyFont="1" applyFill="1" applyBorder="1" applyAlignment="1">
      <alignment horizontal="center" vertical="top" wrapText="1"/>
    </xf>
    <xf numFmtId="0" fontId="65" fillId="18" borderId="50" xfId="0" applyFont="1" applyFill="1" applyBorder="1" applyAlignment="1">
      <alignment horizontal="center" vertical="top" wrapText="1"/>
    </xf>
    <xf numFmtId="0" fontId="65" fillId="18" borderId="52" xfId="0" applyFont="1" applyFill="1" applyBorder="1" applyAlignment="1">
      <alignment horizontal="center" vertical="top" wrapText="1"/>
    </xf>
    <xf numFmtId="0" fontId="48" fillId="18" borderId="25" xfId="23" applyFont="1" applyFill="1" applyBorder="1" applyAlignment="1">
      <alignment horizontal="center"/>
    </xf>
    <xf numFmtId="0" fontId="48" fillId="18" borderId="44" xfId="23" applyFont="1" applyFill="1" applyBorder="1" applyAlignment="1">
      <alignment horizontal="center"/>
    </xf>
    <xf numFmtId="0" fontId="48" fillId="18" borderId="26" xfId="23" applyFont="1" applyFill="1" applyBorder="1" applyAlignment="1">
      <alignment horizontal="center"/>
    </xf>
    <xf numFmtId="0" fontId="68" fillId="8" borderId="0" xfId="0" applyFont="1" applyFill="1" applyAlignment="1">
      <alignment horizontal="center" vertical="top"/>
    </xf>
    <xf numFmtId="0" fontId="36" fillId="8" borderId="0" xfId="0" applyFont="1" applyFill="1" applyAlignment="1">
      <alignment horizontal="center" vertical="top"/>
    </xf>
    <xf numFmtId="0" fontId="36" fillId="8" borderId="0" xfId="0" applyFont="1" applyFill="1" applyAlignment="1">
      <alignment horizontal="center" vertical="top" wrapText="1"/>
    </xf>
    <xf numFmtId="0" fontId="45" fillId="17" borderId="0" xfId="16" applyFont="1" applyFill="1" applyAlignment="1">
      <alignment horizontal="center" wrapText="1"/>
    </xf>
    <xf numFmtId="0" fontId="45" fillId="17" borderId="0" xfId="16" applyFont="1" applyFill="1" applyAlignment="1">
      <alignment horizontal="center"/>
    </xf>
    <xf numFmtId="0" fontId="12" fillId="18" borderId="4" xfId="16" applyFont="1" applyFill="1" applyBorder="1" applyAlignment="1">
      <alignment horizontal="center"/>
    </xf>
    <xf numFmtId="0" fontId="71" fillId="17" borderId="0" xfId="16" applyFont="1" applyFill="1" applyAlignment="1">
      <alignment horizontal="center"/>
    </xf>
    <xf numFmtId="0" fontId="70" fillId="17" borderId="0" xfId="16" applyFont="1" applyFill="1" applyAlignment="1">
      <alignment horizontal="center"/>
    </xf>
    <xf numFmtId="0" fontId="74" fillId="0" borderId="0" xfId="16" applyFont="1" applyAlignment="1">
      <alignment horizontal="center"/>
    </xf>
    <xf numFmtId="0" fontId="5" fillId="0" borderId="0" xfId="16"/>
    <xf numFmtId="0" fontId="24" fillId="0" borderId="4" xfId="16" applyFont="1" applyBorder="1" applyAlignment="1">
      <alignment horizontal="center" vertical="center" wrapText="1"/>
    </xf>
    <xf numFmtId="0" fontId="14" fillId="18" borderId="4" xfId="16" applyFont="1" applyFill="1" applyBorder="1" applyAlignment="1">
      <alignment horizontal="center"/>
    </xf>
    <xf numFmtId="41" fontId="45" fillId="0" borderId="23" xfId="20" applyFont="1" applyBorder="1" applyAlignment="1">
      <alignment horizontal="center"/>
    </xf>
    <xf numFmtId="0" fontId="61" fillId="17" borderId="0" xfId="0" applyFont="1" applyFill="1" applyAlignment="1">
      <alignment horizontal="center" vertical="top"/>
    </xf>
    <xf numFmtId="0" fontId="44" fillId="17" borderId="0" xfId="27" applyFont="1" applyFill="1" applyAlignment="1">
      <alignment horizontal="center"/>
    </xf>
    <xf numFmtId="0" fontId="62" fillId="17" borderId="0" xfId="0" applyFont="1" applyFill="1" applyAlignment="1">
      <alignment horizontal="center" vertical="top"/>
    </xf>
    <xf numFmtId="0" fontId="62" fillId="17" borderId="0" xfId="27" applyFont="1" applyFill="1" applyAlignment="1">
      <alignment horizontal="center"/>
    </xf>
    <xf numFmtId="0" fontId="45" fillId="17" borderId="0" xfId="27" applyFont="1" applyFill="1" applyAlignment="1">
      <alignment horizontal="center"/>
    </xf>
    <xf numFmtId="0" fontId="4" fillId="0" borderId="4" xfId="31" applyBorder="1" applyAlignment="1">
      <alignment horizontal="center" vertical="center" wrapText="1"/>
    </xf>
    <xf numFmtId="0" fontId="12" fillId="18" borderId="4" xfId="31" applyFont="1" applyFill="1" applyBorder="1" applyAlignment="1">
      <alignment horizontal="center"/>
    </xf>
    <xf numFmtId="0" fontId="49" fillId="0" borderId="0" xfId="27" applyFont="1" applyAlignment="1">
      <alignment horizontal="center"/>
    </xf>
    <xf numFmtId="41" fontId="45" fillId="0" borderId="0" xfId="20" applyFont="1" applyBorder="1" applyAlignment="1">
      <alignment horizontal="center"/>
    </xf>
    <xf numFmtId="0" fontId="5" fillId="0" borderId="4" xfId="27" applyBorder="1" applyAlignment="1">
      <alignment horizontal="center" vertical="center" wrapText="1"/>
    </xf>
    <xf numFmtId="0" fontId="12" fillId="18" borderId="4" xfId="27" applyFont="1" applyFill="1" applyBorder="1" applyAlignment="1">
      <alignment horizontal="center"/>
    </xf>
    <xf numFmtId="0" fontId="12" fillId="18" borderId="23" xfId="21" applyFont="1" applyFill="1" applyBorder="1" applyAlignment="1">
      <alignment horizontal="center"/>
    </xf>
    <xf numFmtId="0" fontId="62" fillId="17" borderId="0" xfId="21" applyFont="1" applyFill="1" applyAlignment="1">
      <alignment horizontal="center"/>
    </xf>
  </cellXfs>
  <cellStyles count="46">
    <cellStyle name="Hipervínculo" xfId="30" builtinId="8"/>
    <cellStyle name="Hipervínculo 2" xfId="6" xr:uid="{00000000-0005-0000-0000-000001000000}"/>
    <cellStyle name="Millares" xfId="5" builtinId="3"/>
    <cellStyle name="Millares [0]" xfId="1" builtinId="6"/>
    <cellStyle name="Millares [0] 11" xfId="4" xr:uid="{00000000-0005-0000-0000-000004000000}"/>
    <cellStyle name="Millares [0] 2" xfId="13" xr:uid="{00000000-0005-0000-0000-000005000000}"/>
    <cellStyle name="Millares [0] 3" xfId="20" xr:uid="{00000000-0005-0000-0000-000006000000}"/>
    <cellStyle name="Millares [0] 3 2" xfId="44" xr:uid="{00000000-0005-0000-0000-000007000000}"/>
    <cellStyle name="Millares [0] 4" xfId="37" xr:uid="{00000000-0005-0000-0000-000008000000}"/>
    <cellStyle name="Millares 2" xfId="15" xr:uid="{00000000-0005-0000-0000-000009000000}"/>
    <cellStyle name="Millares 3" xfId="17" xr:uid="{00000000-0005-0000-0000-00000A000000}"/>
    <cellStyle name="Millares 4" xfId="18" xr:uid="{00000000-0005-0000-0000-00000B000000}"/>
    <cellStyle name="Millares 5" xfId="22" xr:uid="{00000000-0005-0000-0000-00000C000000}"/>
    <cellStyle name="Millares 6" xfId="39" xr:uid="{00000000-0005-0000-0000-00000D000000}"/>
    <cellStyle name="Moneda [0] 2" xfId="14" xr:uid="{00000000-0005-0000-0000-00000E000000}"/>
    <cellStyle name="Moneda [0] 3" xfId="41" xr:uid="{00000000-0005-0000-0000-00000F000000}"/>
    <cellStyle name="Moneda 2" xfId="7" xr:uid="{00000000-0005-0000-0000-000010000000}"/>
    <cellStyle name="Moneda 3" xfId="10" xr:uid="{00000000-0005-0000-0000-000011000000}"/>
    <cellStyle name="Moneda 4" xfId="29" xr:uid="{00000000-0005-0000-0000-000012000000}"/>
    <cellStyle name="Moneda 5" xfId="35" xr:uid="{00000000-0005-0000-0000-000013000000}"/>
    <cellStyle name="Normal" xfId="0" builtinId="0"/>
    <cellStyle name="Normal 2" xfId="3" xr:uid="{00000000-0005-0000-0000-000015000000}"/>
    <cellStyle name="Normal 2 2" xfId="21" xr:uid="{00000000-0005-0000-0000-000016000000}"/>
    <cellStyle name="Normal 2 3" xfId="26" xr:uid="{00000000-0005-0000-0000-000017000000}"/>
    <cellStyle name="Normal 2 4" xfId="27" xr:uid="{00000000-0005-0000-0000-000018000000}"/>
    <cellStyle name="Normal 2 4 2" xfId="33" xr:uid="{00000000-0005-0000-0000-000019000000}"/>
    <cellStyle name="Normal 2 4 3" xfId="43" xr:uid="{00000000-0005-0000-0000-00001A000000}"/>
    <cellStyle name="Normal 3" xfId="8" xr:uid="{00000000-0005-0000-0000-00001B000000}"/>
    <cellStyle name="Normal 3 2" xfId="11" xr:uid="{00000000-0005-0000-0000-00001C000000}"/>
    <cellStyle name="Normal 4" xfId="16" xr:uid="{00000000-0005-0000-0000-00001D000000}"/>
    <cellStyle name="Normal 4 2" xfId="32" xr:uid="{00000000-0005-0000-0000-00001E000000}"/>
    <cellStyle name="Normal 4 3" xfId="38" xr:uid="{00000000-0005-0000-0000-00001F000000}"/>
    <cellStyle name="Normal 5" xfId="9" xr:uid="{00000000-0005-0000-0000-000020000000}"/>
    <cellStyle name="Normal 6" xfId="23" xr:uid="{00000000-0005-0000-0000-000021000000}"/>
    <cellStyle name="Normal 7" xfId="25" xr:uid="{00000000-0005-0000-0000-000022000000}"/>
    <cellStyle name="Normal 8" xfId="31" xr:uid="{00000000-0005-0000-0000-000023000000}"/>
    <cellStyle name="Normal 9" xfId="36" xr:uid="{00000000-0005-0000-0000-000024000000}"/>
    <cellStyle name="Porcentaje" xfId="2" builtinId="5"/>
    <cellStyle name="Porcentaje 2" xfId="12" xr:uid="{00000000-0005-0000-0000-000026000000}"/>
    <cellStyle name="Porcentaje 2 2" xfId="28" xr:uid="{00000000-0005-0000-0000-000027000000}"/>
    <cellStyle name="Porcentaje 3" xfId="19" xr:uid="{00000000-0005-0000-0000-000028000000}"/>
    <cellStyle name="Porcentaje 3 2" xfId="34" xr:uid="{00000000-0005-0000-0000-000029000000}"/>
    <cellStyle name="Porcentaje 4" xfId="24" xr:uid="{00000000-0005-0000-0000-00002A000000}"/>
    <cellStyle name="Porcentaje 5" xfId="40" xr:uid="{00000000-0005-0000-0000-00002B000000}"/>
    <cellStyle name="Porcentaje 6" xfId="42" xr:uid="{00000000-0005-0000-0000-00002C000000}"/>
    <cellStyle name="Porcentaje 7" xfId="45" xr:uid="{00000000-0005-0000-0000-00002D000000}"/>
  </cellStyles>
  <dxfs count="94">
    <dxf>
      <font>
        <b val="0"/>
        <i val="0"/>
        <strike val="0"/>
        <condense val="0"/>
        <extend val="0"/>
        <outline val="0"/>
        <shadow val="0"/>
        <u val="none"/>
        <vertAlign val="baseline"/>
        <sz val="10"/>
        <color theme="0"/>
        <name val="Calibri"/>
        <scheme val="minor"/>
      </font>
      <numFmt numFmtId="168" formatCode="_-* #,##0_-;\-* #,##0_-;_-* &quot;-&quot;??_-;_-@_-"/>
      <fill>
        <patternFill patternType="solid">
          <fgColor indexed="64"/>
          <bgColor rgb="FF2F75B5"/>
        </patternFill>
      </fill>
    </dxf>
    <dxf>
      <font>
        <strike val="0"/>
        <outline val="0"/>
        <shadow val="0"/>
        <u val="none"/>
        <vertAlign val="baseline"/>
        <sz val="10"/>
        <name val="Calibri"/>
        <scheme val="minor"/>
      </font>
      <fill>
        <patternFill patternType="none">
          <fgColor indexed="64"/>
          <bgColor indexed="65"/>
        </patternFill>
      </fill>
    </dxf>
    <dxf>
      <font>
        <b val="0"/>
        <i val="0"/>
        <strike val="0"/>
        <condense val="0"/>
        <extend val="0"/>
        <outline val="0"/>
        <shadow val="0"/>
        <u val="none"/>
        <vertAlign val="baseline"/>
        <sz val="10"/>
        <color theme="0"/>
        <name val="Calibri"/>
        <scheme val="minor"/>
      </font>
      <numFmt numFmtId="168" formatCode="_-* #,##0_-;\-* #,##0_-;_-* &quot;-&quot;??_-;_-@_-"/>
      <fill>
        <patternFill patternType="solid">
          <fgColor indexed="64"/>
          <bgColor rgb="FF2F75B5"/>
        </patternFill>
      </fill>
    </dxf>
    <dxf>
      <font>
        <strike val="0"/>
        <outline val="0"/>
        <shadow val="0"/>
        <u val="none"/>
        <vertAlign val="baseline"/>
        <sz val="10"/>
        <name val="Calibri"/>
        <scheme val="minor"/>
      </font>
      <fill>
        <patternFill patternType="none">
          <fgColor indexed="64"/>
          <bgColor indexed="65"/>
        </patternFill>
      </fill>
    </dxf>
    <dxf>
      <font>
        <b val="0"/>
        <i val="0"/>
        <strike val="0"/>
        <condense val="0"/>
        <extend val="0"/>
        <outline val="0"/>
        <shadow val="0"/>
        <u val="none"/>
        <vertAlign val="baseline"/>
        <sz val="10"/>
        <color theme="0"/>
        <name val="Calibri"/>
        <scheme val="minor"/>
      </font>
      <numFmt numFmtId="168" formatCode="_-* #,##0_-;\-* #,##0_-;_-* &quot;-&quot;??_-;_-@_-"/>
      <fill>
        <patternFill patternType="solid">
          <fgColor indexed="64"/>
          <bgColor rgb="FF2F75B5"/>
        </patternFill>
      </fill>
    </dxf>
    <dxf>
      <font>
        <strike val="0"/>
        <outline val="0"/>
        <shadow val="0"/>
        <u val="none"/>
        <vertAlign val="baseline"/>
        <sz val="10"/>
        <name val="Calibri"/>
        <scheme val="minor"/>
      </font>
      <fill>
        <patternFill patternType="none">
          <fgColor indexed="64"/>
          <bgColor indexed="65"/>
        </patternFill>
      </fill>
    </dxf>
    <dxf>
      <font>
        <b val="0"/>
        <i val="0"/>
        <strike val="0"/>
        <condense val="0"/>
        <extend val="0"/>
        <outline val="0"/>
        <shadow val="0"/>
        <u val="none"/>
        <vertAlign val="baseline"/>
        <sz val="10"/>
        <color theme="0"/>
        <name val="Calibri"/>
        <scheme val="minor"/>
      </font>
      <numFmt numFmtId="168" formatCode="_-* #,##0_-;\-* #,##0_-;_-* &quot;-&quot;??_-;_-@_-"/>
      <fill>
        <patternFill patternType="solid">
          <fgColor indexed="64"/>
          <bgColor rgb="FF2F75B5"/>
        </patternFill>
      </fill>
    </dxf>
    <dxf>
      <font>
        <strike val="0"/>
        <outline val="0"/>
        <shadow val="0"/>
        <u val="none"/>
        <vertAlign val="baseline"/>
        <sz val="10"/>
        <name val="Calibri"/>
        <scheme val="minor"/>
      </font>
      <fill>
        <patternFill patternType="none">
          <fgColor indexed="64"/>
          <bgColor indexed="65"/>
        </patternFill>
      </fill>
    </dxf>
    <dxf>
      <font>
        <b val="0"/>
        <i val="0"/>
        <strike val="0"/>
        <condense val="0"/>
        <extend val="0"/>
        <outline val="0"/>
        <shadow val="0"/>
        <u val="none"/>
        <vertAlign val="baseline"/>
        <sz val="10"/>
        <color theme="0"/>
        <name val="Calibri"/>
        <scheme val="minor"/>
      </font>
      <numFmt numFmtId="168" formatCode="_-* #,##0_-;\-* #,##0_-;_-* &quot;-&quot;??_-;_-@_-"/>
      <fill>
        <patternFill patternType="solid">
          <fgColor indexed="64"/>
          <bgColor rgb="FF2F75B5"/>
        </patternFill>
      </fill>
    </dxf>
    <dxf>
      <font>
        <strike val="0"/>
        <outline val="0"/>
        <shadow val="0"/>
        <u val="none"/>
        <vertAlign val="baseline"/>
        <sz val="10"/>
        <name val="Calibri"/>
        <scheme val="minor"/>
      </font>
      <fill>
        <patternFill patternType="none">
          <fgColor indexed="64"/>
          <bgColor indexed="65"/>
        </patternFill>
      </fill>
    </dxf>
    <dxf>
      <font>
        <b val="0"/>
        <i val="0"/>
        <strike val="0"/>
        <condense val="0"/>
        <extend val="0"/>
        <outline val="0"/>
        <shadow val="0"/>
        <u val="none"/>
        <vertAlign val="baseline"/>
        <sz val="10"/>
        <color theme="0"/>
        <name val="Calibri"/>
        <scheme val="minor"/>
      </font>
      <numFmt numFmtId="168" formatCode="_-* #,##0_-;\-* #,##0_-;_-* &quot;-&quot;??_-;_-@_-"/>
      <fill>
        <patternFill patternType="solid">
          <fgColor indexed="64"/>
          <bgColor rgb="FF2F75B5"/>
        </patternFill>
      </fill>
    </dxf>
    <dxf>
      <font>
        <strike val="0"/>
        <outline val="0"/>
        <shadow val="0"/>
        <u val="none"/>
        <vertAlign val="baseline"/>
        <sz val="10"/>
        <name val="Calibri"/>
        <scheme val="minor"/>
      </font>
      <numFmt numFmtId="33" formatCode="_-* #,##0_-;\-* #,##0_-;_-* &quot;-&quot;_-;_-@_-"/>
      <fill>
        <patternFill patternType="none">
          <fgColor indexed="64"/>
          <bgColor indexed="65"/>
        </patternFill>
      </fill>
      <border diagonalUp="0" diagonalDown="0">
        <left style="thin">
          <color theme="0" tint="-0.14996795556505021"/>
        </left>
        <right style="thin">
          <color theme="0" tint="-0.14996795556505021"/>
        </right>
        <top style="thin">
          <color theme="0" tint="-0.14996795556505021"/>
        </top>
        <bottom style="thin">
          <color theme="0" tint="-0.14996795556505021"/>
        </bottom>
        <vertical/>
        <horizontal/>
      </border>
    </dxf>
    <dxf>
      <font>
        <b val="0"/>
        <i val="0"/>
        <strike val="0"/>
        <condense val="0"/>
        <extend val="0"/>
        <outline val="0"/>
        <shadow val="0"/>
        <u val="none"/>
        <vertAlign val="baseline"/>
        <sz val="10"/>
        <color theme="0"/>
        <name val="Calibri"/>
        <scheme val="minor"/>
      </font>
      <numFmt numFmtId="168" formatCode="_-* #,##0_-;\-* #,##0_-;_-* &quot;-&quot;??_-;_-@_-"/>
      <fill>
        <patternFill patternType="solid">
          <fgColor indexed="64"/>
          <bgColor rgb="FF2F75B5"/>
        </patternFill>
      </fill>
    </dxf>
    <dxf>
      <font>
        <strike val="0"/>
        <outline val="0"/>
        <shadow val="0"/>
        <u val="none"/>
        <vertAlign val="baseline"/>
        <sz val="10"/>
        <name val="Calibri"/>
        <scheme val="minor"/>
      </font>
      <numFmt numFmtId="33" formatCode="_-* #,##0_-;\-* #,##0_-;_-* &quot;-&quot;_-;_-@_-"/>
      <fill>
        <patternFill patternType="none">
          <fgColor indexed="64"/>
          <bgColor indexed="65"/>
        </patternFill>
      </fill>
      <border diagonalUp="0" diagonalDown="0">
        <left style="thin">
          <color theme="0" tint="-0.14996795556505021"/>
        </left>
        <right style="thin">
          <color theme="0" tint="-0.14996795556505021"/>
        </right>
        <top style="thin">
          <color theme="0" tint="-0.14996795556505021"/>
        </top>
        <bottom style="thin">
          <color theme="0" tint="-0.14996795556505021"/>
        </bottom>
        <vertical/>
        <horizontal/>
      </border>
    </dxf>
    <dxf>
      <font>
        <b val="0"/>
        <i val="0"/>
        <strike val="0"/>
        <condense val="0"/>
        <extend val="0"/>
        <outline val="0"/>
        <shadow val="0"/>
        <u val="none"/>
        <vertAlign val="baseline"/>
        <sz val="10"/>
        <color theme="0"/>
        <name val="Calibri"/>
        <scheme val="minor"/>
      </font>
      <numFmt numFmtId="168" formatCode="_-* #,##0_-;\-* #,##0_-;_-* &quot;-&quot;??_-;_-@_-"/>
      <fill>
        <patternFill patternType="solid">
          <fgColor indexed="64"/>
          <bgColor rgb="FF2F75B5"/>
        </patternFill>
      </fill>
    </dxf>
    <dxf>
      <font>
        <strike val="0"/>
        <outline val="0"/>
        <shadow val="0"/>
        <u val="none"/>
        <vertAlign val="baseline"/>
        <sz val="10"/>
        <name val="Calibri"/>
        <scheme val="minor"/>
      </font>
      <fill>
        <patternFill patternType="none">
          <fgColor indexed="64"/>
          <bgColor indexed="65"/>
        </patternFill>
      </fill>
      <border diagonalUp="0" diagonalDown="0">
        <left style="thin">
          <color theme="0" tint="-0.14996795556505021"/>
        </left>
        <right style="thin">
          <color theme="0" tint="-0.14996795556505021"/>
        </right>
        <top style="thin">
          <color theme="0" tint="-0.14996795556505021"/>
        </top>
        <bottom style="thin">
          <color theme="0" tint="-0.14996795556505021"/>
        </bottom>
        <vertical/>
        <horizontal/>
      </border>
    </dxf>
    <dxf>
      <font>
        <b val="0"/>
        <i val="0"/>
        <strike val="0"/>
        <condense val="0"/>
        <extend val="0"/>
        <outline val="0"/>
        <shadow val="0"/>
        <u val="none"/>
        <vertAlign val="baseline"/>
        <sz val="10"/>
        <color theme="0"/>
        <name val="Calibri"/>
        <scheme val="minor"/>
      </font>
      <numFmt numFmtId="168" formatCode="_-* #,##0_-;\-* #,##0_-;_-* &quot;-&quot;??_-;_-@_-"/>
      <fill>
        <patternFill patternType="solid">
          <fgColor indexed="64"/>
          <bgColor rgb="FF2F75B5"/>
        </patternFill>
      </fill>
    </dxf>
    <dxf>
      <font>
        <strike val="0"/>
        <outline val="0"/>
        <shadow val="0"/>
        <u val="none"/>
        <vertAlign val="baseline"/>
        <sz val="10"/>
        <name val="Calibri"/>
        <scheme val="minor"/>
      </font>
      <fill>
        <patternFill patternType="none">
          <fgColor indexed="64"/>
          <bgColor indexed="65"/>
        </patternFill>
      </fill>
      <border diagonalUp="0" diagonalDown="0">
        <left style="thin">
          <color theme="0" tint="-0.14996795556505021"/>
        </left>
        <right style="thin">
          <color theme="0" tint="-0.14996795556505021"/>
        </right>
        <top style="thin">
          <color theme="0" tint="-0.14996795556505021"/>
        </top>
        <bottom style="thin">
          <color theme="0" tint="-0.14996795556505021"/>
        </bottom>
        <vertical/>
        <horizontal/>
      </border>
    </dxf>
    <dxf>
      <font>
        <b val="0"/>
        <i val="0"/>
        <strike val="0"/>
        <condense val="0"/>
        <extend val="0"/>
        <outline val="0"/>
        <shadow val="0"/>
        <u val="none"/>
        <vertAlign val="baseline"/>
        <sz val="10"/>
        <color theme="0"/>
        <name val="Calibri"/>
        <scheme val="minor"/>
      </font>
      <numFmt numFmtId="168" formatCode="_-* #,##0_-;\-* #,##0_-;_-* &quot;-&quot;??_-;_-@_-"/>
      <fill>
        <patternFill patternType="solid">
          <fgColor indexed="64"/>
          <bgColor rgb="FF2F75B5"/>
        </patternFill>
      </fill>
    </dxf>
    <dxf>
      <font>
        <color theme="1"/>
        <name val="Calibri"/>
        <scheme val="minor"/>
      </font>
      <numFmt numFmtId="168" formatCode="_-* #,##0_-;\-* #,##0_-;_-* &quot;-&quot;??_-;_-@_-"/>
      <alignment horizontal="left" vertical="center" textRotation="0" wrapText="1" indent="0" justifyLastLine="0" shrinkToFit="0" readingOrder="0"/>
      <border diagonalUp="0" diagonalDown="0">
        <left style="thin">
          <color theme="0" tint="-0.14996795556505021"/>
        </left>
        <right style="thin">
          <color theme="0" tint="-0.14996795556505021"/>
        </right>
        <top style="thin">
          <color theme="0" tint="-0.14996795556505021"/>
        </top>
        <bottom style="thin">
          <color theme="0" tint="-0.14996795556505021"/>
        </bottom>
        <vertical/>
        <horizontal/>
      </border>
    </dxf>
    <dxf>
      <font>
        <b val="0"/>
        <i val="0"/>
        <strike val="0"/>
        <condense val="0"/>
        <extend val="0"/>
        <outline val="0"/>
        <shadow val="0"/>
        <u val="none"/>
        <vertAlign val="baseline"/>
        <sz val="10"/>
        <color theme="0"/>
        <name val="Calibri"/>
        <scheme val="minor"/>
      </font>
      <numFmt numFmtId="168" formatCode="_-* #,##0_-;\-* #,##0_-;_-* &quot;-&quot;??_-;_-@_-"/>
      <fill>
        <patternFill patternType="solid">
          <fgColor indexed="64"/>
          <bgColor rgb="FF2F75B5"/>
        </patternFill>
      </fill>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i val="0"/>
        <strike val="0"/>
        <condense val="0"/>
        <extend val="0"/>
        <outline val="0"/>
        <shadow val="0"/>
        <u val="none"/>
        <vertAlign val="baseline"/>
        <sz val="10"/>
        <color theme="0"/>
        <name val="Calibri"/>
        <scheme val="minor"/>
      </font>
      <numFmt numFmtId="168" formatCode="_-* #,##0_-;\-* #,##0_-;_-* &quot;-&quot;??_-;_-@_-"/>
      <fill>
        <patternFill patternType="solid">
          <fgColor indexed="64"/>
          <bgColor rgb="FF2F75B5"/>
        </patternFill>
      </fill>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i val="0"/>
        <strike val="0"/>
        <condense val="0"/>
        <extend val="0"/>
        <outline val="0"/>
        <shadow val="0"/>
        <u val="none"/>
        <vertAlign val="baseline"/>
        <sz val="10"/>
        <color theme="0"/>
        <name val="Calibri"/>
        <scheme val="minor"/>
      </font>
      <numFmt numFmtId="168" formatCode="_-* #,##0_-;\-* #,##0_-;_-* &quot;-&quot;??_-;_-@_-"/>
      <fill>
        <patternFill patternType="solid">
          <fgColor indexed="64"/>
          <bgColor rgb="FF2F75B5"/>
        </patternFill>
      </fill>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i val="0"/>
        <strike val="0"/>
        <condense val="0"/>
        <extend val="0"/>
        <outline val="0"/>
        <shadow val="0"/>
        <u val="none"/>
        <vertAlign val="baseline"/>
        <sz val="10"/>
        <color theme="0"/>
        <name val="Calibri"/>
        <scheme val="minor"/>
      </font>
      <numFmt numFmtId="168" formatCode="_-* #,##0_-;\-* #,##0_-;_-* &quot;-&quot;??_-;_-@_-"/>
      <fill>
        <patternFill patternType="solid">
          <fgColor indexed="64"/>
          <bgColor rgb="FF2F75B5"/>
        </patternFill>
      </fill>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i val="0"/>
        <strike val="0"/>
        <condense val="0"/>
        <extend val="0"/>
        <outline val="0"/>
        <shadow val="0"/>
        <u val="none"/>
        <vertAlign val="baseline"/>
        <sz val="10"/>
        <color theme="0"/>
        <name val="Calibri"/>
        <scheme val="minor"/>
      </font>
      <numFmt numFmtId="168" formatCode="_-* #,##0_-;\-* #,##0_-;_-* &quot;-&quot;??_-;_-@_-"/>
      <fill>
        <patternFill patternType="solid">
          <fgColor indexed="64"/>
          <bgColor rgb="FF2F75B5"/>
        </patternFill>
      </fill>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i val="0"/>
        <strike val="0"/>
        <condense val="0"/>
        <extend val="0"/>
        <outline val="0"/>
        <shadow val="0"/>
        <u val="none"/>
        <vertAlign val="baseline"/>
        <sz val="10"/>
        <color theme="0"/>
        <name val="Calibri"/>
        <scheme val="minor"/>
      </font>
      <numFmt numFmtId="168" formatCode="_-* #,##0_-;\-* #,##0_-;_-* &quot;-&quot;??_-;_-@_-"/>
      <fill>
        <patternFill patternType="solid">
          <fgColor indexed="64"/>
          <bgColor rgb="FF2F75B5"/>
        </patternFill>
      </fill>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i val="0"/>
        <strike val="0"/>
        <condense val="0"/>
        <extend val="0"/>
        <outline val="0"/>
        <shadow val="0"/>
        <u val="none"/>
        <vertAlign val="baseline"/>
        <sz val="10"/>
        <color theme="0"/>
        <name val="Calibri"/>
        <scheme val="minor"/>
      </font>
      <numFmt numFmtId="168" formatCode="_-* #,##0_-;\-* #,##0_-;_-* &quot;-&quot;??_-;_-@_-"/>
      <fill>
        <patternFill patternType="solid">
          <fgColor indexed="64"/>
          <bgColor rgb="FF2F75B5"/>
        </patternFill>
      </fill>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i val="0"/>
        <strike val="0"/>
        <condense val="0"/>
        <extend val="0"/>
        <outline val="0"/>
        <shadow val="0"/>
        <u val="none"/>
        <vertAlign val="baseline"/>
        <sz val="10"/>
        <color theme="0"/>
        <name val="Calibri"/>
        <scheme val="minor"/>
      </font>
      <numFmt numFmtId="168" formatCode="_-* #,##0_-;\-* #,##0_-;_-* &quot;-&quot;??_-;_-@_-"/>
      <fill>
        <patternFill patternType="solid">
          <fgColor indexed="64"/>
          <bgColor rgb="FF2F75B5"/>
        </patternFill>
      </fill>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i val="0"/>
        <strike val="0"/>
        <condense val="0"/>
        <extend val="0"/>
        <outline val="0"/>
        <shadow val="0"/>
        <u val="none"/>
        <vertAlign val="baseline"/>
        <sz val="10"/>
        <color theme="0"/>
        <name val="Calibri"/>
        <scheme val="minor"/>
      </font>
      <numFmt numFmtId="168" formatCode="_-* #,##0_-;\-* #,##0_-;_-* &quot;-&quot;??_-;_-@_-"/>
      <fill>
        <patternFill patternType="solid">
          <fgColor indexed="64"/>
          <bgColor rgb="FF2F75B5"/>
        </patternFill>
      </fill>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i val="0"/>
        <strike val="0"/>
        <condense val="0"/>
        <extend val="0"/>
        <outline val="0"/>
        <shadow val="0"/>
        <u val="none"/>
        <vertAlign val="baseline"/>
        <sz val="10"/>
        <color theme="0"/>
        <name val="Calibri"/>
        <scheme val="minor"/>
      </font>
      <numFmt numFmtId="168" formatCode="_-* #,##0_-;\-* #,##0_-;_-* &quot;-&quot;??_-;_-@_-"/>
      <fill>
        <patternFill patternType="solid">
          <fgColor indexed="64"/>
          <bgColor rgb="FF2F75B5"/>
        </patternFill>
      </fill>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i val="0"/>
        <strike val="0"/>
        <condense val="0"/>
        <extend val="0"/>
        <outline val="0"/>
        <shadow val="0"/>
        <u val="none"/>
        <vertAlign val="baseline"/>
        <sz val="10"/>
        <color theme="0"/>
        <name val="Calibri"/>
        <scheme val="minor"/>
      </font>
      <numFmt numFmtId="168" formatCode="_-* #,##0_-;\-* #,##0_-;_-* &quot;-&quot;??_-;_-@_-"/>
      <fill>
        <patternFill patternType="solid">
          <fgColor indexed="64"/>
          <bgColor rgb="FF2F75B5"/>
        </patternFill>
      </fill>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i val="0"/>
        <strike val="0"/>
        <condense val="0"/>
        <extend val="0"/>
        <outline val="0"/>
        <shadow val="0"/>
        <u val="none"/>
        <vertAlign val="baseline"/>
        <sz val="10"/>
        <color theme="0"/>
        <name val="Calibri"/>
        <scheme val="minor"/>
      </font>
      <numFmt numFmtId="168" formatCode="_-* #,##0_-;\-* #,##0_-;_-* &quot;-&quot;??_-;_-@_-"/>
      <fill>
        <patternFill patternType="solid">
          <fgColor indexed="64"/>
          <bgColor rgb="FF2F75B5"/>
        </patternFill>
      </fill>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i val="0"/>
        <strike val="0"/>
        <condense val="0"/>
        <extend val="0"/>
        <outline val="0"/>
        <shadow val="0"/>
        <u val="none"/>
        <vertAlign val="baseline"/>
        <sz val="10"/>
        <color theme="0"/>
        <name val="Calibri"/>
        <scheme val="minor"/>
      </font>
      <fill>
        <patternFill patternType="solid">
          <fgColor indexed="64"/>
          <bgColor rgb="FF2F75B5"/>
        </patternFill>
      </fill>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i val="0"/>
        <strike val="0"/>
        <condense val="0"/>
        <extend val="0"/>
        <outline val="0"/>
        <shadow val="0"/>
        <u val="none"/>
        <vertAlign val="baseline"/>
        <sz val="10"/>
        <color theme="0"/>
        <name val="Calibri"/>
        <scheme val="minor"/>
      </font>
      <fill>
        <patternFill patternType="solid">
          <fgColor indexed="64"/>
          <bgColor rgb="FF2F75B5"/>
        </patternFill>
      </fill>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i val="0"/>
        <strike val="0"/>
        <condense val="0"/>
        <extend val="0"/>
        <outline val="0"/>
        <shadow val="0"/>
        <u val="none"/>
        <vertAlign val="baseline"/>
        <sz val="10"/>
        <color theme="0"/>
        <name val="Calibri"/>
        <scheme val="minor"/>
      </font>
      <fill>
        <patternFill patternType="solid">
          <fgColor indexed="64"/>
          <bgColor rgb="FF2F75B5"/>
        </patternFill>
      </fill>
      <alignment horizontal="left" vertical="bottom" textRotation="0" wrapText="0" indent="0" justifyLastLine="0" shrinkToFit="0" readingOrder="0"/>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i val="0"/>
        <strike val="0"/>
        <condense val="0"/>
        <extend val="0"/>
        <outline val="0"/>
        <shadow val="0"/>
        <u val="none"/>
        <vertAlign val="baseline"/>
        <sz val="10"/>
        <color theme="0"/>
        <name val="Calibri"/>
        <scheme val="minor"/>
      </font>
      <fill>
        <patternFill patternType="solid">
          <fgColor indexed="64"/>
          <bgColor rgb="FF2F75B5"/>
        </patternFill>
      </fill>
      <alignment horizontal="left" vertical="bottom" textRotation="0" wrapText="0" indent="0" justifyLastLine="0" shrinkToFit="0" readingOrder="0"/>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strike val="0"/>
        <outline val="0"/>
        <shadow val="0"/>
        <u val="none"/>
        <vertAlign val="baseline"/>
        <sz val="10"/>
        <color theme="0"/>
        <name val="Calibri"/>
        <scheme val="minor"/>
      </font>
      <fill>
        <patternFill patternType="solid">
          <fgColor indexed="64"/>
          <bgColor rgb="FF2F75B5"/>
        </patternFill>
      </fill>
    </dxf>
    <dxf>
      <font>
        <strike val="0"/>
        <outline val="0"/>
        <shadow val="0"/>
        <u val="none"/>
        <vertAlign val="baseline"/>
        <sz val="10"/>
        <name val="Calibri"/>
        <scheme val="minor"/>
      </font>
      <fill>
        <patternFill patternType="none">
          <fgColor indexed="64"/>
          <bgColor indexed="65"/>
        </patternFill>
      </fill>
    </dxf>
    <dxf>
      <font>
        <b val="0"/>
        <i val="0"/>
        <strike val="0"/>
        <condense val="0"/>
        <extend val="0"/>
        <outline val="0"/>
        <shadow val="0"/>
        <u val="none"/>
        <vertAlign val="baseline"/>
        <sz val="10"/>
        <color theme="0"/>
        <name val="Calibri"/>
        <scheme val="minor"/>
      </font>
      <fill>
        <patternFill patternType="solid">
          <fgColor indexed="64"/>
          <bgColor rgb="FF2F75B5"/>
        </patternFill>
      </fill>
      <alignment horizontal="center" vertical="center" textRotation="0" wrapText="1" indent="0" justifyLastLine="0" shrinkToFit="0" readingOrder="0"/>
      <border diagonalUp="0" diagonalDown="0">
        <left style="thin">
          <color theme="0" tint="-0.14996795556505021"/>
        </left>
        <right style="thin">
          <color theme="0" tint="-0.14996795556505021"/>
        </right>
        <top/>
        <bottom/>
        <vertical style="thin">
          <color theme="0" tint="-0.14996795556505021"/>
        </vertical>
        <horizontal style="thin">
          <color theme="0" tint="-0.14996795556505021"/>
        </horizontal>
      </border>
    </dxf>
    <dxf>
      <font>
        <b val="0"/>
        <i val="0"/>
        <strike val="0"/>
        <condense val="0"/>
        <extend val="0"/>
        <outline val="0"/>
        <shadow val="0"/>
        <u val="none"/>
        <vertAlign val="baseline"/>
        <sz val="9"/>
        <color theme="1"/>
        <name val="Calibri"/>
        <scheme val="minor"/>
      </font>
      <numFmt numFmtId="168" formatCode="_-* #,##0_-;\-* #,##0_-;_-* &quot;-&quot;??_-;_-@_-"/>
      <fill>
        <patternFill patternType="none">
          <fgColor indexed="64"/>
          <bgColor auto="1"/>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33" formatCode="_-* #,##0_-;\-* #,##0_-;_-* &quot;-&quot;_-;_-@_-"/>
    </dxf>
    <dxf>
      <font>
        <b val="0"/>
        <i val="0"/>
        <strike val="0"/>
        <condense val="0"/>
        <extend val="0"/>
        <outline val="0"/>
        <shadow val="0"/>
        <u val="none"/>
        <vertAlign val="baseline"/>
        <sz val="9"/>
        <color theme="1"/>
        <name val="Calibri"/>
        <scheme val="minor"/>
      </font>
      <numFmt numFmtId="172" formatCode="_-&quot;$&quot;* #,##0_-;\-&quot;$&quot;* #,##0_-;_-&quot;$&quot;* &quot;-&quot;??_-;_-@_-"/>
      <fill>
        <patternFill patternType="none">
          <fgColor indexed="64"/>
          <bgColor auto="1"/>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33" formatCode="_-* #,##0_-;\-* #,##0_-;_-* &quot;-&quot;_-;_-@_-"/>
    </dxf>
    <dxf>
      <font>
        <b val="0"/>
        <i val="0"/>
        <strike val="0"/>
        <condense val="0"/>
        <extend val="0"/>
        <outline val="0"/>
        <shadow val="0"/>
        <u val="none"/>
        <vertAlign val="baseline"/>
        <sz val="9"/>
        <color theme="1"/>
        <name val="Calibri"/>
        <scheme val="minor"/>
      </font>
      <numFmt numFmtId="172" formatCode="_-&quot;$&quot;* #,##0_-;\-&quot;$&quot;* #,##0_-;_-&quot;$&quot;* &quot;-&quot;??_-;_-@_-"/>
      <fill>
        <patternFill patternType="none">
          <fgColor indexed="64"/>
          <bgColor auto="1"/>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33" formatCode="_-* #,##0_-;\-* #,##0_-;_-* &quot;-&quot;_-;_-@_-"/>
    </dxf>
    <dxf>
      <font>
        <b val="0"/>
        <i val="0"/>
        <strike val="0"/>
        <condense val="0"/>
        <extend val="0"/>
        <outline val="0"/>
        <shadow val="0"/>
        <u val="none"/>
        <vertAlign val="baseline"/>
        <sz val="9"/>
        <color theme="1"/>
        <name val="Calibri"/>
        <scheme val="minor"/>
      </font>
      <numFmt numFmtId="172" formatCode="_-&quot;$&quot;* #,##0_-;\-&quot;$&quot;* #,##0_-;_-&quot;$&quot;* &quot;-&quot;??_-;_-@_-"/>
      <fill>
        <patternFill patternType="none">
          <fgColor indexed="64"/>
          <bgColor auto="1"/>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33" formatCode="_-* #,##0_-;\-* #,##0_-;_-* &quot;-&quot;_-;_-@_-"/>
    </dxf>
    <dxf>
      <font>
        <b val="0"/>
        <i val="0"/>
        <strike val="0"/>
        <condense val="0"/>
        <extend val="0"/>
        <outline val="0"/>
        <shadow val="0"/>
        <u val="none"/>
        <vertAlign val="baseline"/>
        <sz val="9"/>
        <color theme="1"/>
        <name val="Calibri"/>
        <scheme val="minor"/>
      </font>
      <numFmt numFmtId="172" formatCode="_-&quot;$&quot;* #,##0_-;\-&quot;$&quot;* #,##0_-;_-&quot;$&quot;* &quot;-&quot;??_-;_-@_-"/>
      <fill>
        <patternFill patternType="none">
          <fgColor indexed="64"/>
          <bgColor auto="1"/>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33" formatCode="_-* #,##0_-;\-* #,##0_-;_-* &quot;-&quot;_-;_-@_-"/>
    </dxf>
    <dxf>
      <font>
        <b val="0"/>
        <i val="0"/>
        <strike val="0"/>
        <condense val="0"/>
        <extend val="0"/>
        <outline val="0"/>
        <shadow val="0"/>
        <u val="none"/>
        <vertAlign val="baseline"/>
        <sz val="9"/>
        <color theme="1"/>
        <name val="Calibri"/>
        <scheme val="minor"/>
      </font>
      <numFmt numFmtId="172" formatCode="_-&quot;$&quot;* #,##0_-;\-&quot;$&quot;* #,##0_-;_-&quot;$&quot;* &quot;-&quot;??_-;_-@_-"/>
      <fill>
        <patternFill patternType="none">
          <fgColor indexed="64"/>
          <bgColor auto="1"/>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33" formatCode="_-* #,##0_-;\-* #,##0_-;_-* &quot;-&quot;_-;_-@_-"/>
    </dxf>
    <dxf>
      <font>
        <b val="0"/>
        <i val="0"/>
        <strike val="0"/>
        <condense val="0"/>
        <extend val="0"/>
        <outline val="0"/>
        <shadow val="0"/>
        <u val="none"/>
        <vertAlign val="baseline"/>
        <sz val="9"/>
        <color theme="1"/>
        <name val="Calibri"/>
        <scheme val="minor"/>
      </font>
      <numFmt numFmtId="172" formatCode="_-&quot;$&quot;* #,##0_-;\-&quot;$&quot;* #,##0_-;_-&quot;$&quot;* &quot;-&quot;??_-;_-@_-"/>
      <fill>
        <patternFill patternType="none">
          <fgColor indexed="64"/>
          <bgColor auto="1"/>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33" formatCode="_-* #,##0_-;\-* #,##0_-;_-* &quot;-&quot;_-;_-@_-"/>
    </dxf>
    <dxf>
      <font>
        <b val="0"/>
        <i val="0"/>
        <strike val="0"/>
        <condense val="0"/>
        <extend val="0"/>
        <outline val="0"/>
        <shadow val="0"/>
        <u val="none"/>
        <vertAlign val="baseline"/>
        <sz val="9"/>
        <color theme="1"/>
        <name val="Calibri"/>
        <scheme val="minor"/>
      </font>
      <numFmt numFmtId="172" formatCode="_-&quot;$&quot;* #,##0_-;\-&quot;$&quot;* #,##0_-;_-&quot;$&quot;* &quot;-&quot;??_-;_-@_-"/>
      <fill>
        <patternFill patternType="none">
          <fgColor indexed="64"/>
          <bgColor auto="1"/>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72" formatCode="_-&quot;$&quot;* #,##0_-;\-&quot;$&quot;* #,##0_-;_-&quot;$&quot;* &quot;-&quot;??_-;_-@_-"/>
      <fill>
        <patternFill patternType="solid">
          <fgColor indexed="64"/>
          <bgColor theme="0"/>
        </patternFill>
      </fill>
      <alignment horizontal="righ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Calibri"/>
        <scheme val="minor"/>
      </font>
      <numFmt numFmtId="172" formatCode="_-&quot;$&quot;* #,##0_-;\-&quot;$&quot;* #,##0_-;_-&quot;$&quot;* &quot;-&quot;??_-;_-@_-"/>
      <fill>
        <patternFill patternType="none">
          <fgColor indexed="64"/>
          <bgColor auto="1"/>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72" formatCode="_-&quot;$&quot;* #,##0_-;\-&quot;$&quot;* #,##0_-;_-&quot;$&quot;* &quot;-&quot;??_-;_-@_-"/>
      <fill>
        <patternFill patternType="solid">
          <fgColor indexed="64"/>
          <bgColor theme="0"/>
        </patternFill>
      </fill>
      <alignment horizontal="righ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Calibri"/>
        <scheme val="minor"/>
      </font>
      <numFmt numFmtId="172" formatCode="_-&quot;$&quot;* #,##0_-;\-&quot;$&quot;* #,##0_-;_-&quot;$&quot;* &quot;-&quot;??_-;_-@_-"/>
      <fill>
        <patternFill patternType="none">
          <fgColor indexed="64"/>
          <bgColor auto="1"/>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72" formatCode="_-&quot;$&quot;* #,##0_-;\-&quot;$&quot;* #,##0_-;_-&quot;$&quot;* &quot;-&quot;??_-;_-@_-"/>
      <fill>
        <patternFill patternType="solid">
          <fgColor indexed="64"/>
          <bgColor theme="0"/>
        </patternFill>
      </fill>
      <alignment horizontal="right" vertical="center" textRotation="0" wrapText="1" indent="0" justifyLastLine="0" shrinkToFit="0" readingOrder="0"/>
      <border diagonalUp="0" diagonalDown="0" outline="0">
        <left style="thin">
          <color indexed="64"/>
        </left>
        <right style="thin">
          <color indexed="64"/>
        </right>
        <top/>
        <bottom/>
      </border>
    </dxf>
    <dxf>
      <font>
        <sz val="9"/>
        <color theme="1"/>
        <name val="Calibri"/>
        <scheme val="minor"/>
      </font>
      <numFmt numFmtId="172" formatCode="_-&quot;$&quot;* #,##0_-;\-&quot;$&quot;* #,##0_-;_-&quot;$&quot;* &quot;-&quot;??_-;_-@_-"/>
      <fill>
        <patternFill patternType="none">
          <fgColor indexed="64"/>
          <bgColor auto="1"/>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72" formatCode="_-&quot;$&quot;* #,##0_-;\-&quot;$&quot;* #,##0_-;_-&quot;$&quot;* &quot;-&quot;??_-;_-@_-"/>
      <fill>
        <patternFill patternType="solid">
          <fgColor indexed="64"/>
          <bgColor theme="0"/>
        </patternFill>
      </fill>
      <alignment horizontal="righ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auto="1"/>
        <name val="Calibri"/>
        <scheme val="minor"/>
      </font>
      <numFmt numFmtId="172" formatCode="_-&quot;$&quot;* #,##0_-;\-&quot;$&quot;* #,##0_-;_-&quot;$&quot;* &quot;-&quot;??_-;_-@_-"/>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72" formatCode="_-&quot;$&quot;* #,##0_-;\-&quot;$&quot;* #,##0_-;_-&quot;$&quot;* &quot;-&quot;??_-;_-@_-"/>
      <fill>
        <patternFill patternType="solid">
          <fgColor indexed="64"/>
          <bgColor theme="0"/>
        </patternFill>
      </fill>
      <alignment horizontal="righ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auto="1"/>
        <name val="Calibri"/>
        <scheme val="minor"/>
      </font>
      <numFmt numFmtId="172" formatCode="_-&quot;$&quot;* #,##0_-;\-&quot;$&quot;* #,##0_-;_-&quot;$&quot;* &quot;-&quot;??_-;_-@_-"/>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72" formatCode="_-&quot;$&quot;* #,##0_-;\-&quot;$&quot;* #,##0_-;_-&quot;$&quot;* &quot;-&quot;??_-;_-@_-"/>
      <fill>
        <patternFill patternType="solid">
          <fgColor indexed="64"/>
          <bgColor theme="0"/>
        </patternFill>
      </fill>
      <alignment horizontal="right" vertical="center" textRotation="0" wrapText="1" indent="0" justifyLastLine="0" shrinkToFit="0" readingOrder="0"/>
      <border diagonalUp="0" diagonalDown="0" outline="0">
        <left style="thin">
          <color indexed="64"/>
        </left>
        <right style="thin">
          <color indexed="64"/>
        </right>
        <top/>
        <bottom/>
      </border>
    </dxf>
    <dxf>
      <font>
        <sz val="9"/>
        <name val="Calibri"/>
        <scheme val="minor"/>
      </font>
      <numFmt numFmtId="172" formatCode="_-&quot;$&quot;* #,##0_-;\-&quot;$&quot;* #,##0_-;_-&quot;$&quot;* &quot;-&quot;??_-;_-@_-"/>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Calibri"/>
        <scheme val="minor"/>
      </font>
      <numFmt numFmtId="14" formatCode="0.00%"/>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Calibri"/>
        <scheme val="minor"/>
      </font>
      <numFmt numFmtId="3" formatCode="#,##0"/>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alignment horizontal="general" vertical="bottom"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9"/>
        <color auto="1"/>
        <name val="Calibri"/>
        <scheme val="minor"/>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font>
        <strike val="0"/>
        <outline val="0"/>
        <shadow val="0"/>
        <u val="none"/>
        <vertAlign val="baseline"/>
        <sz val="10"/>
      </font>
    </dxf>
    <dxf>
      <border outline="0">
        <left style="thin">
          <color rgb="FF000000"/>
        </left>
      </border>
    </dxf>
    <dxf>
      <fill>
        <patternFill patternType="none">
          <fgColor indexed="64"/>
          <bgColor auto="1"/>
        </patternFill>
      </fill>
    </dxf>
    <dxf>
      <font>
        <b/>
        <i val="0"/>
        <strike val="0"/>
        <condense val="0"/>
        <extend val="0"/>
        <outline val="0"/>
        <shadow val="0"/>
        <u val="none"/>
        <vertAlign val="baseline"/>
        <sz val="11"/>
        <color theme="0"/>
        <name val="Arial     "/>
        <scheme val="none"/>
      </font>
      <fill>
        <patternFill patternType="solid">
          <fgColor indexed="64"/>
          <bgColor theme="0" tint="-0.499984740745262"/>
        </patternFill>
      </fill>
      <alignment horizontal="center" vertical="center" textRotation="0" wrapText="1" indent="0" justifyLastLine="0" shrinkToFit="0" readingOrder="0"/>
    </dxf>
  </dxfs>
  <tableStyles count="0" defaultTableStyle="TableStyleMedium2" defaultPivotStyle="PivotStyleLight16"/>
  <colors>
    <mruColors>
      <color rgb="FF2F75B5"/>
      <color rgb="FF178352"/>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baseline="0">
                <a:solidFill>
                  <a:sysClr val="windowText" lastClr="000000"/>
                </a:solidFill>
              </a:rPr>
              <a:t>Metodo de regresión (Precio del café)</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0"/>
          </c:trendline>
          <c:yVal>
            <c:numRef>
              <c:f>'IPC - CAFÉ'!$C$51:$C$65</c:f>
              <c:numCache>
                <c:formatCode>_-* #,##0_-;\-* #,##0_-;_-* "-"??_-;_-@_-</c:formatCode>
                <c:ptCount val="15"/>
                <c:pt idx="0">
                  <c:v>537000</c:v>
                </c:pt>
                <c:pt idx="1">
                  <c:v>660000</c:v>
                </c:pt>
                <c:pt idx="2">
                  <c:v>817000</c:v>
                </c:pt>
                <c:pt idx="3">
                  <c:v>1077000</c:v>
                </c:pt>
                <c:pt idx="4">
                  <c:v>678000</c:v>
                </c:pt>
                <c:pt idx="5">
                  <c:v>458000</c:v>
                </c:pt>
                <c:pt idx="6">
                  <c:v>754260</c:v>
                </c:pt>
                <c:pt idx="7">
                  <c:v>764000</c:v>
                </c:pt>
                <c:pt idx="8">
                  <c:v>892658</c:v>
                </c:pt>
                <c:pt idx="9">
                  <c:v>906875</c:v>
                </c:pt>
                <c:pt idx="10">
                  <c:v>859740</c:v>
                </c:pt>
                <c:pt idx="11">
                  <c:v>856387</c:v>
                </c:pt>
                <c:pt idx="12">
                  <c:v>1079099</c:v>
                </c:pt>
                <c:pt idx="13">
                  <c:v>1568154</c:v>
                </c:pt>
                <c:pt idx="14">
                  <c:v>2440000</c:v>
                </c:pt>
              </c:numCache>
            </c:numRef>
          </c:yVal>
          <c:smooth val="0"/>
          <c:extLst>
            <c:ext xmlns:c16="http://schemas.microsoft.com/office/drawing/2014/chart" uri="{C3380CC4-5D6E-409C-BE32-E72D297353CC}">
              <c16:uniqueId val="{00000000-CFB5-499C-9F7D-B9CC81197148}"/>
            </c:ext>
          </c:extLst>
        </c:ser>
        <c:dLbls>
          <c:showLegendKey val="0"/>
          <c:showVal val="0"/>
          <c:showCatName val="0"/>
          <c:showSerName val="0"/>
          <c:showPercent val="0"/>
          <c:showBubbleSize val="0"/>
        </c:dLbls>
        <c:axId val="815470456"/>
        <c:axId val="815464336"/>
      </c:scatterChart>
      <c:valAx>
        <c:axId val="815470456"/>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15464336"/>
        <c:crosses val="autoZero"/>
        <c:crossBetween val="midCat"/>
      </c:valAx>
      <c:valAx>
        <c:axId val="81546433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154704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ES" b="1">
                <a:solidFill>
                  <a:schemeClr val="tx1"/>
                </a:solidFill>
              </a:rPr>
              <a:t>Modelo</a:t>
            </a:r>
            <a:r>
              <a:rPr lang="es-ES" b="1" baseline="0">
                <a:solidFill>
                  <a:schemeClr val="tx1"/>
                </a:solidFill>
              </a:rPr>
              <a:t> logarítmico (Precio de café) </a:t>
            </a:r>
            <a:endParaRPr lang="es-ES" b="1">
              <a:solidFill>
                <a:schemeClr val="tx1"/>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E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0.18956627296587927"/>
                  <c:y val="-0.28891185476815401"/>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trendlineLbl>
          </c:trendline>
          <c:yVal>
            <c:numRef>
              <c:f>'IPC - CAFÉ'!$C$74:$C$83</c:f>
              <c:numCache>
                <c:formatCode>#,##0</c:formatCode>
                <c:ptCount val="10"/>
                <c:pt idx="0">
                  <c:v>1838032</c:v>
                </c:pt>
                <c:pt idx="1">
                  <c:v>2075285.7142857143</c:v>
                </c:pt>
                <c:pt idx="2">
                  <c:v>1993129.0322580645</c:v>
                </c:pt>
                <c:pt idx="3">
                  <c:v>1978900</c:v>
                </c:pt>
                <c:pt idx="4">
                  <c:v>1895967.7419354839</c:v>
                </c:pt>
                <c:pt idx="5">
                  <c:v>1577900</c:v>
                </c:pt>
                <c:pt idx="6">
                  <c:v>1318774.1935483871</c:v>
                </c:pt>
                <c:pt idx="7">
                  <c:v>1319096.7741935484</c:v>
                </c:pt>
                <c:pt idx="8">
                  <c:v>1285967</c:v>
                </c:pt>
                <c:pt idx="9">
                  <c:v>1475000</c:v>
                </c:pt>
              </c:numCache>
            </c:numRef>
          </c:yVal>
          <c:smooth val="0"/>
          <c:extLst>
            <c:ext xmlns:c16="http://schemas.microsoft.com/office/drawing/2014/chart" uri="{C3380CC4-5D6E-409C-BE32-E72D297353CC}">
              <c16:uniqueId val="{00000000-BEA3-4CF2-99F8-EF073ABB5A7B}"/>
            </c:ext>
          </c:extLst>
        </c:ser>
        <c:dLbls>
          <c:showLegendKey val="0"/>
          <c:showVal val="0"/>
          <c:showCatName val="0"/>
          <c:showSerName val="0"/>
          <c:showPercent val="0"/>
          <c:showBubbleSize val="0"/>
        </c:dLbls>
        <c:axId val="766541936"/>
        <c:axId val="766532576"/>
      </c:scatterChart>
      <c:valAx>
        <c:axId val="766541936"/>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6532576"/>
        <c:crosses val="autoZero"/>
        <c:crossBetween val="midCat"/>
        <c:majorUnit val="3"/>
      </c:valAx>
      <c:valAx>
        <c:axId val="766532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6541936"/>
        <c:crosses val="autoZero"/>
        <c:crossBetween val="midCat"/>
        <c:majorUnit val="5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Curva de regresión ajustada IPC</a:t>
            </a:r>
          </a:p>
        </c:rich>
      </c:tx>
      <c:layout>
        <c:manualLayout>
          <c:xMode val="edge"/>
          <c:yMode val="edge"/>
          <c:x val="0.32623704312949092"/>
          <c:y val="1.4197532014316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1.5012143526702517E-2"/>
                  <c:y val="-8.1064926692664421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trendlineLbl>
          </c:trendline>
          <c:xVal>
            <c:numRef>
              <c:f>'IPC - CAFÉ'!$A$4:$A$24</c:f>
              <c:numCache>
                <c:formatCode>General</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'IPC - CAFÉ'!$C$4:$C$24</c:f>
              <c:numCache>
                <c:formatCode>0.00%</c:formatCode>
                <c:ptCount val="21"/>
                <c:pt idx="0">
                  <c:v>5.5E-2</c:v>
                </c:pt>
                <c:pt idx="1">
                  <c:v>4.8500000000000001E-2</c:v>
                </c:pt>
                <c:pt idx="2">
                  <c:v>4.48E-2</c:v>
                </c:pt>
                <c:pt idx="3">
                  <c:v>5.6899999999999999E-2</c:v>
                </c:pt>
                <c:pt idx="4">
                  <c:v>7.6700000000000004E-2</c:v>
                </c:pt>
                <c:pt idx="5">
                  <c:v>0.02</c:v>
                </c:pt>
                <c:pt idx="6">
                  <c:v>3.1699999999999999E-2</c:v>
                </c:pt>
                <c:pt idx="7">
                  <c:v>3.73E-2</c:v>
                </c:pt>
                <c:pt idx="8">
                  <c:v>2.4400000000000002E-2</c:v>
                </c:pt>
                <c:pt idx="9">
                  <c:v>1.9400000000000001E-2</c:v>
                </c:pt>
                <c:pt idx="10">
                  <c:v>3.6600000000000001E-2</c:v>
                </c:pt>
                <c:pt idx="11">
                  <c:v>6.7699999999999996E-2</c:v>
                </c:pt>
                <c:pt idx="12">
                  <c:v>5.7500000000000002E-2</c:v>
                </c:pt>
                <c:pt idx="13">
                  <c:v>4.0899999999999999E-2</c:v>
                </c:pt>
                <c:pt idx="14">
                  <c:v>3.1800000000000002E-2</c:v>
                </c:pt>
                <c:pt idx="15">
                  <c:v>3.7999999999999999E-2</c:v>
                </c:pt>
                <c:pt idx="16">
                  <c:v>1.61E-2</c:v>
                </c:pt>
                <c:pt idx="17">
                  <c:v>5.62E-2</c:v>
                </c:pt>
                <c:pt idx="18">
                  <c:v>0.13120000000000001</c:v>
                </c:pt>
                <c:pt idx="19">
                  <c:v>9.2799999999999994E-2</c:v>
                </c:pt>
                <c:pt idx="20">
                  <c:v>0.06</c:v>
                </c:pt>
              </c:numCache>
            </c:numRef>
          </c:yVal>
          <c:smooth val="0"/>
          <c:extLst>
            <c:ext xmlns:c16="http://schemas.microsoft.com/office/drawing/2014/chart" uri="{C3380CC4-5D6E-409C-BE32-E72D297353CC}">
              <c16:uniqueId val="{00000001-04D1-4DDF-A74E-339F8619885C}"/>
            </c:ext>
          </c:extLst>
        </c:ser>
        <c:dLbls>
          <c:showLegendKey val="0"/>
          <c:showVal val="0"/>
          <c:showCatName val="0"/>
          <c:showSerName val="0"/>
          <c:showPercent val="0"/>
          <c:showBubbleSize val="0"/>
        </c:dLbls>
        <c:axId val="604668032"/>
        <c:axId val="604659752"/>
      </c:scatterChart>
      <c:valAx>
        <c:axId val="6046680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4659752"/>
        <c:crosses val="autoZero"/>
        <c:crossBetween val="midCat"/>
      </c:valAx>
      <c:valAx>
        <c:axId val="6046597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466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11.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12.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13.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14.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15.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16.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17.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18.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19.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2.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20.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21.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22.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23.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24.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25.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26.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27.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28.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29.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31.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32.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33.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34.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35.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36.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37.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38.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39.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4.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40.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41.xml.rels><?xml version="1.0" encoding="UTF-8" standalone="yes"?>
<Relationships xmlns="http://schemas.openxmlformats.org/package/2006/relationships"><Relationship Id="rId2" Type="http://schemas.openxmlformats.org/officeDocument/2006/relationships/hyperlink" Target="#'Flujo de caja detallado'!A1"/><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hyperlink" Target="#'Flujo de caja detallado'!A1"/><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44.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5.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6.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7.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8.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_rels/drawing9.xml.rels><?xml version="1.0" encoding="UTF-8" standalone="yes"?>
<Relationships xmlns="http://schemas.openxmlformats.org/package/2006/relationships"><Relationship Id="rId1" Type="http://schemas.openxmlformats.org/officeDocument/2006/relationships/hyperlink" Target="#'Flujo de caja detallado'!A1"/></Relationships>
</file>

<file path=xl/drawings/drawing1.xml><?xml version="1.0" encoding="utf-8"?>
<xdr:wsDr xmlns:xdr="http://schemas.openxmlformats.org/drawingml/2006/spreadsheetDrawing" xmlns:a="http://schemas.openxmlformats.org/drawingml/2006/main">
  <xdr:twoCellAnchor editAs="absolute">
    <xdr:from>
      <xdr:col>6</xdr:col>
      <xdr:colOff>1000991</xdr:colOff>
      <xdr:row>39</xdr:row>
      <xdr:rowOff>19916</xdr:rowOff>
    </xdr:from>
    <xdr:to>
      <xdr:col>8</xdr:col>
      <xdr:colOff>300470</xdr:colOff>
      <xdr:row>44</xdr:row>
      <xdr:rowOff>57150</xdr:rowOff>
    </xdr:to>
    <xdr:sp macro="" textlink="">
      <xdr:nvSpPr>
        <xdr:cNvPr id="2" name="Text Box 47" hidden="1">
          <a:extLst>
            <a:ext uri="{FF2B5EF4-FFF2-40B4-BE49-F238E27FC236}">
              <a16:creationId xmlns:a16="http://schemas.microsoft.com/office/drawing/2014/main" id="{D24BDCD5-1480-4110-8E26-8A048E800636}"/>
            </a:ext>
          </a:extLst>
        </xdr:cNvPr>
        <xdr:cNvSpPr txBox="1">
          <a:spLocks noChangeArrowheads="1"/>
        </xdr:cNvSpPr>
      </xdr:nvSpPr>
      <xdr:spPr bwMode="auto">
        <a:xfrm>
          <a:off x="7724775" y="6877050"/>
          <a:ext cx="1390650" cy="847725"/>
        </a:xfrm>
        <a:prstGeom prst="rect">
          <a:avLst/>
        </a:prstGeom>
        <a:solidFill>
          <a:srgbClr xmlns:mc="http://schemas.openxmlformats.org/markup-compatibility/2006" xmlns:a14="http://schemas.microsoft.com/office/drawing/2010/main" val="FFFFE1" mc:Ignorable="a14" a14:legacySpreadsheetColorIndex="80"/>
        </a:solidFill>
        <a:ln w="9525">
          <a:solidFill>
            <a:srgbClr val="510000"/>
          </a:solidFill>
          <a:miter lim="8000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266700</xdr:colOff>
      <xdr:row>2</xdr:row>
      <xdr:rowOff>123825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AA8B4503-9351-478E-BFCA-B476ED3096E6}"/>
            </a:ext>
          </a:extLst>
        </xdr:cNvPr>
        <xdr:cNvSpPr/>
      </xdr:nvSpPr>
      <xdr:spPr>
        <a:xfrm>
          <a:off x="0" y="0"/>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0</xdr:row>
      <xdr:rowOff>38100</xdr:rowOff>
    </xdr:from>
    <xdr:to>
      <xdr:col>2</xdr:col>
      <xdr:colOff>266700</xdr:colOff>
      <xdr:row>3</xdr:row>
      <xdr:rowOff>66675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A8272DC0-A558-4D85-A611-E196364BEACC}"/>
            </a:ext>
          </a:extLst>
        </xdr:cNvPr>
        <xdr:cNvSpPr/>
      </xdr:nvSpPr>
      <xdr:spPr>
        <a:xfrm>
          <a:off x="95250" y="38100"/>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0</xdr:colOff>
      <xdr:row>23</xdr:row>
      <xdr:rowOff>0</xdr:rowOff>
    </xdr:from>
    <xdr:to>
      <xdr:col>9</xdr:col>
      <xdr:colOff>209550</xdr:colOff>
      <xdr:row>25</xdr:row>
      <xdr:rowOff>133350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EC2BEDFD-7C1D-40D4-9171-A4B9F0DC9C59}"/>
            </a:ext>
          </a:extLst>
        </xdr:cNvPr>
        <xdr:cNvSpPr/>
      </xdr:nvSpPr>
      <xdr:spPr>
        <a:xfrm>
          <a:off x="6715125" y="4581525"/>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152400</xdr:colOff>
      <xdr:row>0</xdr:row>
      <xdr:rowOff>66675</xdr:rowOff>
    </xdr:from>
    <xdr:to>
      <xdr:col>34</xdr:col>
      <xdr:colOff>409575</xdr:colOff>
      <xdr:row>3</xdr:row>
      <xdr:rowOff>9525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9EDB1AAD-C121-4838-9BF0-FA3E243B408A}"/>
            </a:ext>
          </a:extLst>
        </xdr:cNvPr>
        <xdr:cNvSpPr/>
      </xdr:nvSpPr>
      <xdr:spPr>
        <a:xfrm>
          <a:off x="152400" y="66675"/>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66675</xdr:colOff>
      <xdr:row>2</xdr:row>
      <xdr:rowOff>19050</xdr:rowOff>
    </xdr:from>
    <xdr:to>
      <xdr:col>1</xdr:col>
      <xdr:colOff>1581150</xdr:colOff>
      <xdr:row>5</xdr:row>
      <xdr:rowOff>47625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4C9F74B4-17BC-4153-B46D-8E0FB5FDC610}"/>
            </a:ext>
          </a:extLst>
        </xdr:cNvPr>
        <xdr:cNvSpPr/>
      </xdr:nvSpPr>
      <xdr:spPr>
        <a:xfrm>
          <a:off x="66675" y="342900"/>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733425</xdr:colOff>
      <xdr:row>16</xdr:row>
      <xdr:rowOff>9525</xdr:rowOff>
    </xdr:from>
    <xdr:to>
      <xdr:col>3</xdr:col>
      <xdr:colOff>409575</xdr:colOff>
      <xdr:row>19</xdr:row>
      <xdr:rowOff>38100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5FC289FF-3BDC-48FE-8357-88B9C9A55F95}"/>
            </a:ext>
          </a:extLst>
        </xdr:cNvPr>
        <xdr:cNvSpPr/>
      </xdr:nvSpPr>
      <xdr:spPr>
        <a:xfrm>
          <a:off x="733425" y="2714625"/>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752475</xdr:colOff>
      <xdr:row>17</xdr:row>
      <xdr:rowOff>28575</xdr:rowOff>
    </xdr:from>
    <xdr:to>
      <xdr:col>3</xdr:col>
      <xdr:colOff>428625</xdr:colOff>
      <xdr:row>20</xdr:row>
      <xdr:rowOff>57150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E9311EA-F33F-4828-95F1-3A72759CD5C8}"/>
            </a:ext>
          </a:extLst>
        </xdr:cNvPr>
        <xdr:cNvSpPr/>
      </xdr:nvSpPr>
      <xdr:spPr>
        <a:xfrm>
          <a:off x="752475" y="2895600"/>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57150</xdr:colOff>
      <xdr:row>17</xdr:row>
      <xdr:rowOff>38100</xdr:rowOff>
    </xdr:from>
    <xdr:to>
      <xdr:col>3</xdr:col>
      <xdr:colOff>495300</xdr:colOff>
      <xdr:row>20</xdr:row>
      <xdr:rowOff>66675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C15D0B88-FFAA-40E8-A38A-B4F5FDD1AE57}"/>
            </a:ext>
          </a:extLst>
        </xdr:cNvPr>
        <xdr:cNvSpPr/>
      </xdr:nvSpPr>
      <xdr:spPr>
        <a:xfrm>
          <a:off x="342900" y="2962275"/>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733425</xdr:colOff>
      <xdr:row>12</xdr:row>
      <xdr:rowOff>76200</xdr:rowOff>
    </xdr:from>
    <xdr:to>
      <xdr:col>3</xdr:col>
      <xdr:colOff>409575</xdr:colOff>
      <xdr:row>15</xdr:row>
      <xdr:rowOff>104775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38ECF514-44F2-484C-AF05-128D946F1006}"/>
            </a:ext>
          </a:extLst>
        </xdr:cNvPr>
        <xdr:cNvSpPr/>
      </xdr:nvSpPr>
      <xdr:spPr>
        <a:xfrm>
          <a:off x="733425" y="2162175"/>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19</xdr:row>
      <xdr:rowOff>47625</xdr:rowOff>
    </xdr:from>
    <xdr:to>
      <xdr:col>4</xdr:col>
      <xdr:colOff>238125</xdr:colOff>
      <xdr:row>22</xdr:row>
      <xdr:rowOff>76200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37707F8-1F42-4AC1-91D6-902CB935C1C3}"/>
            </a:ext>
          </a:extLst>
        </xdr:cNvPr>
        <xdr:cNvSpPr/>
      </xdr:nvSpPr>
      <xdr:spPr>
        <a:xfrm>
          <a:off x="762000" y="3209925"/>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296334</xdr:colOff>
      <xdr:row>18</xdr:row>
      <xdr:rowOff>0</xdr:rowOff>
    </xdr:from>
    <xdr:to>
      <xdr:col>11</xdr:col>
      <xdr:colOff>93134</xdr:colOff>
      <xdr:row>20</xdr:row>
      <xdr:rowOff>142875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68D8B336-9121-4DA7-9C3C-5061497B5C55}"/>
            </a:ext>
          </a:extLst>
        </xdr:cNvPr>
        <xdr:cNvSpPr/>
      </xdr:nvSpPr>
      <xdr:spPr>
        <a:xfrm>
          <a:off x="296334" y="3513667"/>
          <a:ext cx="2209800" cy="523875"/>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123825</xdr:colOff>
      <xdr:row>0</xdr:row>
      <xdr:rowOff>85725</xdr:rowOff>
    </xdr:from>
    <xdr:to>
      <xdr:col>34</xdr:col>
      <xdr:colOff>381000</xdr:colOff>
      <xdr:row>3</xdr:row>
      <xdr:rowOff>19050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68BD4A2-E934-4CB2-9E0C-7388992A93BA}"/>
            </a:ext>
          </a:extLst>
        </xdr:cNvPr>
        <xdr:cNvSpPr/>
      </xdr:nvSpPr>
      <xdr:spPr>
        <a:xfrm>
          <a:off x="123825" y="85725"/>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0</xdr:row>
      <xdr:rowOff>123825</xdr:rowOff>
    </xdr:from>
    <xdr:to>
      <xdr:col>6</xdr:col>
      <xdr:colOff>19050</xdr:colOff>
      <xdr:row>3</xdr:row>
      <xdr:rowOff>66675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D656DC2C-CF52-43A4-AD34-05EA12D81FAA}"/>
            </a:ext>
          </a:extLst>
        </xdr:cNvPr>
        <xdr:cNvSpPr/>
      </xdr:nvSpPr>
      <xdr:spPr>
        <a:xfrm>
          <a:off x="66675" y="123825"/>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104775</xdr:rowOff>
    </xdr:from>
    <xdr:to>
      <xdr:col>0</xdr:col>
      <xdr:colOff>2219325</xdr:colOff>
      <xdr:row>3</xdr:row>
      <xdr:rowOff>133350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F1DEDBCE-63EA-4B59-8CE3-67FC62444019}"/>
            </a:ext>
          </a:extLst>
        </xdr:cNvPr>
        <xdr:cNvSpPr/>
      </xdr:nvSpPr>
      <xdr:spPr>
        <a:xfrm>
          <a:off x="0" y="104775"/>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142875</xdr:colOff>
      <xdr:row>29</xdr:row>
      <xdr:rowOff>0</xdr:rowOff>
    </xdr:from>
    <xdr:to>
      <xdr:col>0</xdr:col>
      <xdr:colOff>2362200</xdr:colOff>
      <xdr:row>31</xdr:row>
      <xdr:rowOff>123825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F0F170B7-05B0-4703-A5CA-EDAEBCA7EBDE}"/>
            </a:ext>
          </a:extLst>
        </xdr:cNvPr>
        <xdr:cNvSpPr/>
      </xdr:nvSpPr>
      <xdr:spPr>
        <a:xfrm>
          <a:off x="142875" y="5762625"/>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190500</xdr:colOff>
      <xdr:row>0</xdr:row>
      <xdr:rowOff>133350</xdr:rowOff>
    </xdr:from>
    <xdr:to>
      <xdr:col>1</xdr:col>
      <xdr:colOff>933450</xdr:colOff>
      <xdr:row>3</xdr:row>
      <xdr:rowOff>76200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574C83D0-D66C-4160-A34C-EC602A75DFCA}"/>
            </a:ext>
          </a:extLst>
        </xdr:cNvPr>
        <xdr:cNvSpPr/>
      </xdr:nvSpPr>
      <xdr:spPr>
        <a:xfrm>
          <a:off x="190500" y="133350"/>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142875</xdr:colOff>
      <xdr:row>0</xdr:row>
      <xdr:rowOff>85725</xdr:rowOff>
    </xdr:from>
    <xdr:to>
      <xdr:col>3</xdr:col>
      <xdr:colOff>76200</xdr:colOff>
      <xdr:row>3</xdr:row>
      <xdr:rowOff>28575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1E6759A3-A647-4651-B6FC-C8FD8A848881}"/>
            </a:ext>
          </a:extLst>
        </xdr:cNvPr>
        <xdr:cNvSpPr/>
      </xdr:nvSpPr>
      <xdr:spPr>
        <a:xfrm>
          <a:off x="142875" y="85725"/>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95250</xdr:colOff>
      <xdr:row>0</xdr:row>
      <xdr:rowOff>133350</xdr:rowOff>
    </xdr:from>
    <xdr:to>
      <xdr:col>0</xdr:col>
      <xdr:colOff>2314575</xdr:colOff>
      <xdr:row>3</xdr:row>
      <xdr:rowOff>76200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EF2768DE-853B-47FC-BBFB-D00F07EA236A}"/>
            </a:ext>
          </a:extLst>
        </xdr:cNvPr>
        <xdr:cNvSpPr/>
      </xdr:nvSpPr>
      <xdr:spPr>
        <a:xfrm>
          <a:off x="95250" y="133350"/>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xdr:col>
      <xdr:colOff>104775</xdr:colOff>
      <xdr:row>0</xdr:row>
      <xdr:rowOff>85725</xdr:rowOff>
    </xdr:from>
    <xdr:to>
      <xdr:col>5</xdr:col>
      <xdr:colOff>457200</xdr:colOff>
      <xdr:row>1</xdr:row>
      <xdr:rowOff>361950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7836D721-9A17-49A3-B2C9-7A1B01DF3B07}"/>
            </a:ext>
          </a:extLst>
        </xdr:cNvPr>
        <xdr:cNvSpPr/>
      </xdr:nvSpPr>
      <xdr:spPr>
        <a:xfrm>
          <a:off x="2647950" y="85725"/>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76200</xdr:colOff>
      <xdr:row>0</xdr:row>
      <xdr:rowOff>57150</xdr:rowOff>
    </xdr:from>
    <xdr:to>
      <xdr:col>1</xdr:col>
      <xdr:colOff>914400</xdr:colOff>
      <xdr:row>3</xdr:row>
      <xdr:rowOff>85725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E7674D63-2F6F-47F6-BCDB-138BDA385D5B}"/>
            </a:ext>
          </a:extLst>
        </xdr:cNvPr>
        <xdr:cNvSpPr/>
      </xdr:nvSpPr>
      <xdr:spPr>
        <a:xfrm>
          <a:off x="76200" y="57150"/>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28575</xdr:rowOff>
    </xdr:from>
    <xdr:to>
      <xdr:col>2</xdr:col>
      <xdr:colOff>628650</xdr:colOff>
      <xdr:row>2</xdr:row>
      <xdr:rowOff>161925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C6572EDD-8FC4-4603-9B83-6E672FBCAC96}"/>
            </a:ext>
          </a:extLst>
        </xdr:cNvPr>
        <xdr:cNvSpPr/>
      </xdr:nvSpPr>
      <xdr:spPr>
        <a:xfrm>
          <a:off x="0" y="28575"/>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561975</xdr:colOff>
      <xdr:row>45</xdr:row>
      <xdr:rowOff>9524</xdr:rowOff>
    </xdr:from>
    <xdr:to>
      <xdr:col>11</xdr:col>
      <xdr:colOff>152400</xdr:colOff>
      <xdr:row>56</xdr:row>
      <xdr:rowOff>142874</xdr:rowOff>
    </xdr:to>
    <xdr:graphicFrame macro="">
      <xdr:nvGraphicFramePr>
        <xdr:cNvPr id="3" name="Gráfico 2">
          <a:extLst>
            <a:ext uri="{FF2B5EF4-FFF2-40B4-BE49-F238E27FC236}">
              <a16:creationId xmlns:a16="http://schemas.microsoft.com/office/drawing/2014/main" id="{AB1DFD20-CE45-ECCA-8CEE-0C1D8A5D34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866775</xdr:colOff>
      <xdr:row>72</xdr:row>
      <xdr:rowOff>9525</xdr:rowOff>
    </xdr:from>
    <xdr:to>
      <xdr:col>8</xdr:col>
      <xdr:colOff>342900</xdr:colOff>
      <xdr:row>88</xdr:row>
      <xdr:rowOff>123825</xdr:rowOff>
    </xdr:to>
    <xdr:graphicFrame macro="">
      <xdr:nvGraphicFramePr>
        <xdr:cNvPr id="4" name="Gráfico 3">
          <a:extLst>
            <a:ext uri="{FF2B5EF4-FFF2-40B4-BE49-F238E27FC236}">
              <a16:creationId xmlns:a16="http://schemas.microsoft.com/office/drawing/2014/main" id="{57D867D2-FDB7-7A84-ACD4-8AC1201E4F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1228725</xdr:colOff>
      <xdr:row>1</xdr:row>
      <xdr:rowOff>104775</xdr:rowOff>
    </xdr:from>
    <xdr:to>
      <xdr:col>8</xdr:col>
      <xdr:colOff>701951</xdr:colOff>
      <xdr:row>17</xdr:row>
      <xdr:rowOff>159440</xdr:rowOff>
    </xdr:to>
    <xdr:graphicFrame macro="">
      <xdr:nvGraphicFramePr>
        <xdr:cNvPr id="2" name="Gráfico 1">
          <a:extLst>
            <a:ext uri="{FF2B5EF4-FFF2-40B4-BE49-F238E27FC236}">
              <a16:creationId xmlns:a16="http://schemas.microsoft.com/office/drawing/2014/main" id="{A9701D54-B4AB-4D34-BD60-2FCC7BFD8D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8</xdr:col>
      <xdr:colOff>104775</xdr:colOff>
      <xdr:row>10</xdr:row>
      <xdr:rowOff>123825</xdr:rowOff>
    </xdr:from>
    <xdr:to>
      <xdr:col>11</xdr:col>
      <xdr:colOff>9525</xdr:colOff>
      <xdr:row>13</xdr:row>
      <xdr:rowOff>66675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F70493B0-BA27-4212-ABAB-6E3DF15B9819}"/>
            </a:ext>
          </a:extLst>
        </xdr:cNvPr>
        <xdr:cNvSpPr/>
      </xdr:nvSpPr>
      <xdr:spPr>
        <a:xfrm>
          <a:off x="9601200" y="2238375"/>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twoCellAnchor>
    <xdr:from>
      <xdr:col>0</xdr:col>
      <xdr:colOff>85725</xdr:colOff>
      <xdr:row>0</xdr:row>
      <xdr:rowOff>28575</xdr:rowOff>
    </xdr:from>
    <xdr:to>
      <xdr:col>2</xdr:col>
      <xdr:colOff>647700</xdr:colOff>
      <xdr:row>2</xdr:row>
      <xdr:rowOff>161925</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DBE2C1A0-DD92-43E4-AB28-3D017C94EB0E}"/>
            </a:ext>
          </a:extLst>
        </xdr:cNvPr>
        <xdr:cNvSpPr/>
      </xdr:nvSpPr>
      <xdr:spPr>
        <a:xfrm>
          <a:off x="85725" y="28575"/>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114300</xdr:colOff>
      <xdr:row>0</xdr:row>
      <xdr:rowOff>9525</xdr:rowOff>
    </xdr:from>
    <xdr:to>
      <xdr:col>2</xdr:col>
      <xdr:colOff>504825</xdr:colOff>
      <xdr:row>2</xdr:row>
      <xdr:rowOff>142875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718AA1C7-5A80-482E-9ED4-AC1B8315120A}"/>
            </a:ext>
          </a:extLst>
        </xdr:cNvPr>
        <xdr:cNvSpPr/>
      </xdr:nvSpPr>
      <xdr:spPr>
        <a:xfrm>
          <a:off x="114300" y="9525"/>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123825</xdr:colOff>
      <xdr:row>0</xdr:row>
      <xdr:rowOff>28575</xdr:rowOff>
    </xdr:from>
    <xdr:to>
      <xdr:col>2</xdr:col>
      <xdr:colOff>171450</xdr:colOff>
      <xdr:row>2</xdr:row>
      <xdr:rowOff>161925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44932B4F-91A0-4149-B459-7B11CFBACE2D}"/>
            </a:ext>
          </a:extLst>
        </xdr:cNvPr>
        <xdr:cNvSpPr/>
      </xdr:nvSpPr>
      <xdr:spPr>
        <a:xfrm>
          <a:off x="123825" y="28575"/>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85725</xdr:colOff>
      <xdr:row>0</xdr:row>
      <xdr:rowOff>152400</xdr:rowOff>
    </xdr:from>
    <xdr:to>
      <xdr:col>2</xdr:col>
      <xdr:colOff>552450</xdr:colOff>
      <xdr:row>3</xdr:row>
      <xdr:rowOff>95250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EDF68A73-B024-4456-AA1D-532FC3D7B355}"/>
            </a:ext>
          </a:extLst>
        </xdr:cNvPr>
        <xdr:cNvSpPr/>
      </xdr:nvSpPr>
      <xdr:spPr>
        <a:xfrm>
          <a:off x="85725" y="152400"/>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257175</xdr:colOff>
      <xdr:row>1</xdr:row>
      <xdr:rowOff>0</xdr:rowOff>
    </xdr:from>
    <xdr:to>
      <xdr:col>1</xdr:col>
      <xdr:colOff>1095375</xdr:colOff>
      <xdr:row>3</xdr:row>
      <xdr:rowOff>133350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1751888F-32EF-47E2-8950-0E4A6FDD22A4}"/>
            </a:ext>
          </a:extLst>
        </xdr:cNvPr>
        <xdr:cNvSpPr/>
      </xdr:nvSpPr>
      <xdr:spPr>
        <a:xfrm>
          <a:off x="257175" y="190500"/>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12</xdr:col>
      <xdr:colOff>85725</xdr:colOff>
      <xdr:row>0</xdr:row>
      <xdr:rowOff>0</xdr:rowOff>
    </xdr:from>
    <xdr:to>
      <xdr:col>15</xdr:col>
      <xdr:colOff>47625</xdr:colOff>
      <xdr:row>2</xdr:row>
      <xdr:rowOff>66675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4B41C589-C7F5-4913-A3E0-6F5056D6E666}"/>
            </a:ext>
          </a:extLst>
        </xdr:cNvPr>
        <xdr:cNvSpPr/>
      </xdr:nvSpPr>
      <xdr:spPr>
        <a:xfrm>
          <a:off x="14706600" y="0"/>
          <a:ext cx="2247900"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161925</xdr:colOff>
      <xdr:row>1</xdr:row>
      <xdr:rowOff>28575</xdr:rowOff>
    </xdr:from>
    <xdr:to>
      <xdr:col>2</xdr:col>
      <xdr:colOff>238125</xdr:colOff>
      <xdr:row>3</xdr:row>
      <xdr:rowOff>171450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7E289C54-054F-4C8F-A9EB-597AD7DD5448}"/>
            </a:ext>
          </a:extLst>
        </xdr:cNvPr>
        <xdr:cNvSpPr/>
      </xdr:nvSpPr>
      <xdr:spPr>
        <a:xfrm>
          <a:off x="161925" y="219075"/>
          <a:ext cx="2209800" cy="523875"/>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742950</xdr:colOff>
      <xdr:row>13</xdr:row>
      <xdr:rowOff>0</xdr:rowOff>
    </xdr:from>
    <xdr:to>
      <xdr:col>3</xdr:col>
      <xdr:colOff>409575</xdr:colOff>
      <xdr:row>16</xdr:row>
      <xdr:rowOff>38100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674DBC38-B8C9-414E-B64A-4EDA20239277}"/>
            </a:ext>
          </a:extLst>
        </xdr:cNvPr>
        <xdr:cNvSpPr/>
      </xdr:nvSpPr>
      <xdr:spPr>
        <a:xfrm>
          <a:off x="742950" y="2219325"/>
          <a:ext cx="2209800" cy="523875"/>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247650</xdr:colOff>
      <xdr:row>1</xdr:row>
      <xdr:rowOff>0</xdr:rowOff>
    </xdr:from>
    <xdr:to>
      <xdr:col>1</xdr:col>
      <xdr:colOff>152400</xdr:colOff>
      <xdr:row>4</xdr:row>
      <xdr:rowOff>9525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D545DB1-1612-4883-8F47-7DB5D0EEF768}"/>
            </a:ext>
          </a:extLst>
        </xdr:cNvPr>
        <xdr:cNvSpPr/>
      </xdr:nvSpPr>
      <xdr:spPr>
        <a:xfrm>
          <a:off x="247650" y="161925"/>
          <a:ext cx="2209800" cy="523875"/>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85725</xdr:colOff>
      <xdr:row>0</xdr:row>
      <xdr:rowOff>123825</xdr:rowOff>
    </xdr:from>
    <xdr:to>
      <xdr:col>1</xdr:col>
      <xdr:colOff>238125</xdr:colOff>
      <xdr:row>3</xdr:row>
      <xdr:rowOff>76200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54CB659D-3603-4723-8E98-271C606E66D7}"/>
            </a:ext>
          </a:extLst>
        </xdr:cNvPr>
        <xdr:cNvSpPr/>
      </xdr:nvSpPr>
      <xdr:spPr>
        <a:xfrm>
          <a:off x="85725" y="123825"/>
          <a:ext cx="2209800" cy="523875"/>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504825</xdr:colOff>
      <xdr:row>0</xdr:row>
      <xdr:rowOff>57150</xdr:rowOff>
    </xdr:from>
    <xdr:to>
      <xdr:col>2</xdr:col>
      <xdr:colOff>523875</xdr:colOff>
      <xdr:row>3</xdr:row>
      <xdr:rowOff>76200</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DA8C37A4-AFB2-35A5-6C65-C7A27F3EBF3E}"/>
            </a:ext>
          </a:extLst>
        </xdr:cNvPr>
        <xdr:cNvSpPr/>
      </xdr:nvSpPr>
      <xdr:spPr>
        <a:xfrm>
          <a:off x="504825" y="57150"/>
          <a:ext cx="2219325" cy="5905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180975</xdr:colOff>
      <xdr:row>0</xdr:row>
      <xdr:rowOff>133350</xdr:rowOff>
    </xdr:from>
    <xdr:to>
      <xdr:col>1</xdr:col>
      <xdr:colOff>657225</xdr:colOff>
      <xdr:row>3</xdr:row>
      <xdr:rowOff>85725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F05DFAB8-EC7F-4441-8F13-CE49426106F9}"/>
            </a:ext>
          </a:extLst>
        </xdr:cNvPr>
        <xdr:cNvSpPr/>
      </xdr:nvSpPr>
      <xdr:spPr>
        <a:xfrm>
          <a:off x="180975" y="133350"/>
          <a:ext cx="2209800" cy="523875"/>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41.xml><?xml version="1.0" encoding="utf-8"?>
<xdr:wsDr xmlns:xdr="http://schemas.openxmlformats.org/drawingml/2006/spreadsheetDrawing" xmlns:a="http://schemas.openxmlformats.org/drawingml/2006/main">
  <xdr:oneCellAnchor>
    <xdr:from>
      <xdr:col>0</xdr:col>
      <xdr:colOff>0</xdr:colOff>
      <xdr:row>11</xdr:row>
      <xdr:rowOff>0</xdr:rowOff>
    </xdr:from>
    <xdr:ext cx="6809524" cy="3647619"/>
    <xdr:pic>
      <xdr:nvPicPr>
        <xdr:cNvPr id="2" name="Imagen 1">
          <a:extLst>
            <a:ext uri="{FF2B5EF4-FFF2-40B4-BE49-F238E27FC236}">
              <a16:creationId xmlns:a16="http://schemas.microsoft.com/office/drawing/2014/main" id="{AF797BF4-5A9D-4A69-A3A5-50BC3F3AC232}"/>
            </a:ext>
          </a:extLst>
        </xdr:cNvPr>
        <xdr:cNvPicPr>
          <a:picLocks noChangeAspect="1"/>
        </xdr:cNvPicPr>
      </xdr:nvPicPr>
      <xdr:blipFill>
        <a:blip xmlns:r="http://schemas.openxmlformats.org/officeDocument/2006/relationships" r:embed="rId1"/>
        <a:stretch>
          <a:fillRect/>
        </a:stretch>
      </xdr:blipFill>
      <xdr:spPr>
        <a:xfrm>
          <a:off x="0" y="2095500"/>
          <a:ext cx="6809524" cy="3647619"/>
        </a:xfrm>
        <a:prstGeom prst="rect">
          <a:avLst/>
        </a:prstGeom>
      </xdr:spPr>
    </xdr:pic>
    <xdr:clientData/>
  </xdr:oneCellAnchor>
  <xdr:twoCellAnchor>
    <xdr:from>
      <xdr:col>8</xdr:col>
      <xdr:colOff>428625</xdr:colOff>
      <xdr:row>2</xdr:row>
      <xdr:rowOff>57150</xdr:rowOff>
    </xdr:from>
    <xdr:to>
      <xdr:col>11</xdr:col>
      <xdr:colOff>276225</xdr:colOff>
      <xdr:row>5</xdr:row>
      <xdr:rowOff>9525</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244B6577-96CE-4264-BB8E-37FC463C71BA}"/>
            </a:ext>
          </a:extLst>
        </xdr:cNvPr>
        <xdr:cNvSpPr/>
      </xdr:nvSpPr>
      <xdr:spPr>
        <a:xfrm>
          <a:off x="10163175" y="628650"/>
          <a:ext cx="2247900" cy="523875"/>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13855</xdr:colOff>
      <xdr:row>10</xdr:row>
      <xdr:rowOff>8597</xdr:rowOff>
    </xdr:from>
    <xdr:to>
      <xdr:col>4</xdr:col>
      <xdr:colOff>5679</xdr:colOff>
      <xdr:row>26</xdr:row>
      <xdr:rowOff>173181</xdr:rowOff>
    </xdr:to>
    <xdr:pic>
      <xdr:nvPicPr>
        <xdr:cNvPr id="2" name="Imagen 1">
          <a:extLst>
            <a:ext uri="{FF2B5EF4-FFF2-40B4-BE49-F238E27FC236}">
              <a16:creationId xmlns:a16="http://schemas.microsoft.com/office/drawing/2014/main" id="{CC35C269-A15C-489C-B385-DD797E185532}"/>
            </a:ext>
          </a:extLst>
        </xdr:cNvPr>
        <xdr:cNvPicPr>
          <a:picLocks noChangeAspect="1"/>
        </xdr:cNvPicPr>
      </xdr:nvPicPr>
      <xdr:blipFill>
        <a:blip xmlns:r="http://schemas.openxmlformats.org/officeDocument/2006/relationships" r:embed="rId1"/>
        <a:stretch>
          <a:fillRect/>
        </a:stretch>
      </xdr:blipFill>
      <xdr:spPr>
        <a:xfrm>
          <a:off x="13855" y="1913597"/>
          <a:ext cx="6183074" cy="3212584"/>
        </a:xfrm>
        <a:prstGeom prst="rect">
          <a:avLst/>
        </a:prstGeom>
      </xdr:spPr>
    </xdr:pic>
    <xdr:clientData/>
  </xdr:twoCellAnchor>
  <xdr:twoCellAnchor>
    <xdr:from>
      <xdr:col>4</xdr:col>
      <xdr:colOff>294409</xdr:colOff>
      <xdr:row>1</xdr:row>
      <xdr:rowOff>147205</xdr:rowOff>
    </xdr:from>
    <xdr:to>
      <xdr:col>7</xdr:col>
      <xdr:colOff>53686</xdr:colOff>
      <xdr:row>4</xdr:row>
      <xdr:rowOff>99580</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BAC30DD1-BB86-415E-9EEF-F72B0735051D}"/>
            </a:ext>
          </a:extLst>
        </xdr:cNvPr>
        <xdr:cNvSpPr/>
      </xdr:nvSpPr>
      <xdr:spPr>
        <a:xfrm>
          <a:off x="6485659" y="337705"/>
          <a:ext cx="2460913" cy="523875"/>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66675</xdr:colOff>
      <xdr:row>0</xdr:row>
      <xdr:rowOff>104775</xdr:rowOff>
    </xdr:from>
    <xdr:to>
      <xdr:col>1</xdr:col>
      <xdr:colOff>527338</xdr:colOff>
      <xdr:row>3</xdr:row>
      <xdr:rowOff>85725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E73F1CB6-D31B-4999-BF50-E7234357577F}"/>
            </a:ext>
          </a:extLst>
        </xdr:cNvPr>
        <xdr:cNvSpPr/>
      </xdr:nvSpPr>
      <xdr:spPr>
        <a:xfrm>
          <a:off x="66675" y="104775"/>
          <a:ext cx="2460913" cy="523875"/>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476250</xdr:colOff>
      <xdr:row>194</xdr:row>
      <xdr:rowOff>9525</xdr:rowOff>
    </xdr:from>
    <xdr:to>
      <xdr:col>3</xdr:col>
      <xdr:colOff>257175</xdr:colOff>
      <xdr:row>196</xdr:row>
      <xdr:rowOff>152400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5C684BFE-DB72-4AB5-82BB-9A812DAE8BF9}"/>
            </a:ext>
          </a:extLst>
        </xdr:cNvPr>
        <xdr:cNvSpPr/>
      </xdr:nvSpPr>
      <xdr:spPr>
        <a:xfrm>
          <a:off x="476250" y="48748950"/>
          <a:ext cx="2209800" cy="523875"/>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523875</xdr:colOff>
      <xdr:row>0</xdr:row>
      <xdr:rowOff>57150</xdr:rowOff>
    </xdr:from>
    <xdr:to>
      <xdr:col>2</xdr:col>
      <xdr:colOff>942975</xdr:colOff>
      <xdr:row>3</xdr:row>
      <xdr:rowOff>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2C7F459A-728F-48F6-822F-E32D5ECE82B3}"/>
            </a:ext>
          </a:extLst>
        </xdr:cNvPr>
        <xdr:cNvSpPr/>
      </xdr:nvSpPr>
      <xdr:spPr>
        <a:xfrm>
          <a:off x="523875" y="57150"/>
          <a:ext cx="2219325" cy="5905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504825</xdr:colOff>
      <xdr:row>0</xdr:row>
      <xdr:rowOff>57150</xdr:rowOff>
    </xdr:from>
    <xdr:to>
      <xdr:col>2</xdr:col>
      <xdr:colOff>0</xdr:colOff>
      <xdr:row>3</xdr:row>
      <xdr:rowOff>76200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79F3C9DC-9871-4D2F-894E-7963930F93C6}"/>
            </a:ext>
          </a:extLst>
        </xdr:cNvPr>
        <xdr:cNvSpPr/>
      </xdr:nvSpPr>
      <xdr:spPr>
        <a:xfrm>
          <a:off x="504825" y="57150"/>
          <a:ext cx="2219325" cy="5905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866775</xdr:colOff>
      <xdr:row>0</xdr:row>
      <xdr:rowOff>19050</xdr:rowOff>
    </xdr:from>
    <xdr:to>
      <xdr:col>3</xdr:col>
      <xdr:colOff>2200275</xdr:colOff>
      <xdr:row>2</xdr:row>
      <xdr:rowOff>180975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35B7BF75-7CFF-46AB-8B70-5C5032AC7009}"/>
            </a:ext>
          </a:extLst>
        </xdr:cNvPr>
        <xdr:cNvSpPr/>
      </xdr:nvSpPr>
      <xdr:spPr>
        <a:xfrm>
          <a:off x="1143000" y="19050"/>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0</xdr:row>
      <xdr:rowOff>95250</xdr:rowOff>
    </xdr:from>
    <xdr:to>
      <xdr:col>0</xdr:col>
      <xdr:colOff>2305050</xdr:colOff>
      <xdr:row>3</xdr:row>
      <xdr:rowOff>123825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C7BB532D-AA16-4196-BCAF-9D4B3AE8C367}"/>
            </a:ext>
          </a:extLst>
        </xdr:cNvPr>
        <xdr:cNvSpPr/>
      </xdr:nvSpPr>
      <xdr:spPr>
        <a:xfrm>
          <a:off x="85725" y="95250"/>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28575</xdr:rowOff>
    </xdr:from>
    <xdr:to>
      <xdr:col>0</xdr:col>
      <xdr:colOff>2219325</xdr:colOff>
      <xdr:row>1</xdr:row>
      <xdr:rowOff>371475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15E635E9-FB65-48B9-ADEF-2078B8290119}"/>
            </a:ext>
          </a:extLst>
        </xdr:cNvPr>
        <xdr:cNvSpPr/>
      </xdr:nvSpPr>
      <xdr:spPr>
        <a:xfrm>
          <a:off x="0" y="28575"/>
          <a:ext cx="2219325" cy="514350"/>
        </a:xfrm>
        <a:prstGeom prst="leftArrow">
          <a:avLst/>
        </a:prstGeom>
        <a:solidFill>
          <a:srgbClr val="2F75B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b="1">
              <a:solidFill>
                <a:schemeClr val="lt1"/>
              </a:solidFill>
              <a:effectLst/>
              <a:latin typeface="+mn-lt"/>
              <a:ea typeface="+mn-ea"/>
              <a:cs typeface="+mn-cs"/>
            </a:rPr>
            <a:t>Volver al Flujo de Caja Detallado</a:t>
          </a:r>
          <a:endParaRPr lang="es-ES">
            <a:effectLst/>
          </a:endParaRPr>
        </a:p>
        <a:p>
          <a:pPr algn="l"/>
          <a:endParaRPr lang="es-ES" sz="110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Estados%20Financ.%20Basico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imac\Downloads\OFICINA\PACK%20S.A\Acuerdo%20Pack%20Feb%2028%20de%202014\IActualizacio&#769;n%20nv.%20Act%20y%20Pasiv.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imac\Library\Caches\TemporaryItems\Outlook%20Temp\BALANCES%20A%20ABRIL%20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dministrador.COSTOSDORA\Downloads\Resolucion%20Acreedor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apeles%20de%20trabajo/Gastos/Arrendamiento/Arrendami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Bal. Gral"/>
      <sheetName val="Est. Result."/>
      <sheetName val="Indices Fros."/>
      <sheetName val="Hoja1"/>
    </sheetNames>
    <sheetDataSet>
      <sheetData sheetId="0" refreshError="1">
        <row r="5">
          <cell r="C5" t="str">
            <v>Vision</v>
          </cell>
          <cell r="E5" t="str">
            <v>COMERCIALIZADORA VISION TECNOLOGICA</v>
          </cell>
        </row>
        <row r="9">
          <cell r="C9">
            <v>2003</v>
          </cell>
          <cell r="E9" t="str">
            <v>20036</v>
          </cell>
        </row>
        <row r="11">
          <cell r="C11">
            <v>6</v>
          </cell>
        </row>
        <row r="13">
          <cell r="C13">
            <v>1000</v>
          </cell>
        </row>
      </sheetData>
      <sheetData sheetId="1" refreshError="1"/>
      <sheetData sheetId="2" refreshError="1">
        <row r="78">
          <cell r="G78">
            <v>424213493.6141426</v>
          </cell>
        </row>
      </sheetData>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OCT"/>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OCT"/>
      <sheetName val="P&amp;G"/>
      <sheetName val="Indices"/>
    </sheetNames>
    <sheetDataSet>
      <sheetData sheetId="0"/>
      <sheetData sheetId="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row r="28">
          <cell r="I28">
            <v>1223186129.6696999</v>
          </cell>
        </row>
        <row r="29">
          <cell r="I29">
            <v>1067357907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rrendamiento"/>
      <sheetName val="hoja calculo"/>
    </sheetNames>
    <sheetDataSet>
      <sheetData sheetId="0" refreshError="1"/>
      <sheetData sheetId="1">
        <row r="4">
          <cell r="G4">
            <v>18359040</v>
          </cell>
        </row>
        <row r="5">
          <cell r="G5">
            <v>28661084.160000004</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a136" displayName="Tabla136" ref="A6:R41" totalsRowCount="1" headerRowDxfId="93" dataDxfId="92" totalsRowDxfId="90" tableBorderDxfId="91">
  <autoFilter ref="A6:R40" xr:uid="{00000000-0009-0000-0100-000005000000}"/>
  <tableColumns count="18">
    <tableColumn id="1" xr3:uid="{00000000-0010-0000-0000-000001000000}" name="TIPO" totalsRowLabel="Total" dataDxfId="89" totalsRowDxfId="88" dataCellStyle="Normal 3"/>
    <tableColumn id="2" xr3:uid="{00000000-0010-0000-0000-000002000000}" name="NOMBRE" dataDxfId="87" totalsRowDxfId="86" dataCellStyle="Normal 3"/>
    <tableColumn id="3" xr3:uid="{00000000-0010-0000-0000-000003000000}" name="IDENTIFICACION" dataDxfId="85" totalsRowDxfId="84" dataCellStyle="Normal 3"/>
    <tableColumn id="13" xr3:uid="{00000000-0010-0000-0000-00000D000000}" name="DERECHO A VOTO" dataDxfId="83" totalsRowDxfId="82" dataCellStyle="Porcentaje">
      <calculatedColumnFormula>+Tabla136[[#This Row],[CAPITAL]]/SUM($F$7:$F$32)</calculatedColumnFormula>
    </tableColumn>
    <tableColumn id="8" xr3:uid="{00000000-0010-0000-0000-000008000000}" name="TOTAL ACREENCIA" totalsRowFunction="custom" dataDxfId="81" totalsRowDxfId="80" dataCellStyle="Moneda 3">
      <totalsRowFormula>+E40+E9+E34</totalsRowFormula>
    </tableColumn>
    <tableColumn id="5" xr3:uid="{00000000-0010-0000-0000-000005000000}" name="CAPITAL" totalsRowFunction="custom" dataDxfId="79" totalsRowDxfId="78" dataCellStyle="Moneda 3">
      <totalsRowFormula>+F40+F9+F34</totalsRowFormula>
    </tableColumn>
    <tableColumn id="4" xr3:uid="{00000000-0010-0000-0000-000004000000}" name="INTERESES" totalsRowFunction="custom" dataDxfId="77" totalsRowDxfId="76" dataCellStyle="Moneda 3">
      <totalsRowFormula>+G40+G9+G34</totalsRowFormula>
    </tableColumn>
    <tableColumn id="11" xr3:uid="{00000000-0010-0000-0000-00000B000000}" name="SALDO PROPUESTA (50%)" totalsRowFunction="custom" dataDxfId="75" totalsRowDxfId="74" dataCellStyle="Moneda 3">
      <totalsRowFormula>+H40+H9+H34</totalsRowFormula>
    </tableColumn>
    <tableColumn id="12" xr3:uid="{00000000-0010-0000-0000-00000C000000}" name="Año 1" totalsRowFunction="sum" dataDxfId="73" totalsRowDxfId="72" dataCellStyle="Moneda 3"/>
    <tableColumn id="14" xr3:uid="{00000000-0010-0000-0000-00000E000000}" name="Año 2" totalsRowFunction="sum" dataDxfId="71" totalsRowDxfId="70" dataCellStyle="Moneda 3"/>
    <tableColumn id="16" xr3:uid="{00000000-0010-0000-0000-000010000000}" name="Año 3" totalsRowFunction="sum" dataDxfId="69" totalsRowDxfId="68" dataCellStyle="Moneda 3"/>
    <tableColumn id="18" xr3:uid="{00000000-0010-0000-0000-000012000000}" name="Año 4" totalsRowFunction="sum" dataDxfId="67" totalsRowDxfId="66" dataCellStyle="Moneda 3"/>
    <tableColumn id="20" xr3:uid="{00000000-0010-0000-0000-000014000000}" name="Año 5" totalsRowFunction="sum" dataDxfId="65" totalsRowDxfId="64" dataCellStyle="Moneda 3"/>
    <tableColumn id="22" xr3:uid="{00000000-0010-0000-0000-000016000000}" name="Pago 2029" totalsRowFunction="sum" dataDxfId="63" totalsRowDxfId="62" dataCellStyle="Moneda 3"/>
    <tableColumn id="15" xr3:uid="{00000000-0010-0000-0000-00000F000000}" name="Pago 20292" dataDxfId="61" totalsRowDxfId="60" dataCellStyle="Moneda 3"/>
    <tableColumn id="10" xr3:uid="{00000000-0010-0000-0000-00000A000000}" name="Pago 2030" dataDxfId="59" totalsRowDxfId="58" dataCellStyle="Moneda 3"/>
    <tableColumn id="7" xr3:uid="{00000000-0010-0000-0000-000007000000}" name="Pago 2031" dataDxfId="57" totalsRowDxfId="56" dataCellStyle="Moneda 3"/>
    <tableColumn id="9" xr3:uid="{00000000-0010-0000-0000-000009000000}" name="Saldo" dataDxfId="55" dataCellStyle="Millares">
      <calculatedColumnFormula>+Tabla136[[#This Row],[SALDO PROPUESTA (50%)]]-SUM(Tabla136[[#This Row],[Año 1]:[Pago 2029]])</calculatedColumnFormula>
    </tableColumn>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1000000}" name="Tabla5" displayName="Tabla5" ref="A9:Z60" totalsRowCount="1" headerRowDxfId="54" dataDxfId="53" totalsRowDxfId="52">
  <autoFilter ref="A9:Z59" xr:uid="{00000000-0009-0000-0100-00000A000000}"/>
  <tableColumns count="26">
    <tableColumn id="2" xr3:uid="{00000000-0010-0000-0100-000002000000}" name="Columna1" dataDxfId="51" totalsRowDxfId="50"/>
    <tableColumn id="1" xr3:uid="{00000000-0010-0000-0100-000001000000}" name="#" totalsRowLabel="Total" dataDxfId="49" totalsRowDxfId="48"/>
    <tableColumn id="22" xr3:uid="{00000000-0010-0000-0100-000016000000}" name="Tipo de cargo" dataDxfId="47" totalsRowDxfId="46"/>
    <tableColumn id="6" xr3:uid="{00000000-0010-0000-0100-000006000000}" name="Descripción Cargo" dataDxfId="45" totalsRowDxfId="44"/>
    <tableColumn id="9" xr3:uid="{00000000-0010-0000-0100-000009000000}" name="Total Salario" totalsRowFunction="sum" dataDxfId="43" totalsRowDxfId="42" dataCellStyle="Millares">
      <calculatedColumnFormula>+#REF!+#REF!</calculatedColumnFormula>
    </tableColumn>
    <tableColumn id="21" xr3:uid="{00000000-0010-0000-0100-000015000000}" name="Auxilio de transporte" dataDxfId="41" totalsRowDxfId="40"/>
    <tableColumn id="10" xr3:uid="{00000000-0010-0000-0100-00000A000000}" name="Salud" totalsRowFunction="sum" dataDxfId="39" totalsRowDxfId="38">
      <calculatedColumnFormula>+$G$10*E10</calculatedColumnFormula>
    </tableColumn>
    <tableColumn id="11" xr3:uid="{00000000-0010-0000-0100-00000B000000}" name="Pension" totalsRowFunction="sum" dataDxfId="37" totalsRowDxfId="36">
      <calculatedColumnFormula>+$H$10*E10</calculatedColumnFormula>
    </tableColumn>
    <tableColumn id="12" xr3:uid="{00000000-0010-0000-0100-00000C000000}" name="Caja" totalsRowFunction="sum" dataDxfId="35" totalsRowDxfId="34">
      <calculatedColumnFormula>+$I$10*E10</calculatedColumnFormula>
    </tableColumn>
    <tableColumn id="13" xr3:uid="{00000000-0010-0000-0100-00000D000000}" name="Sena" totalsRowFunction="sum" dataDxfId="33" totalsRowDxfId="32">
      <calculatedColumnFormula>+$J$10*E10</calculatedColumnFormula>
    </tableColumn>
    <tableColumn id="14" xr3:uid="{00000000-0010-0000-0100-00000E000000}" name="Icbf" totalsRowFunction="sum" dataDxfId="31" totalsRowDxfId="30">
      <calculatedColumnFormula>+$K$10*E10</calculatedColumnFormula>
    </tableColumn>
    <tableColumn id="15" xr3:uid="{00000000-0010-0000-0100-00000F000000}" name="Riesgos" totalsRowFunction="sum" dataDxfId="29" totalsRowDxfId="28">
      <calculatedColumnFormula>+$L$10*E10</calculatedColumnFormula>
    </tableColumn>
    <tableColumn id="16" xr3:uid="{00000000-0010-0000-0100-000010000000}" name="Cesantias" totalsRowFunction="sum" dataDxfId="27" totalsRowDxfId="26">
      <calculatedColumnFormula>+$M$10*E10</calculatedColumnFormula>
    </tableColumn>
    <tableColumn id="17" xr3:uid="{00000000-0010-0000-0100-000011000000}" name="Interes" totalsRowFunction="sum" dataDxfId="25" totalsRowDxfId="24">
      <calculatedColumnFormula>+$N$10*E10</calculatedColumnFormula>
    </tableColumn>
    <tableColumn id="18" xr3:uid="{00000000-0010-0000-0100-000012000000}" name="Vacaciones" totalsRowFunction="sum" dataDxfId="23" totalsRowDxfId="22">
      <calculatedColumnFormula>+$O$10*E10</calculatedColumnFormula>
    </tableColumn>
    <tableColumn id="19" xr3:uid="{00000000-0010-0000-0100-000013000000}" name="Prima" totalsRowFunction="sum" dataDxfId="21" totalsRowDxfId="20">
      <calculatedColumnFormula>+$P$10*E10</calculatedColumnFormula>
    </tableColumn>
    <tableColumn id="20" xr3:uid="{00000000-0010-0000-0100-000014000000}" name="Total Empleado año 1" totalsRowFunction="sum" dataDxfId="19" totalsRowDxfId="18" dataCellStyle="Millares">
      <calculatedColumnFormula>SUM(G10:P10,E10)</calculatedColumnFormula>
    </tableColumn>
    <tableColumn id="3" xr3:uid="{00000000-0010-0000-0100-000003000000}" name="Año 2" totalsRowFunction="sum" dataDxfId="17" totalsRowDxfId="16" dataCellStyle="Millares [0]">
      <calculatedColumnFormula>+Q10*(1+R$4)</calculatedColumnFormula>
    </tableColumn>
    <tableColumn id="4" xr3:uid="{00000000-0010-0000-0100-000004000000}" name="Año 3" totalsRowFunction="sum" dataDxfId="15" totalsRowDxfId="14" dataCellStyle="Millares [0]">
      <calculatedColumnFormula>+R10*(1+S$4)</calculatedColumnFormula>
    </tableColumn>
    <tableColumn id="5" xr3:uid="{00000000-0010-0000-0100-000005000000}" name="Año 4" totalsRowFunction="sum" dataDxfId="13" totalsRowDxfId="12" dataCellStyle="Millares [0]">
      <calculatedColumnFormula>+S10*(1+T$4)</calculatedColumnFormula>
    </tableColumn>
    <tableColumn id="7" xr3:uid="{00000000-0010-0000-0100-000007000000}" name="Año 5" totalsRowFunction="sum" dataDxfId="11" totalsRowDxfId="10" dataCellStyle="Millares [0]">
      <calculatedColumnFormula>+T10*(1+U$4)</calculatedColumnFormula>
    </tableColumn>
    <tableColumn id="8" xr3:uid="{00000000-0010-0000-0100-000008000000}" name="Año 6" totalsRowFunction="sum" dataDxfId="9" totalsRowDxfId="8">
      <calculatedColumnFormula>+U10*(1+V$4)</calculatedColumnFormula>
    </tableColumn>
    <tableColumn id="23" xr3:uid="{00000000-0010-0000-0100-000017000000}" name="Año 7" totalsRowFunction="sum" dataDxfId="7" totalsRowDxfId="6">
      <calculatedColumnFormula>+V10*(1+W$4)</calculatedColumnFormula>
    </tableColumn>
    <tableColumn id="24" xr3:uid="{00000000-0010-0000-0100-000018000000}" name="Año 8" totalsRowFunction="sum" dataDxfId="5" totalsRowDxfId="4">
      <calculatedColumnFormula>+W10*(1+X$4)</calculatedColumnFormula>
    </tableColumn>
    <tableColumn id="25" xr3:uid="{00000000-0010-0000-0100-000019000000}" name="Año 9" totalsRowFunction="sum" dataDxfId="3" totalsRowDxfId="2">
      <calculatedColumnFormula>+X10*(1+Y$4)</calculatedColumnFormula>
    </tableColumn>
    <tableColumn id="26" xr3:uid="{00000000-0010-0000-0100-00001A000000}" name="Año 10" totalsRowFunction="sum" dataDxfId="1" totalsRowDxfId="0">
      <calculatedColumnFormula>+Y10*(1+Z$4)</calculatedColumnFormula>
    </tableColumn>
  </tableColumns>
  <tableStyleInfo name="TableStyleLight8"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1.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4.xml"/><Relationship Id="rId1" Type="http://schemas.openxmlformats.org/officeDocument/2006/relationships/printerSettings" Target="../printerSettings/printerSettings22.bin"/><Relationship Id="rId4" Type="http://schemas.openxmlformats.org/officeDocument/2006/relationships/comments" Target="../comments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N1048553"/>
  <sheetViews>
    <sheetView showGridLines="0" zoomScaleNormal="100" workbookViewId="0">
      <pane xSplit="2" ySplit="4" topLeftCell="E5" activePane="bottomRight" state="frozen"/>
      <selection pane="topRight" activeCell="C1" sqref="C1"/>
      <selection pane="bottomLeft" activeCell="A5" sqref="A5"/>
      <selection pane="bottomRight" activeCell="I44" sqref="I44"/>
    </sheetView>
  </sheetViews>
  <sheetFormatPr baseColWidth="10" defaultColWidth="12.5703125" defaultRowHeight="12.75"/>
  <cols>
    <col min="1" max="1" width="3.140625" style="47" customWidth="1"/>
    <col min="2" max="2" width="34.140625" style="47" customWidth="1"/>
    <col min="3" max="3" width="13.42578125" style="47" customWidth="1"/>
    <col min="4" max="4" width="18.42578125" style="47" customWidth="1"/>
    <col min="5" max="5" width="15" style="330" customWidth="1"/>
    <col min="6" max="6" width="16.7109375" style="47" customWidth="1"/>
    <col min="7" max="7" width="16.85546875" style="47" bestFit="1" customWidth="1"/>
    <col min="8" max="8" width="14.5703125" style="47" customWidth="1"/>
    <col min="9" max="9" width="16.5703125" style="47" customWidth="1"/>
    <col min="10" max="16384" width="12.5703125" style="47"/>
  </cols>
  <sheetData>
    <row r="1" spans="2:14" ht="16.5" customHeight="1">
      <c r="B1" s="321" t="s">
        <v>215</v>
      </c>
      <c r="C1" s="321"/>
      <c r="D1" s="322"/>
      <c r="E1"/>
      <c r="F1"/>
      <c r="G1"/>
      <c r="H1"/>
      <c r="I1"/>
    </row>
    <row r="2" spans="2:14" ht="16.5" customHeight="1">
      <c r="B2" s="870" t="s">
        <v>3024</v>
      </c>
      <c r="C2" s="870"/>
      <c r="D2" s="870"/>
      <c r="E2" s="870"/>
      <c r="F2" s="870"/>
      <c r="G2" s="870"/>
      <c r="H2" s="870"/>
      <c r="I2" s="870"/>
    </row>
    <row r="3" spans="2:14" ht="16.5" customHeight="1">
      <c r="E3" s="47"/>
    </row>
    <row r="4" spans="2:14" ht="28.5" customHeight="1" thickBot="1">
      <c r="B4" s="38"/>
      <c r="C4" s="115">
        <v>45291</v>
      </c>
      <c r="D4" s="117" t="s">
        <v>3022</v>
      </c>
      <c r="E4" s="54" t="s">
        <v>226</v>
      </c>
      <c r="F4" s="54" t="s">
        <v>227</v>
      </c>
      <c r="G4" s="54" t="s">
        <v>228</v>
      </c>
      <c r="H4" s="54" t="s">
        <v>229</v>
      </c>
      <c r="I4" s="54" t="s">
        <v>230</v>
      </c>
      <c r="J4" s="54" t="s">
        <v>231</v>
      </c>
      <c r="K4" s="54" t="s">
        <v>232</v>
      </c>
      <c r="L4" s="54" t="s">
        <v>233</v>
      </c>
      <c r="M4" s="54" t="s">
        <v>3010</v>
      </c>
      <c r="N4" s="54" t="s">
        <v>3011</v>
      </c>
    </row>
    <row r="5" spans="2:14">
      <c r="B5" s="34" t="s">
        <v>0</v>
      </c>
      <c r="C5" s="39"/>
      <c r="D5" s="39"/>
      <c r="E5" s="323"/>
    </row>
    <row r="6" spans="2:14">
      <c r="B6" s="35" t="s">
        <v>89</v>
      </c>
      <c r="C6" s="40">
        <v>11230377</v>
      </c>
      <c r="D6" s="40">
        <v>50876707.836999997</v>
      </c>
      <c r="E6" s="323">
        <f>+D6+E32</f>
        <v>33763241.758588582</v>
      </c>
      <c r="F6" s="323">
        <f>+E6+F32</f>
        <v>20823992.332570959</v>
      </c>
      <c r="G6" s="323">
        <f>+F6+G32</f>
        <v>17712575.233746208</v>
      </c>
      <c r="H6" s="323">
        <f>+G6+H32</f>
        <v>14109437.543855708</v>
      </c>
      <c r="I6" s="323">
        <f>+H6+I32</f>
        <v>11176213.568158731</v>
      </c>
      <c r="J6" s="323">
        <f t="shared" ref="J6:N6" si="0">+I6+J32</f>
        <v>14049588.103444561</v>
      </c>
      <c r="K6" s="323">
        <f t="shared" si="0"/>
        <v>17111778.294562981</v>
      </c>
      <c r="L6" s="323">
        <f t="shared" si="0"/>
        <v>20410254.398437366</v>
      </c>
      <c r="M6" s="323">
        <f t="shared" si="0"/>
        <v>23933577.623268768</v>
      </c>
      <c r="N6" s="323">
        <f t="shared" si="0"/>
        <v>27734625.763250813</v>
      </c>
    </row>
    <row r="7" spans="2:14">
      <c r="B7" s="35" t="s">
        <v>90</v>
      </c>
      <c r="C7" s="40">
        <v>40078068</v>
      </c>
      <c r="D7" s="40">
        <v>431737.163</v>
      </c>
      <c r="E7" s="323">
        <f>+D7</f>
        <v>431737.163</v>
      </c>
      <c r="F7" s="323">
        <f t="shared" ref="F7:I7" si="1">+E7</f>
        <v>431737.163</v>
      </c>
      <c r="G7" s="323">
        <f t="shared" si="1"/>
        <v>431737.163</v>
      </c>
      <c r="H7" s="323">
        <f t="shared" si="1"/>
        <v>431737.163</v>
      </c>
      <c r="I7" s="323">
        <f t="shared" si="1"/>
        <v>431737.163</v>
      </c>
      <c r="J7" s="323">
        <f t="shared" ref="J7" si="2">+I7</f>
        <v>431737.163</v>
      </c>
      <c r="K7" s="323">
        <f t="shared" ref="K7" si="3">+J7</f>
        <v>431737.163</v>
      </c>
      <c r="L7" s="323">
        <f t="shared" ref="L7" si="4">+K7</f>
        <v>431737.163</v>
      </c>
      <c r="M7" s="323">
        <f t="shared" ref="M7" si="5">+L7</f>
        <v>431737.163</v>
      </c>
      <c r="N7" s="323">
        <f t="shared" ref="N7" si="6">+M7</f>
        <v>431737.163</v>
      </c>
    </row>
    <row r="8" spans="2:14">
      <c r="B8" s="35" t="s">
        <v>91</v>
      </c>
      <c r="C8" s="40">
        <v>396515</v>
      </c>
      <c r="D8" s="40">
        <f>+C8</f>
        <v>396515</v>
      </c>
      <c r="E8" s="323">
        <f>+D8-'Flujo de caja detallado'!C68+('I-C Café'!D13/1000)-('I-C Café'!C13/1000)</f>
        <v>1245690.5249999999</v>
      </c>
      <c r="F8" s="323">
        <f>+E8-'Flujo de caja detallado'!D68+('I-C Café'!E13/1000)-('I-C Café'!D13/1000)</f>
        <v>1295537.0140499999</v>
      </c>
      <c r="G8" s="323">
        <f>+'I-C Café'!F13/1000</f>
        <v>1100140.9671810037</v>
      </c>
      <c r="H8" s="323">
        <f>+'I-C Café'!G13/1000</f>
        <v>1209700.0472985045</v>
      </c>
      <c r="I8" s="323">
        <f>+'I-C Café'!H13/1000</f>
        <v>1331757.4532739362</v>
      </c>
      <c r="J8" s="323">
        <f>+'I-C Café'!I13/1000</f>
        <v>1411959.0777014385</v>
      </c>
      <c r="K8" s="323">
        <f>+'I-C Café'!J13/1000</f>
        <v>1498773.2344326174</v>
      </c>
      <c r="L8" s="323">
        <f>+'I-C Café'!K13/1000</f>
        <v>1592817.3517506877</v>
      </c>
      <c r="M8" s="323">
        <f>+'I-C Café'!L13/1000</f>
        <v>1694773.4244250196</v>
      </c>
      <c r="N8" s="323">
        <f>+'I-C Café'!M13/1000</f>
        <v>1805395.3461332114</v>
      </c>
    </row>
    <row r="9" spans="2:14">
      <c r="B9" s="35" t="s">
        <v>92</v>
      </c>
      <c r="C9" s="40">
        <v>2110985</v>
      </c>
      <c r="D9" s="40">
        <f t="shared" ref="D9:D12" si="7">+C9</f>
        <v>2110985</v>
      </c>
      <c r="E9" s="323">
        <f>+D9-'Flujo de caja detallado'!C69</f>
        <v>2004728.15381</v>
      </c>
      <c r="F9" s="323">
        <f>+E9-'Flujo de caja detallado'!D69</f>
        <v>1898471.3076200001</v>
      </c>
      <c r="G9" s="323">
        <f>+F9-'Flujo de caja detallado'!E69</f>
        <v>1792214.4614300001</v>
      </c>
      <c r="H9" s="323">
        <f>+G9-'Flujo de caja detallado'!F69</f>
        <v>1792214.4614300001</v>
      </c>
      <c r="I9" s="323">
        <f>+H9-'Flujo de caja detallado'!G69</f>
        <v>1792214.4614300001</v>
      </c>
      <c r="J9" s="323">
        <f>+I9-'Flujo de caja detallado'!H69</f>
        <v>1792214.4614300001</v>
      </c>
      <c r="K9" s="323">
        <f>+J9-'Flujo de caja detallado'!I69</f>
        <v>1792214.4614300001</v>
      </c>
      <c r="L9" s="323">
        <f>+K9-'Flujo de caja detallado'!J69</f>
        <v>1792214.4614300001</v>
      </c>
      <c r="M9" s="323">
        <f>+L9-'Flujo de caja detallado'!K69</f>
        <v>1792214.4614300001</v>
      </c>
      <c r="N9" s="323">
        <f>+M9-'Flujo de caja detallado'!L69</f>
        <v>1792214.4614300001</v>
      </c>
    </row>
    <row r="10" spans="2:14">
      <c r="B10" s="35" t="s">
        <v>93</v>
      </c>
      <c r="C10" s="40">
        <v>81863</v>
      </c>
      <c r="D10" s="40">
        <f t="shared" si="7"/>
        <v>81863</v>
      </c>
      <c r="E10" s="323">
        <f>+D10</f>
        <v>81863</v>
      </c>
      <c r="F10" s="323">
        <f t="shared" ref="F10:I10" si="8">+E10</f>
        <v>81863</v>
      </c>
      <c r="G10" s="323">
        <f t="shared" si="8"/>
        <v>81863</v>
      </c>
      <c r="H10" s="323">
        <f t="shared" si="8"/>
        <v>81863</v>
      </c>
      <c r="I10" s="323">
        <f t="shared" si="8"/>
        <v>81863</v>
      </c>
      <c r="J10" s="323">
        <f t="shared" ref="J10" si="9">+I10</f>
        <v>81863</v>
      </c>
      <c r="K10" s="323">
        <f t="shared" ref="K10" si="10">+J10</f>
        <v>81863</v>
      </c>
      <c r="L10" s="323">
        <f t="shared" ref="L10" si="11">+K10</f>
        <v>81863</v>
      </c>
      <c r="M10" s="323">
        <f t="shared" ref="M10" si="12">+L10</f>
        <v>81863</v>
      </c>
      <c r="N10" s="323">
        <f t="shared" ref="N10" si="13">+M10</f>
        <v>81863</v>
      </c>
    </row>
    <row r="11" spans="2:14">
      <c r="B11" s="36" t="s">
        <v>94</v>
      </c>
      <c r="C11" s="40">
        <v>31933631</v>
      </c>
      <c r="D11" s="40">
        <f t="shared" si="7"/>
        <v>31933631</v>
      </c>
      <c r="E11" s="323">
        <f>+D11*0.9</f>
        <v>28740267.900000002</v>
      </c>
      <c r="F11" s="323">
        <f>+D11*0.8</f>
        <v>25546904.800000001</v>
      </c>
      <c r="G11" s="323">
        <f>+D11*0.7</f>
        <v>22353541.699999999</v>
      </c>
      <c r="H11" s="323">
        <f>+D11*0.6</f>
        <v>19160178.599999998</v>
      </c>
      <c r="I11" s="323">
        <f>+D11*0.5</f>
        <v>15966815.5</v>
      </c>
      <c r="J11" s="323">
        <f>+D11*0.4</f>
        <v>12773452.4</v>
      </c>
      <c r="K11" s="323">
        <f>+D11*0.3</f>
        <v>9580089.2999999989</v>
      </c>
      <c r="L11" s="323">
        <f>+D11*0.2</f>
        <v>6386726.2000000002</v>
      </c>
      <c r="M11" s="323">
        <f>+D11*0.1</f>
        <v>3193363.1</v>
      </c>
      <c r="N11" s="323">
        <f>+D11*0</f>
        <v>0</v>
      </c>
    </row>
    <row r="12" spans="2:14">
      <c r="B12" s="35" t="s">
        <v>113</v>
      </c>
      <c r="C12" s="40">
        <v>136586551</v>
      </c>
      <c r="D12" s="40">
        <f t="shared" si="7"/>
        <v>136586551</v>
      </c>
      <c r="E12" s="323">
        <f>+D12-(('I. Activos'!M64/1000)/0.7)</f>
        <v>116151092.06128572</v>
      </c>
      <c r="F12" s="323">
        <f>+E12-(('I. Activos'!O64/1000)/0.8)</f>
        <v>114774830.81128572</v>
      </c>
      <c r="G12" s="323">
        <f>+F12-(('I. Activos'!P64/1000)/0.8)</f>
        <v>114774830.81128572</v>
      </c>
      <c r="H12" s="323">
        <f>+G12-(('I. Activos'!Q64/1000)/0.8)</f>
        <v>114774830.81128572</v>
      </c>
      <c r="I12" s="323">
        <f>+H12-(('I. Activos'!R64/1000)/0.8)</f>
        <v>114774830.81128572</v>
      </c>
      <c r="J12" s="323">
        <f>+I12-(('I. Activos'!S64/1000)/0.8)</f>
        <v>114774830.81128572</v>
      </c>
      <c r="K12" s="323">
        <f>+J12-(('I. Activos'!T64/1000)/0.8)</f>
        <v>114774830.81128572</v>
      </c>
      <c r="L12" s="323">
        <f>+K12-(('I. Activos'!U64/1000)/0.8)</f>
        <v>114774830.81128572</v>
      </c>
      <c r="M12" s="323">
        <f>+L12-(('I. Activos'!V64/1000)/0.8)</f>
        <v>114774830.81128572</v>
      </c>
      <c r="N12" s="323">
        <f>+M12-(('I. Activos'!W64/1000)/0.8)</f>
        <v>114774830.81128572</v>
      </c>
    </row>
    <row r="13" spans="2:14">
      <c r="B13" s="35"/>
      <c r="C13" s="41"/>
      <c r="D13" s="40"/>
      <c r="E13" s="323"/>
      <c r="F13" s="323"/>
      <c r="G13" s="323"/>
      <c r="H13" s="323"/>
      <c r="I13" s="324"/>
    </row>
    <row r="14" spans="2:14">
      <c r="B14" s="36"/>
      <c r="C14" s="41"/>
      <c r="D14" s="41"/>
      <c r="E14" s="323"/>
      <c r="F14" s="323"/>
      <c r="G14" s="323"/>
      <c r="H14" s="323"/>
    </row>
    <row r="15" spans="2:14" ht="13.5" thickBot="1">
      <c r="B15" s="37" t="s">
        <v>95</v>
      </c>
      <c r="C15" s="42">
        <f>SUM(C6:C13)</f>
        <v>222417990</v>
      </c>
      <c r="D15" s="116">
        <f>SUM(D6:D14)</f>
        <v>222417990</v>
      </c>
      <c r="E15" s="116">
        <f>SUM(E6:E12)</f>
        <v>182418620.56168431</v>
      </c>
      <c r="F15" s="116">
        <f>SUM(F6:F12)</f>
        <v>164853336.42852667</v>
      </c>
      <c r="G15" s="116">
        <f>SUM(G6:G12)</f>
        <v>158246903.33664292</v>
      </c>
      <c r="H15" s="116">
        <f>SUM(H6:H12)</f>
        <v>151559961.62686992</v>
      </c>
      <c r="I15" s="116">
        <f>SUM(I6:I12)</f>
        <v>145555431.95714837</v>
      </c>
      <c r="J15" s="116">
        <f t="shared" ref="J15:N15" si="14">SUM(J6:J12)</f>
        <v>145315645.01686174</v>
      </c>
      <c r="K15" s="116">
        <f t="shared" si="14"/>
        <v>145271286.26471132</v>
      </c>
      <c r="L15" s="116">
        <f t="shared" si="14"/>
        <v>145470443.38590378</v>
      </c>
      <c r="M15" s="116">
        <f t="shared" si="14"/>
        <v>145902359.58340952</v>
      </c>
      <c r="N15" s="116">
        <f t="shared" si="14"/>
        <v>146620666.54509974</v>
      </c>
    </row>
    <row r="16" spans="2:14">
      <c r="B16" s="34"/>
      <c r="C16" s="39"/>
      <c r="D16" s="39"/>
      <c r="E16" s="323"/>
      <c r="F16" s="323"/>
      <c r="G16" s="323"/>
      <c r="H16" s="323"/>
    </row>
    <row r="17" spans="2:14" ht="11.25" customHeight="1">
      <c r="B17" s="34" t="s">
        <v>96</v>
      </c>
      <c r="C17" s="39"/>
      <c r="D17" s="39"/>
      <c r="E17" s="323"/>
      <c r="F17" s="323"/>
      <c r="G17" s="323"/>
      <c r="H17" s="323"/>
    </row>
    <row r="18" spans="2:14" ht="13.15" customHeight="1">
      <c r="B18" s="34" t="s">
        <v>97</v>
      </c>
      <c r="C18" s="43"/>
      <c r="D18" s="43"/>
      <c r="E18" s="323"/>
      <c r="F18" s="323"/>
      <c r="G18" s="323"/>
      <c r="H18" s="323"/>
    </row>
    <row r="19" spans="2:14">
      <c r="B19" s="36" t="s">
        <v>98</v>
      </c>
      <c r="C19" s="40">
        <v>174939314</v>
      </c>
      <c r="D19" s="40">
        <f>+C19+D49</f>
        <v>75723272</v>
      </c>
      <c r="E19" s="323">
        <f>+D19-(('Propuesta de pago'!I7+'Propuesta de pago'!I8)/1000)</f>
        <v>45723272</v>
      </c>
      <c r="F19" s="323">
        <f>+E19-(SUM('Propuesta de pago'!J7:J14,'Propuesta de pago'!J20,'Propuesta de pago'!J29,'Propuesta de pago'!J32)/1000)</f>
        <v>16071991.485875256</v>
      </c>
      <c r="G19" s="323">
        <f>+F19-(SUM('Propuesta de pago'!K10:K14,'Propuesta de pago'!K20,'Propuesta de pago'!K29,'Propuesta de pago'!K32,'Propuesta de pago'!K35:K39)/1000)</f>
        <v>10735135.317619801</v>
      </c>
      <c r="H19" s="323">
        <f>+G19-(SUM('Propuesta de pago'!L35:L39)/1000)</f>
        <v>5367567.1657395987</v>
      </c>
      <c r="I19" s="323">
        <f>+H19-(SUM('Propuesta de pago'!M35:M39)/1000)</f>
        <v>-0.98614060319960117</v>
      </c>
      <c r="J19" s="323">
        <f>+I19-(SUM('Propuesta de pago'!N35:N39)/1000)</f>
        <v>-0.98614060319960117</v>
      </c>
      <c r="K19" s="323">
        <f>+J19-(SUM('Propuesta de pago'!O35:O39)/1000)</f>
        <v>-0.98614060319960117</v>
      </c>
      <c r="L19" s="323">
        <f>+K19-(SUM('Propuesta de pago'!P35:P39)/1000)</f>
        <v>-0.98614060319960117</v>
      </c>
      <c r="M19" s="323">
        <f>+L19-(SUM('Propuesta de pago'!Q35:Q39)/1000)</f>
        <v>-0.98614060319960117</v>
      </c>
      <c r="N19" s="323">
        <f>+M19-(SUM('Propuesta de pago'!R35:R39)/1000)</f>
        <v>-0.98614060319960117</v>
      </c>
    </row>
    <row r="20" spans="2:14">
      <c r="B20" s="36" t="s">
        <v>99</v>
      </c>
      <c r="C20" s="40">
        <v>1114304</v>
      </c>
      <c r="D20" s="40">
        <f t="shared" ref="D20:D25" si="15">+C20+D50</f>
        <v>515387</v>
      </c>
      <c r="E20" s="323">
        <f>+D20</f>
        <v>515387</v>
      </c>
      <c r="F20" s="323">
        <f>+E20-(SUM('Propuesta de pago'!J15:J19,'Propuesta de pago'!J21:J28,'Propuesta de pago'!J30:J31)/1000)</f>
        <v>166667.51412474451</v>
      </c>
      <c r="G20" s="323">
        <f>+F20-(SUM('Propuesta de pago'!K15:K19,'Propuesta de pago'!K21:K28,'Propuesta de pago'!K30:K31)/1000)</f>
        <v>135955.53049999999</v>
      </c>
      <c r="H20" s="323">
        <f>+G20-(SUM('Propuesta de pago'!L15:L19,'Propuesta de pago'!L21:L28,'Propuesta de pago'!L30:L31)/1000)</f>
        <v>135955.53049999999</v>
      </c>
      <c r="I20" s="323">
        <f>+H20-(SUM('Propuesta de pago'!M15:M19,'Propuesta de pago'!M21:M28,'Propuesta de pago'!M30:M31)/1000)</f>
        <v>135955.53049999999</v>
      </c>
      <c r="J20" s="323">
        <f>+I20-(SUM('Propuesta de pago'!N15:N19,'Propuesta de pago'!N21:N28,'Propuesta de pago'!N30:N31)/1000)</f>
        <v>135955.53049999999</v>
      </c>
      <c r="K20" s="323">
        <f>+J20-(SUM('Propuesta de pago'!O15:O19,'Propuesta de pago'!O21:O28,'Propuesta de pago'!O30:O31)/1000)</f>
        <v>135955.53049999999</v>
      </c>
      <c r="L20" s="323">
        <f>+K20-(SUM('Propuesta de pago'!P15:P19,'Propuesta de pago'!P21:P28,'Propuesta de pago'!P30:P31)/1000)</f>
        <v>135955.53049999999</v>
      </c>
      <c r="M20" s="323">
        <f>+L20-(SUM('Propuesta de pago'!Q15:Q19,'Propuesta de pago'!Q21:Q28,'Propuesta de pago'!Q30:Q31)/1000)</f>
        <v>135955.53049999999</v>
      </c>
      <c r="N20" s="323">
        <f>+M20-(SUM('Propuesta de pago'!R15:R19,'Propuesta de pago'!R21:R28,'Propuesta de pago'!R30:R31)/1000)</f>
        <v>135955.53049999999</v>
      </c>
    </row>
    <row r="21" spans="2:14" ht="12.75" customHeight="1">
      <c r="B21" s="36" t="s">
        <v>100</v>
      </c>
      <c r="C21" s="40">
        <v>92410243</v>
      </c>
      <c r="D21" s="40">
        <f t="shared" si="15"/>
        <v>35702156.685000002</v>
      </c>
      <c r="E21" s="323">
        <f>+D21*0.9</f>
        <v>32131941.016500004</v>
      </c>
      <c r="F21" s="323">
        <f>+D21*0.8</f>
        <v>28561725.348000005</v>
      </c>
      <c r="G21" s="323">
        <f>+D21*0.7</f>
        <v>24991509.679499999</v>
      </c>
      <c r="H21" s="323">
        <f>+D21*0.6</f>
        <v>21421294.011</v>
      </c>
      <c r="I21" s="323">
        <f>+D21*0.5</f>
        <v>17851078.342500001</v>
      </c>
      <c r="J21" s="323">
        <f>+D21*0.4</f>
        <v>14280862.674000002</v>
      </c>
      <c r="K21" s="323">
        <f>+D21*0.3</f>
        <v>10710647.0055</v>
      </c>
      <c r="L21" s="323">
        <f>+D21*0.2</f>
        <v>7140431.3370000012</v>
      </c>
      <c r="M21" s="323">
        <f>+D21*0.1</f>
        <v>3570215.6685000006</v>
      </c>
      <c r="N21" s="323">
        <f>+D21*0</f>
        <v>0</v>
      </c>
    </row>
    <row r="22" spans="2:14">
      <c r="B22" s="36" t="s">
        <v>101</v>
      </c>
      <c r="C22" s="40">
        <v>10600889</v>
      </c>
      <c r="D22" s="40">
        <f t="shared" si="15"/>
        <v>10600889</v>
      </c>
      <c r="E22" s="323">
        <f>+D22-'Flujo de caja detallado'!C76</f>
        <v>4569805</v>
      </c>
      <c r="F22" s="323">
        <f>+E22-'Flujo de caja detallado'!D76</f>
        <v>3586973.4465000001</v>
      </c>
      <c r="G22" s="323">
        <f>+F22-'Flujo de caja detallado'!E76</f>
        <v>3086973.4465000001</v>
      </c>
      <c r="H22" s="323">
        <f>+G22-'Flujo de caja detallado'!F76</f>
        <v>3086973.4465000001</v>
      </c>
      <c r="I22" s="323">
        <f>+H22-'Flujo de caja detallado'!G76</f>
        <v>3086973.4465000001</v>
      </c>
      <c r="J22" s="323">
        <f>+I22-'Flujo de caja detallado'!H76</f>
        <v>3086973.4465000001</v>
      </c>
      <c r="K22" s="323">
        <f>+J22-'Flujo de caja detallado'!I76</f>
        <v>3086973.4465000001</v>
      </c>
      <c r="L22" s="323">
        <f>+K22-'Flujo de caja detallado'!J76</f>
        <v>3086973.4465000001</v>
      </c>
      <c r="M22" s="323">
        <f>+L22-'Flujo de caja detallado'!K76</f>
        <v>3086973.4465000001</v>
      </c>
      <c r="N22" s="323">
        <f>+M22-'Flujo de caja detallado'!L76</f>
        <v>3086973.4465000001</v>
      </c>
    </row>
    <row r="23" spans="2:14" ht="12.75" customHeight="1">
      <c r="B23" s="36" t="s">
        <v>102</v>
      </c>
      <c r="C23" s="40">
        <v>1881128</v>
      </c>
      <c r="D23" s="40">
        <f t="shared" si="15"/>
        <v>1881128</v>
      </c>
      <c r="E23" s="323">
        <f>+D23-'Flujo de caja detallado'!C77</f>
        <v>1881128</v>
      </c>
      <c r="F23" s="323">
        <f>+E23-'Flujo de caja detallado'!D77</f>
        <v>1381128</v>
      </c>
      <c r="G23" s="323">
        <f>+F23-'Flujo de caja detallado'!E77</f>
        <v>881128</v>
      </c>
      <c r="H23" s="323">
        <f>+G23-'Flujo de caja detallado'!F77</f>
        <v>381128</v>
      </c>
      <c r="I23" s="323">
        <f>+H23-'Flujo de caja detallado'!G77</f>
        <v>0</v>
      </c>
      <c r="J23" s="323">
        <f>+I23-'Flujo de caja detallado'!H77</f>
        <v>0</v>
      </c>
      <c r="K23" s="323">
        <f>+J23-'Flujo de caja detallado'!I77</f>
        <v>0</v>
      </c>
      <c r="L23" s="323">
        <f>+K23-'Flujo de caja detallado'!J77</f>
        <v>0</v>
      </c>
      <c r="M23" s="323">
        <f>+L23-'Flujo de caja detallado'!K77</f>
        <v>0</v>
      </c>
      <c r="N23" s="323">
        <f>+M23-'Flujo de caja detallado'!L77</f>
        <v>0</v>
      </c>
    </row>
    <row r="24" spans="2:14" ht="18" customHeight="1">
      <c r="B24" s="36" t="s">
        <v>103</v>
      </c>
      <c r="C24" s="40">
        <v>9147</v>
      </c>
      <c r="D24" s="40">
        <f t="shared" si="15"/>
        <v>9147</v>
      </c>
      <c r="E24" s="323">
        <f>+D24</f>
        <v>9147</v>
      </c>
      <c r="F24" s="323">
        <f t="shared" ref="F24:H24" si="16">+E24</f>
        <v>9147</v>
      </c>
      <c r="G24" s="323">
        <f t="shared" si="16"/>
        <v>9147</v>
      </c>
      <c r="H24" s="323">
        <f t="shared" si="16"/>
        <v>9147</v>
      </c>
      <c r="I24" s="323">
        <f t="shared" ref="G24:I25" si="17">+H24</f>
        <v>9147</v>
      </c>
      <c r="J24" s="323">
        <f t="shared" ref="J24:J25" si="18">+I24</f>
        <v>9147</v>
      </c>
      <c r="K24" s="323">
        <f t="shared" ref="K24:K25" si="19">+J24</f>
        <v>9147</v>
      </c>
      <c r="L24" s="323">
        <f t="shared" ref="L24:L25" si="20">+K24</f>
        <v>9147</v>
      </c>
      <c r="M24" s="323">
        <f t="shared" ref="M24:M25" si="21">+L24</f>
        <v>9147</v>
      </c>
      <c r="N24" s="323">
        <f t="shared" ref="N24:N25" si="22">+M24</f>
        <v>9147</v>
      </c>
    </row>
    <row r="25" spans="2:14" ht="12.75" customHeight="1">
      <c r="B25" s="36" t="s">
        <v>104</v>
      </c>
      <c r="C25" s="40">
        <v>7870025</v>
      </c>
      <c r="D25" s="40">
        <f t="shared" si="15"/>
        <v>7870025</v>
      </c>
      <c r="E25" s="323">
        <f>+D25</f>
        <v>7870025</v>
      </c>
      <c r="F25" s="323">
        <f t="shared" ref="F25" si="23">+E25</f>
        <v>7870025</v>
      </c>
      <c r="G25" s="323">
        <f t="shared" si="17"/>
        <v>7870025</v>
      </c>
      <c r="H25" s="323">
        <f t="shared" si="17"/>
        <v>7870025</v>
      </c>
      <c r="I25" s="323">
        <f t="shared" si="17"/>
        <v>7870025</v>
      </c>
      <c r="J25" s="323">
        <f t="shared" si="18"/>
        <v>7870025</v>
      </c>
      <c r="K25" s="323">
        <f t="shared" si="19"/>
        <v>7870025</v>
      </c>
      <c r="L25" s="323">
        <f t="shared" si="20"/>
        <v>7870025</v>
      </c>
      <c r="M25" s="323">
        <f t="shared" si="21"/>
        <v>7870025</v>
      </c>
      <c r="N25" s="323">
        <f t="shared" si="22"/>
        <v>7870025</v>
      </c>
    </row>
    <row r="26" spans="2:14">
      <c r="B26" s="36"/>
      <c r="C26" s="40"/>
      <c r="D26" s="40"/>
      <c r="E26" s="323"/>
      <c r="F26" s="323"/>
      <c r="G26" s="323"/>
      <c r="H26" s="323"/>
    </row>
    <row r="27" spans="2:14" ht="13.5" thickBot="1">
      <c r="B27" s="37" t="s">
        <v>105</v>
      </c>
      <c r="C27" s="42">
        <f>SUM(C19:C25)</f>
        <v>288825050</v>
      </c>
      <c r="D27" s="116">
        <f>SUM(D19:D26)</f>
        <v>132302004.685</v>
      </c>
      <c r="E27" s="116">
        <f t="shared" ref="E27:N27" si="24">SUM(E19:E26)</f>
        <v>92700705.016499996</v>
      </c>
      <c r="F27" s="116">
        <f t="shared" si="24"/>
        <v>57647657.794500008</v>
      </c>
      <c r="G27" s="116">
        <f t="shared" si="24"/>
        <v>47709873.974119805</v>
      </c>
      <c r="H27" s="116">
        <f t="shared" si="24"/>
        <v>38272090.153739601</v>
      </c>
      <c r="I27" s="116">
        <f t="shared" si="24"/>
        <v>28953178.333359398</v>
      </c>
      <c r="J27" s="116">
        <f t="shared" si="24"/>
        <v>25382962.664859399</v>
      </c>
      <c r="K27" s="116">
        <f t="shared" si="24"/>
        <v>21812746.996359397</v>
      </c>
      <c r="L27" s="116">
        <f t="shared" si="24"/>
        <v>18242531.327859398</v>
      </c>
      <c r="M27" s="116">
        <f t="shared" si="24"/>
        <v>14672315.659359397</v>
      </c>
      <c r="N27" s="116">
        <f t="shared" si="24"/>
        <v>11102099.990859397</v>
      </c>
    </row>
    <row r="28" spans="2:14">
      <c r="B28" s="36"/>
      <c r="C28" s="44"/>
      <c r="D28" s="44"/>
      <c r="E28" s="47"/>
    </row>
    <row r="29" spans="2:14" ht="13.5" thickBot="1">
      <c r="B29" s="37" t="s">
        <v>106</v>
      </c>
      <c r="C29" s="42">
        <f>+C15-C27</f>
        <v>-66407060</v>
      </c>
      <c r="D29" s="42">
        <f>+D15-D27</f>
        <v>90115985.314999998</v>
      </c>
      <c r="E29" s="42">
        <f t="shared" ref="E29:N29" si="25">+E15-E27</f>
        <v>89717915.545184314</v>
      </c>
      <c r="F29" s="42">
        <f t="shared" si="25"/>
        <v>107205678.63402666</v>
      </c>
      <c r="G29" s="42">
        <f t="shared" si="25"/>
        <v>110537029.36252311</v>
      </c>
      <c r="H29" s="42">
        <f>+H15-H27</f>
        <v>113287871.47313032</v>
      </c>
      <c r="I29" s="42">
        <f t="shared" si="25"/>
        <v>116602253.62378898</v>
      </c>
      <c r="J29" s="42">
        <f t="shared" si="25"/>
        <v>119932682.35200234</v>
      </c>
      <c r="K29" s="42">
        <f t="shared" si="25"/>
        <v>123458539.26835193</v>
      </c>
      <c r="L29" s="42">
        <f t="shared" si="25"/>
        <v>127227912.05804437</v>
      </c>
      <c r="M29" s="42">
        <f t="shared" si="25"/>
        <v>131230043.92405012</v>
      </c>
      <c r="N29" s="42">
        <f t="shared" si="25"/>
        <v>135518566.55424035</v>
      </c>
    </row>
    <row r="30" spans="2:14" ht="12.75" customHeight="1">
      <c r="C30" s="44"/>
      <c r="D30" s="44"/>
      <c r="E30" s="47"/>
    </row>
    <row r="31" spans="2:14">
      <c r="C31" s="44"/>
      <c r="D31" s="44"/>
      <c r="E31" s="323"/>
    </row>
    <row r="32" spans="2:14" ht="13.5" thickBot="1">
      <c r="B32" s="37" t="s">
        <v>112</v>
      </c>
      <c r="C32" s="42"/>
      <c r="D32" s="42"/>
      <c r="E32" s="42">
        <f>+'Flujo de caja detallado'!C15</f>
        <v>-17113466.078411419</v>
      </c>
      <c r="F32" s="42">
        <f>+'Flujo de caja detallado'!D15</f>
        <v>-12939249.426017623</v>
      </c>
      <c r="G32" s="42">
        <f>+'Flujo de caja detallado'!E15</f>
        <v>-3111417.0988247502</v>
      </c>
      <c r="H32" s="42">
        <f>+'Flujo de caja detallado'!F15</f>
        <v>-3603137.6898905011</v>
      </c>
      <c r="I32" s="42">
        <f>+'Flujo de caja detallado'!G15</f>
        <v>-2933223.9756969782</v>
      </c>
      <c r="J32" s="42">
        <f>+'Flujo de caja detallado'!H15</f>
        <v>2873374.5352858305</v>
      </c>
      <c r="K32" s="42">
        <f>+'Flujo de caja detallado'!I15</f>
        <v>3062190.1911184192</v>
      </c>
      <c r="L32" s="42">
        <f>+'Flujo de caja detallado'!J15</f>
        <v>3298476.1038743854</v>
      </c>
      <c r="M32" s="42">
        <f>+'Flujo de caja detallado'!K15</f>
        <v>3523323.2248314023</v>
      </c>
      <c r="N32" s="42">
        <f>+'Flujo de caja detallado'!L15</f>
        <v>3801048.1399820447</v>
      </c>
    </row>
    <row r="33" spans="2:9" ht="12" customHeight="1">
      <c r="C33" s="44"/>
      <c r="D33" s="44"/>
      <c r="E33" s="47"/>
    </row>
    <row r="34" spans="2:9" ht="12" customHeight="1">
      <c r="C34" s="44"/>
      <c r="D34" s="44"/>
      <c r="E34" s="323"/>
      <c r="H34" s="321"/>
    </row>
    <row r="35" spans="2:9">
      <c r="D35" s="323"/>
      <c r="E35" s="47"/>
      <c r="F35" s="323"/>
      <c r="G35" s="321"/>
      <c r="H35" s="325"/>
    </row>
    <row r="36" spans="2:9" ht="22.5" customHeight="1">
      <c r="E36" s="47"/>
      <c r="G36" s="326"/>
      <c r="H36" s="327"/>
      <c r="I36" s="48"/>
    </row>
    <row r="37" spans="2:9">
      <c r="B37"/>
      <c r="C37"/>
      <c r="D37"/>
      <c r="E37"/>
      <c r="F37"/>
      <c r="G37"/>
      <c r="H37"/>
      <c r="I37"/>
    </row>
    <row r="38" spans="2:9" ht="13.5" thickBot="1">
      <c r="D38" s="45" t="s">
        <v>218</v>
      </c>
      <c r="E38" s="47"/>
    </row>
    <row r="39" spans="2:9">
      <c r="B39" s="35" t="s">
        <v>89</v>
      </c>
      <c r="C39" s="35"/>
      <c r="D39" s="52">
        <v>0</v>
      </c>
      <c r="E39" s="47"/>
    </row>
    <row r="40" spans="2:9">
      <c r="B40" s="35" t="s">
        <v>90</v>
      </c>
      <c r="C40" s="35"/>
      <c r="D40" s="52">
        <v>0</v>
      </c>
      <c r="E40" s="47"/>
    </row>
    <row r="41" spans="2:9">
      <c r="B41" s="35" t="s">
        <v>91</v>
      </c>
      <c r="C41" s="35"/>
      <c r="D41" s="52">
        <v>0</v>
      </c>
      <c r="E41" s="47"/>
    </row>
    <row r="42" spans="2:9">
      <c r="B42" s="35" t="s">
        <v>92</v>
      </c>
      <c r="C42" s="35"/>
      <c r="D42" s="323">
        <v>0</v>
      </c>
      <c r="E42" s="47"/>
    </row>
    <row r="43" spans="2:9">
      <c r="B43" s="35" t="s">
        <v>93</v>
      </c>
      <c r="C43" s="35"/>
      <c r="D43" s="323">
        <v>0</v>
      </c>
      <c r="E43" s="47"/>
    </row>
    <row r="44" spans="2:9">
      <c r="B44" s="36" t="s">
        <v>94</v>
      </c>
      <c r="C44" s="36"/>
      <c r="D44" s="323">
        <v>0</v>
      </c>
      <c r="E44" s="47"/>
    </row>
    <row r="45" spans="2:9">
      <c r="B45" s="119" t="s">
        <v>113</v>
      </c>
      <c r="C45" s="119"/>
      <c r="D45" s="55">
        <v>0</v>
      </c>
      <c r="E45" s="47"/>
    </row>
    <row r="46" spans="2:9">
      <c r="B46" s="35"/>
      <c r="C46" s="35"/>
      <c r="D46" s="52"/>
      <c r="E46" s="47"/>
    </row>
    <row r="47" spans="2:9">
      <c r="B47" s="35"/>
      <c r="C47" s="35"/>
      <c r="D47" s="52"/>
      <c r="E47" s="47"/>
    </row>
    <row r="48" spans="2:9">
      <c r="B48" s="34" t="s">
        <v>96</v>
      </c>
      <c r="C48" s="34"/>
      <c r="E48" s="47"/>
    </row>
    <row r="49" spans="2:5">
      <c r="B49" s="36" t="s">
        <v>98</v>
      </c>
      <c r="C49" s="36"/>
      <c r="D49" s="52">
        <v>-99216042</v>
      </c>
      <c r="E49" s="47"/>
    </row>
    <row r="50" spans="2:5">
      <c r="B50" s="36" t="s">
        <v>99</v>
      </c>
      <c r="C50" s="36"/>
      <c r="D50" s="52">
        <v>-598917</v>
      </c>
      <c r="E50" s="47"/>
    </row>
    <row r="51" spans="2:5">
      <c r="B51" s="36" t="s">
        <v>100</v>
      </c>
      <c r="C51" s="36"/>
      <c r="D51" s="52">
        <v>-56708086.314999998</v>
      </c>
      <c r="E51" s="47"/>
    </row>
    <row r="52" spans="2:5">
      <c r="B52" s="36" t="s">
        <v>101</v>
      </c>
      <c r="C52" s="36"/>
      <c r="D52" s="323">
        <v>0</v>
      </c>
      <c r="E52" s="47"/>
    </row>
    <row r="53" spans="2:5">
      <c r="B53" s="36" t="s">
        <v>102</v>
      </c>
      <c r="C53" s="36"/>
      <c r="D53" s="328">
        <v>0</v>
      </c>
      <c r="E53" s="47"/>
    </row>
    <row r="54" spans="2:5">
      <c r="B54" s="36" t="s">
        <v>103</v>
      </c>
      <c r="C54" s="36"/>
      <c r="D54" s="328">
        <v>0</v>
      </c>
      <c r="E54" s="47"/>
    </row>
    <row r="55" spans="2:5">
      <c r="B55" s="36" t="s">
        <v>104</v>
      </c>
      <c r="C55" s="36"/>
      <c r="D55" s="52">
        <v>0</v>
      </c>
      <c r="E55" s="47"/>
    </row>
    <row r="56" spans="2:5">
      <c r="E56" s="47"/>
    </row>
    <row r="57" spans="2:5">
      <c r="D57" s="329"/>
      <c r="E57" s="47"/>
    </row>
    <row r="58" spans="2:5" customFormat="1"/>
    <row r="59" spans="2:5" customFormat="1"/>
    <row r="60" spans="2:5" customFormat="1" ht="78.75" customHeight="1"/>
    <row r="61" spans="2:5" customFormat="1"/>
    <row r="62" spans="2:5" customFormat="1"/>
    <row r="63" spans="2:5" customFormat="1"/>
    <row r="64" spans="2:5"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1048550" spans="6:8">
      <c r="F1048550" s="331" t="s">
        <v>139</v>
      </c>
      <c r="G1048550" s="331" t="s">
        <v>216</v>
      </c>
      <c r="H1048550" s="331" t="s">
        <v>217</v>
      </c>
    </row>
    <row r="1048551" spans="6:8">
      <c r="F1048551" s="156" t="s">
        <v>117</v>
      </c>
      <c r="G1048551" s="178">
        <v>10000000</v>
      </c>
      <c r="H1048551" s="178">
        <v>50000</v>
      </c>
    </row>
    <row r="1048552" spans="6:8">
      <c r="F1048552" s="156" t="s">
        <v>116</v>
      </c>
      <c r="G1048552" s="178">
        <v>18000000</v>
      </c>
      <c r="H1048552" s="178">
        <v>55000</v>
      </c>
    </row>
    <row r="1048553" spans="6:8">
      <c r="F1048553" s="156" t="s">
        <v>115</v>
      </c>
      <c r="G1048553" s="178">
        <v>30000000</v>
      </c>
      <c r="H1048553" s="178">
        <v>75000</v>
      </c>
    </row>
  </sheetData>
  <mergeCells count="1">
    <mergeCell ref="B2:I2"/>
  </mergeCells>
  <phoneticPr fontId="30" type="noConversion"/>
  <pageMargins left="0.7" right="0.7" top="0.75" bottom="0.75" header="0.3" footer="0.3"/>
  <pageSetup paperSize="9" orientation="portrait" r:id="rId1"/>
  <ignoredErrors>
    <ignoredError sqref="E21:F21 E22 E23 E19 E20" formula="1"/>
  </ignoredError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H35"/>
  <sheetViews>
    <sheetView showGridLines="0" workbookViewId="0">
      <pane xSplit="2" ySplit="6" topLeftCell="S20" activePane="bottomRight" state="frozen"/>
      <selection pane="topRight" activeCell="C1" sqref="C1"/>
      <selection pane="bottomLeft" activeCell="A2" sqref="A2"/>
      <selection pane="bottomRight" activeCell="P20" sqref="P20"/>
    </sheetView>
  </sheetViews>
  <sheetFormatPr baseColWidth="10" defaultRowHeight="12.75" outlineLevelCol="1"/>
  <cols>
    <col min="1" max="1" width="39.7109375" style="148" bestFit="1" customWidth="1"/>
    <col min="2" max="2" width="29.28515625" style="148" bestFit="1" customWidth="1"/>
    <col min="3" max="3" width="11.7109375" style="148" bestFit="1" customWidth="1" outlineLevel="1"/>
    <col min="4" max="4" width="12.28515625" style="148" bestFit="1" customWidth="1" outlineLevel="1"/>
    <col min="5" max="10" width="11.7109375" style="148" bestFit="1" customWidth="1" outlineLevel="1"/>
    <col min="11" max="11" width="15.28515625" style="148" bestFit="1" customWidth="1" outlineLevel="1"/>
    <col min="12" max="12" width="12.42578125" style="148" bestFit="1" customWidth="1" outlineLevel="1"/>
    <col min="13" max="13" width="14.85546875" style="148" bestFit="1" customWidth="1" outlineLevel="1"/>
    <col min="14" max="14" width="14" style="148" bestFit="1" customWidth="1" outlineLevel="1"/>
    <col min="15" max="24" width="13.140625" style="148" bestFit="1" customWidth="1"/>
    <col min="25" max="25" width="5" style="148" bestFit="1" customWidth="1"/>
    <col min="26" max="28" width="11.42578125" style="148"/>
    <col min="29" max="29" width="13.5703125" style="148" bestFit="1" customWidth="1"/>
    <col min="30" max="16384" width="11.42578125" style="148"/>
  </cols>
  <sheetData>
    <row r="1" spans="1:34">
      <c r="P1" s="155" t="s">
        <v>436</v>
      </c>
    </row>
    <row r="2" spans="1:34">
      <c r="P2" s="194">
        <v>2024</v>
      </c>
      <c r="Q2" s="194">
        <v>2025</v>
      </c>
      <c r="R2" s="194">
        <v>2026</v>
      </c>
      <c r="S2" s="194">
        <v>2027</v>
      </c>
      <c r="T2" s="194">
        <v>2028</v>
      </c>
      <c r="U2" s="194">
        <v>2029</v>
      </c>
      <c r="V2" s="194">
        <v>2030</v>
      </c>
      <c r="W2" s="194">
        <v>2031</v>
      </c>
      <c r="X2" s="194">
        <v>2032</v>
      </c>
      <c r="Y2" s="194">
        <v>2033</v>
      </c>
    </row>
    <row r="3" spans="1:34">
      <c r="P3" s="195">
        <f>+'IPC - CAFÉ'!E24</f>
        <v>0.06</v>
      </c>
      <c r="Q3" s="195">
        <f>+'IPC - CAFÉ'!F24</f>
        <v>4.5975144331782153E-2</v>
      </c>
      <c r="R3" s="195">
        <f>+'IPC - CAFÉ'!G24</f>
        <v>4.7225144331782154E-2</v>
      </c>
      <c r="S3" s="195">
        <f>+'IPC - CAFÉ'!H24</f>
        <v>4.8475144331782155E-2</v>
      </c>
      <c r="T3" s="195">
        <f>+'IPC - CAFÉ'!I24</f>
        <v>4.9725144331782156E-2</v>
      </c>
      <c r="U3" s="195">
        <f>+'IPC - CAFÉ'!J24</f>
        <v>5.0975144331782157E-2</v>
      </c>
      <c r="V3" s="195">
        <f>+'IPC - CAFÉ'!K24</f>
        <v>5.2225144331782158E-2</v>
      </c>
      <c r="W3" s="195">
        <f>+'IPC - CAFÉ'!L24</f>
        <v>5.347514433178216E-2</v>
      </c>
      <c r="X3" s="195">
        <f>+'IPC - CAFÉ'!M24</f>
        <v>5.4725144331782161E-2</v>
      </c>
      <c r="Y3" s="195">
        <f>+'IPC - CAFÉ'!N24</f>
        <v>5.5975144331782162E-2</v>
      </c>
      <c r="Z3" s="195"/>
    </row>
    <row r="4" spans="1:34">
      <c r="P4" s="214"/>
      <c r="Q4" s="214"/>
      <c r="R4" s="214"/>
      <c r="S4" s="214"/>
    </row>
    <row r="5" spans="1:34" ht="15.75">
      <c r="O5" s="905" t="s">
        <v>443</v>
      </c>
      <c r="P5" s="905"/>
      <c r="Q5" s="905"/>
      <c r="R5" s="905"/>
      <c r="S5" s="905"/>
    </row>
    <row r="6" spans="1:34">
      <c r="A6" s="196" t="s">
        <v>333</v>
      </c>
      <c r="B6" s="197" t="s">
        <v>334</v>
      </c>
      <c r="C6" s="198" t="s">
        <v>335</v>
      </c>
      <c r="D6" s="198" t="s">
        <v>336</v>
      </c>
      <c r="E6" s="198" t="s">
        <v>337</v>
      </c>
      <c r="F6" s="198" t="s">
        <v>338</v>
      </c>
      <c r="G6" s="198" t="s">
        <v>339</v>
      </c>
      <c r="H6" s="198" t="s">
        <v>340</v>
      </c>
      <c r="I6" s="198" t="s">
        <v>341</v>
      </c>
      <c r="J6" s="198" t="s">
        <v>342</v>
      </c>
      <c r="K6" s="198" t="s">
        <v>343</v>
      </c>
      <c r="L6" s="198" t="s">
        <v>344</v>
      </c>
      <c r="M6" s="198" t="s">
        <v>345</v>
      </c>
      <c r="N6" s="198" t="s">
        <v>346</v>
      </c>
      <c r="O6" s="199" t="s">
        <v>397</v>
      </c>
      <c r="P6" s="199" t="s">
        <v>227</v>
      </c>
      <c r="Q6" s="199" t="s">
        <v>330</v>
      </c>
      <c r="R6" s="199" t="s">
        <v>229</v>
      </c>
      <c r="S6" s="199" t="s">
        <v>230</v>
      </c>
      <c r="T6" s="199" t="s">
        <v>231</v>
      </c>
      <c r="U6" s="199" t="s">
        <v>232</v>
      </c>
      <c r="V6" s="199" t="s">
        <v>233</v>
      </c>
      <c r="W6" s="199" t="s">
        <v>3010</v>
      </c>
      <c r="X6" s="199" t="s">
        <v>3011</v>
      </c>
      <c r="AC6" s="155" t="s">
        <v>439</v>
      </c>
    </row>
    <row r="7" spans="1:34">
      <c r="A7" s="200" t="s">
        <v>347</v>
      </c>
      <c r="B7" s="201" t="s">
        <v>348</v>
      </c>
      <c r="C7" s="202">
        <v>1009223</v>
      </c>
      <c r="D7" s="202">
        <v>1009223</v>
      </c>
      <c r="E7" s="202">
        <v>1009223</v>
      </c>
      <c r="F7" s="202">
        <v>1009223</v>
      </c>
      <c r="G7" s="202">
        <v>1009223</v>
      </c>
      <c r="H7" s="202">
        <v>1009223</v>
      </c>
      <c r="I7" s="202">
        <v>1009223</v>
      </c>
      <c r="J7" s="202">
        <v>1009223</v>
      </c>
      <c r="K7" s="202">
        <v>1009223</v>
      </c>
      <c r="L7" s="202">
        <v>1009223</v>
      </c>
      <c r="M7" s="202">
        <v>1009223</v>
      </c>
      <c r="N7" s="202">
        <v>1009223</v>
      </c>
      <c r="O7" s="203">
        <f>SUM(C7:N7)</f>
        <v>12110676</v>
      </c>
      <c r="P7" s="204">
        <f>+O7*(1+P$3)</f>
        <v>12837316.560000001</v>
      </c>
      <c r="Q7" s="204">
        <f t="shared" ref="Q7:S7" si="0">+P7*(1+Q$3)</f>
        <v>13427514.041678779</v>
      </c>
      <c r="R7" s="204">
        <f t="shared" si="0"/>
        <v>14061630.33031409</v>
      </c>
      <c r="S7" s="204">
        <f t="shared" si="0"/>
        <v>14743269.890116232</v>
      </c>
      <c r="T7" s="204">
        <f t="shared" ref="T7:T34" si="1">+S7*(1+T$3)</f>
        <v>15476381.113324678</v>
      </c>
      <c r="U7" s="204">
        <f t="shared" ref="U7:U34" si="2">+T7*(1+U$3)</f>
        <v>16265291.874310069</v>
      </c>
      <c r="V7" s="204">
        <f t="shared" ref="V7:V34" si="3">+U7*(1+V$3)</f>
        <v>17114749.090044472</v>
      </c>
      <c r="W7" s="204">
        <f t="shared" ref="W7:W34" si="4">+V7*(1+W$3)</f>
        <v>18029962.767836839</v>
      </c>
      <c r="X7" s="204">
        <f t="shared" ref="X7:X34" si="5">+W7*(1+X$3)</f>
        <v>19016655.082603369</v>
      </c>
      <c r="AC7" s="907" t="s">
        <v>440</v>
      </c>
      <c r="AD7" s="908"/>
      <c r="AE7" s="908"/>
      <c r="AF7" s="908"/>
      <c r="AG7" s="908"/>
      <c r="AH7" s="909"/>
    </row>
    <row r="8" spans="1:34">
      <c r="A8" s="200" t="s">
        <v>349</v>
      </c>
      <c r="B8" s="201" t="s">
        <v>350</v>
      </c>
      <c r="C8" s="202">
        <v>3198187</v>
      </c>
      <c r="D8" s="202">
        <v>3198187</v>
      </c>
      <c r="E8" s="202">
        <v>3198187</v>
      </c>
      <c r="F8" s="202">
        <v>3494979</v>
      </c>
      <c r="G8" s="202">
        <v>3494979</v>
      </c>
      <c r="H8" s="202">
        <v>3494979</v>
      </c>
      <c r="I8" s="202">
        <v>3494979</v>
      </c>
      <c r="J8" s="202">
        <v>3494979</v>
      </c>
      <c r="K8" s="202">
        <v>3494979</v>
      </c>
      <c r="L8" s="202">
        <v>3494979</v>
      </c>
      <c r="M8" s="202">
        <v>3494979</v>
      </c>
      <c r="N8" s="202">
        <v>3494979</v>
      </c>
      <c r="O8" s="203">
        <f t="shared" ref="O8:O30" si="6">SUM(C8:N8)</f>
        <v>41049372</v>
      </c>
      <c r="P8" s="204">
        <f t="shared" ref="P8:S8" si="7">+O8*(1+P$3)</f>
        <v>43512334.32</v>
      </c>
      <c r="Q8" s="204">
        <f t="shared" si="7"/>
        <v>45512820.170574762</v>
      </c>
      <c r="R8" s="204">
        <f t="shared" si="7"/>
        <v>47662169.672076598</v>
      </c>
      <c r="S8" s="204">
        <f t="shared" si="7"/>
        <v>49972600.226096399</v>
      </c>
      <c r="T8" s="204">
        <f t="shared" si="1"/>
        <v>52457494.98497349</v>
      </c>
      <c r="U8" s="204">
        <f t="shared" si="2"/>
        <v>55131523.363116249</v>
      </c>
      <c r="V8" s="204">
        <f t="shared" si="3"/>
        <v>58010775.127986006</v>
      </c>
      <c r="W8" s="204">
        <f t="shared" si="4"/>
        <v>61112909.700753622</v>
      </c>
      <c r="X8" s="204">
        <f t="shared" si="5"/>
        <v>64457322.504662536</v>
      </c>
      <c r="AC8" s="910"/>
      <c r="AD8" s="911"/>
      <c r="AE8" s="911"/>
      <c r="AF8" s="911"/>
      <c r="AG8" s="911"/>
      <c r="AH8" s="912"/>
    </row>
    <row r="9" spans="1:34">
      <c r="A9" s="205" t="s">
        <v>351</v>
      </c>
      <c r="B9" s="206" t="s">
        <v>352</v>
      </c>
      <c r="C9" s="202">
        <v>6322201</v>
      </c>
      <c r="D9" s="202">
        <v>6322201</v>
      </c>
      <c r="E9" s="202">
        <v>6322201</v>
      </c>
      <c r="F9" s="202">
        <v>6322201</v>
      </c>
      <c r="G9" s="202">
        <v>6322201</v>
      </c>
      <c r="H9" s="202">
        <v>6322201</v>
      </c>
      <c r="I9" s="202">
        <v>6322201</v>
      </c>
      <c r="J9" s="202">
        <v>6322201</v>
      </c>
      <c r="K9" s="202">
        <v>6322201</v>
      </c>
      <c r="L9" s="202">
        <v>6322201</v>
      </c>
      <c r="M9" s="202">
        <v>6322201</v>
      </c>
      <c r="N9" s="202">
        <v>6908901</v>
      </c>
      <c r="O9" s="203">
        <f t="shared" si="6"/>
        <v>76453112</v>
      </c>
      <c r="P9" s="204">
        <f t="shared" ref="P9:S9" si="8">+O9*(1+P$3)</f>
        <v>81040298.719999999</v>
      </c>
      <c r="Q9" s="204">
        <f t="shared" si="8"/>
        <v>84766138.150342748</v>
      </c>
      <c r="R9" s="204">
        <f t="shared" si="8"/>
        <v>88769231.258940473</v>
      </c>
      <c r="S9" s="204">
        <f t="shared" si="8"/>
        <v>93072332.556438953</v>
      </c>
      <c r="T9" s="204">
        <f t="shared" si="1"/>
        <v>97700367.7261035</v>
      </c>
      <c r="U9" s="204">
        <f t="shared" si="2"/>
        <v>102680658.07220981</v>
      </c>
      <c r="V9" s="204">
        <f t="shared" si="3"/>
        <v>108043170.26011333</v>
      </c>
      <c r="W9" s="204">
        <f t="shared" si="4"/>
        <v>113820794.38383621</v>
      </c>
      <c r="X9" s="204">
        <f t="shared" si="5"/>
        <v>120049653.78444976</v>
      </c>
      <c r="AC9" s="910"/>
      <c r="AD9" s="911"/>
      <c r="AE9" s="911"/>
      <c r="AF9" s="911"/>
      <c r="AG9" s="911"/>
      <c r="AH9" s="912"/>
    </row>
    <row r="10" spans="1:34">
      <c r="A10" s="205" t="s">
        <v>353</v>
      </c>
      <c r="B10" s="205" t="s">
        <v>354</v>
      </c>
      <c r="C10" s="202">
        <v>1300000</v>
      </c>
      <c r="D10" s="202">
        <v>1300000</v>
      </c>
      <c r="E10" s="202">
        <v>1300000</v>
      </c>
      <c r="F10" s="202">
        <v>1300000</v>
      </c>
      <c r="G10" s="202">
        <v>1300000</v>
      </c>
      <c r="H10" s="202">
        <v>1300000</v>
      </c>
      <c r="I10" s="202">
        <v>1300000</v>
      </c>
      <c r="J10" s="202">
        <v>1300000</v>
      </c>
      <c r="K10" s="202">
        <v>1300000</v>
      </c>
      <c r="L10" s="202">
        <v>1300000</v>
      </c>
      <c r="M10" s="202">
        <v>1300000</v>
      </c>
      <c r="N10" s="202">
        <v>1300000</v>
      </c>
      <c r="O10" s="203">
        <f t="shared" si="6"/>
        <v>15600000</v>
      </c>
      <c r="P10" s="204">
        <f t="shared" ref="P10:S10" si="9">+O10*(1+P$3)</f>
        <v>16536000</v>
      </c>
      <c r="Q10" s="204">
        <f t="shared" si="9"/>
        <v>17296244.986670349</v>
      </c>
      <c r="R10" s="204">
        <f t="shared" si="9"/>
        <v>18113062.652563721</v>
      </c>
      <c r="S10" s="204">
        <f t="shared" si="9"/>
        <v>18991095.978937361</v>
      </c>
      <c r="T10" s="204">
        <f t="shared" si="1"/>
        <v>19935430.967508748</v>
      </c>
      <c r="U10" s="204">
        <f t="shared" si="2"/>
        <v>20951642.438393783</v>
      </c>
      <c r="V10" s="204">
        <f t="shared" si="3"/>
        <v>22045844.988726787</v>
      </c>
      <c r="W10" s="204">
        <f t="shared" si="4"/>
        <v>23224749.731415052</v>
      </c>
      <c r="X10" s="204">
        <f t="shared" si="5"/>
        <v>24495727.512536261</v>
      </c>
      <c r="AC10" s="910"/>
      <c r="AD10" s="911"/>
      <c r="AE10" s="911"/>
      <c r="AF10" s="911"/>
      <c r="AG10" s="911"/>
      <c r="AH10" s="912"/>
    </row>
    <row r="11" spans="1:34" ht="25.5">
      <c r="A11" s="207" t="s">
        <v>355</v>
      </c>
      <c r="B11" s="205" t="s">
        <v>356</v>
      </c>
      <c r="C11" s="202">
        <v>378151</v>
      </c>
      <c r="D11" s="202">
        <v>378151</v>
      </c>
      <c r="E11" s="202">
        <v>378151</v>
      </c>
      <c r="F11" s="202">
        <v>378151</v>
      </c>
      <c r="G11" s="202">
        <v>378151</v>
      </c>
      <c r="H11" s="202">
        <v>378151</v>
      </c>
      <c r="I11" s="202">
        <v>378151</v>
      </c>
      <c r="J11" s="202">
        <v>378151</v>
      </c>
      <c r="K11" s="202">
        <v>378151</v>
      </c>
      <c r="L11" s="202">
        <v>378151</v>
      </c>
      <c r="M11" s="202">
        <v>378151</v>
      </c>
      <c r="N11" s="202">
        <v>378151</v>
      </c>
      <c r="O11" s="203">
        <f t="shared" si="6"/>
        <v>4537812</v>
      </c>
      <c r="P11" s="204">
        <f t="shared" ref="P11:S11" si="10">+O11*(1+P$3)</f>
        <v>4810080.7200000007</v>
      </c>
      <c r="Q11" s="204">
        <f t="shared" si="10"/>
        <v>5031224.8753495235</v>
      </c>
      <c r="R11" s="204">
        <f t="shared" si="10"/>
        <v>5268825.1962535577</v>
      </c>
      <c r="S11" s="204">
        <f t="shared" si="10"/>
        <v>5524232.2581008794</v>
      </c>
      <c r="T11" s="204">
        <f t="shared" si="1"/>
        <v>5798925.5044572325</v>
      </c>
      <c r="U11" s="204">
        <f t="shared" si="2"/>
        <v>6094526.5690161921</v>
      </c>
      <c r="V11" s="204">
        <f t="shared" si="3"/>
        <v>6412814.0987169435</v>
      </c>
      <c r="W11" s="204">
        <f t="shared" si="4"/>
        <v>6755740.2582187206</v>
      </c>
      <c r="X11" s="204">
        <f t="shared" si="5"/>
        <v>7125449.1189177716</v>
      </c>
      <c r="AC11" s="913"/>
      <c r="AD11" s="914"/>
      <c r="AE11" s="914"/>
      <c r="AF11" s="914"/>
      <c r="AG11" s="914"/>
      <c r="AH11" s="915"/>
    </row>
    <row r="12" spans="1:34" ht="25.5">
      <c r="A12" s="207" t="s">
        <v>357</v>
      </c>
      <c r="B12" s="205" t="s">
        <v>358</v>
      </c>
      <c r="C12" s="202">
        <v>92437</v>
      </c>
      <c r="D12" s="202">
        <v>92437</v>
      </c>
      <c r="E12" s="202">
        <v>92437</v>
      </c>
      <c r="F12" s="202">
        <v>92437</v>
      </c>
      <c r="G12" s="202">
        <v>92437</v>
      </c>
      <c r="H12" s="202">
        <v>92437</v>
      </c>
      <c r="I12" s="202">
        <v>92437</v>
      </c>
      <c r="J12" s="202">
        <v>92437</v>
      </c>
      <c r="K12" s="202">
        <v>92437</v>
      </c>
      <c r="L12" s="202">
        <v>92437</v>
      </c>
      <c r="M12" s="202">
        <v>92437</v>
      </c>
      <c r="N12" s="202">
        <v>92437</v>
      </c>
      <c r="O12" s="203">
        <f t="shared" si="6"/>
        <v>1109244</v>
      </c>
      <c r="P12" s="204">
        <f t="shared" ref="P12:S12" si="11">+O12*(1+P$3)</f>
        <v>1175798.6400000001</v>
      </c>
      <c r="Q12" s="204">
        <f t="shared" si="11"/>
        <v>1229856.1521791134</v>
      </c>
      <c r="R12" s="204">
        <f t="shared" si="11"/>
        <v>1287936.2864731022</v>
      </c>
      <c r="S12" s="204">
        <f t="shared" si="11"/>
        <v>1350369.1838500253</v>
      </c>
      <c r="T12" s="204">
        <f t="shared" si="1"/>
        <v>1417516.4864181585</v>
      </c>
      <c r="U12" s="204">
        <f t="shared" si="2"/>
        <v>1489774.5939060047</v>
      </c>
      <c r="V12" s="204">
        <f t="shared" si="3"/>
        <v>1567578.2870945677</v>
      </c>
      <c r="W12" s="204">
        <f t="shared" si="4"/>
        <v>1651404.7622483177</v>
      </c>
      <c r="X12" s="204">
        <f t="shared" si="5"/>
        <v>1741778.1262125494</v>
      </c>
    </row>
    <row r="13" spans="1:34">
      <c r="A13" s="200" t="s">
        <v>359</v>
      </c>
      <c r="B13" s="205" t="s">
        <v>360</v>
      </c>
      <c r="C13" s="202">
        <v>859797</v>
      </c>
      <c r="D13" s="202">
        <v>859797</v>
      </c>
      <c r="E13" s="202">
        <v>859797</v>
      </c>
      <c r="F13" s="202">
        <v>859797</v>
      </c>
      <c r="G13" s="202">
        <v>859797</v>
      </c>
      <c r="H13" s="202">
        <v>859797</v>
      </c>
      <c r="I13" s="202">
        <v>859797</v>
      </c>
      <c r="J13" s="202">
        <v>859797</v>
      </c>
      <c r="K13" s="202">
        <v>859797</v>
      </c>
      <c r="L13" s="202">
        <v>859797</v>
      </c>
      <c r="M13" s="202">
        <v>859797</v>
      </c>
      <c r="N13" s="202">
        <v>973978</v>
      </c>
      <c r="O13" s="203">
        <f t="shared" si="6"/>
        <v>10431745</v>
      </c>
      <c r="P13" s="204">
        <f t="shared" ref="P13:S13" si="12">+O13*(1+P$3)</f>
        <v>11057649.700000001</v>
      </c>
      <c r="Q13" s="204">
        <f t="shared" si="12"/>
        <v>11566026.740927789</v>
      </c>
      <c r="R13" s="204">
        <f t="shared" si="12"/>
        <v>12112234.023113357</v>
      </c>
      <c r="S13" s="204">
        <f t="shared" si="12"/>
        <v>12699376.3155641</v>
      </c>
      <c r="T13" s="204">
        <f t="shared" si="1"/>
        <v>13330854.635779141</v>
      </c>
      <c r="U13" s="204">
        <f t="shared" si="2"/>
        <v>14010396.874903988</v>
      </c>
      <c r="V13" s="204">
        <f t="shared" si="3"/>
        <v>14742091.873841397</v>
      </c>
      <c r="W13" s="204">
        <f t="shared" si="4"/>
        <v>15530427.364547459</v>
      </c>
      <c r="X13" s="204">
        <f t="shared" si="5"/>
        <v>16380332.243606579</v>
      </c>
    </row>
    <row r="14" spans="1:34">
      <c r="A14" s="208" t="s">
        <v>361</v>
      </c>
      <c r="B14" s="200" t="s">
        <v>362</v>
      </c>
      <c r="C14" s="202">
        <v>12998319</v>
      </c>
      <c r="D14" s="202">
        <v>12998319</v>
      </c>
      <c r="E14" s="202">
        <v>14204563</v>
      </c>
      <c r="F14" s="202">
        <v>14204563</v>
      </c>
      <c r="G14" s="202">
        <v>14204563</v>
      </c>
      <c r="H14" s="202">
        <v>14204563</v>
      </c>
      <c r="I14" s="202">
        <v>14204563</v>
      </c>
      <c r="J14" s="202">
        <v>14204563</v>
      </c>
      <c r="K14" s="202">
        <v>14204563</v>
      </c>
      <c r="L14" s="202">
        <v>14204563</v>
      </c>
      <c r="M14" s="202">
        <v>14204563</v>
      </c>
      <c r="N14" s="202">
        <v>14204563</v>
      </c>
      <c r="O14" s="203">
        <f t="shared" si="6"/>
        <v>168042268</v>
      </c>
      <c r="P14" s="204">
        <f t="shared" ref="P14:S14" si="13">+O14*(1+P$3)</f>
        <v>178124804.08000001</v>
      </c>
      <c r="Q14" s="204">
        <f t="shared" si="13"/>
        <v>186314117.65664843</v>
      </c>
      <c r="R14" s="204">
        <f t="shared" si="13"/>
        <v>195112828.75403228</v>
      </c>
      <c r="S14" s="204">
        <f t="shared" si="13"/>
        <v>204570951.28886628</v>
      </c>
      <c r="T14" s="204">
        <f t="shared" si="1"/>
        <v>214743271.36779511</v>
      </c>
      <c r="U14" s="204">
        <f t="shared" si="2"/>
        <v>225689840.62004751</v>
      </c>
      <c r="V14" s="204">
        <f t="shared" si="3"/>
        <v>237476525.12064639</v>
      </c>
      <c r="W14" s="204">
        <f t="shared" si="4"/>
        <v>250175616.57688308</v>
      </c>
      <c r="X14" s="204">
        <f t="shared" si="5"/>
        <v>263866513.3023456</v>
      </c>
    </row>
    <row r="15" spans="1:34">
      <c r="A15" s="201" t="s">
        <v>363</v>
      </c>
      <c r="B15" s="201" t="s">
        <v>364</v>
      </c>
      <c r="C15" s="202">
        <v>367500</v>
      </c>
      <c r="D15" s="202">
        <v>367500</v>
      </c>
      <c r="E15" s="202">
        <v>367500</v>
      </c>
      <c r="F15" s="202">
        <v>367500</v>
      </c>
      <c r="G15" s="202">
        <v>385875</v>
      </c>
      <c r="H15" s="202">
        <v>385875</v>
      </c>
      <c r="I15" s="202">
        <v>385875</v>
      </c>
      <c r="J15" s="202">
        <v>385875</v>
      </c>
      <c r="K15" s="202">
        <v>385875</v>
      </c>
      <c r="L15" s="202">
        <v>385875</v>
      </c>
      <c r="M15" s="202">
        <v>385875</v>
      </c>
      <c r="N15" s="202">
        <v>385875</v>
      </c>
      <c r="O15" s="203">
        <f t="shared" si="6"/>
        <v>4557000</v>
      </c>
      <c r="P15" s="204">
        <f t="shared" ref="P15:S15" si="14">+O15*(1+P$3)</f>
        <v>4830420</v>
      </c>
      <c r="Q15" s="204">
        <f t="shared" si="14"/>
        <v>5052499.256683127</v>
      </c>
      <c r="R15" s="204">
        <f t="shared" si="14"/>
        <v>5291104.2633162094</v>
      </c>
      <c r="S15" s="204">
        <f t="shared" si="14"/>
        <v>5547591.3061549701</v>
      </c>
      <c r="T15" s="204">
        <f t="shared" si="1"/>
        <v>5823446.0845472654</v>
      </c>
      <c r="U15" s="204">
        <f t="shared" si="2"/>
        <v>6120297.0892154137</v>
      </c>
      <c r="V15" s="204">
        <f t="shared" si="3"/>
        <v>6439930.4880530741</v>
      </c>
      <c r="W15" s="204">
        <f t="shared" si="4"/>
        <v>6784306.700388357</v>
      </c>
      <c r="X15" s="204">
        <f t="shared" si="5"/>
        <v>7155578.8637581868</v>
      </c>
    </row>
    <row r="16" spans="1:34">
      <c r="A16" s="201" t="s">
        <v>365</v>
      </c>
      <c r="B16" s="201" t="s">
        <v>366</v>
      </c>
      <c r="C16" s="202">
        <v>800000</v>
      </c>
      <c r="D16" s="202">
        <v>800000</v>
      </c>
      <c r="E16" s="202">
        <v>800000</v>
      </c>
      <c r="F16" s="202">
        <v>898240</v>
      </c>
      <c r="G16" s="202">
        <v>898240</v>
      </c>
      <c r="H16" s="202">
        <v>898240</v>
      </c>
      <c r="I16" s="202">
        <v>898240</v>
      </c>
      <c r="J16" s="202">
        <v>898240</v>
      </c>
      <c r="K16" s="202">
        <v>898240</v>
      </c>
      <c r="L16" s="202">
        <v>898240</v>
      </c>
      <c r="M16" s="202">
        <v>898240</v>
      </c>
      <c r="N16" s="202">
        <v>898240</v>
      </c>
      <c r="O16" s="203">
        <f t="shared" si="6"/>
        <v>10484160</v>
      </c>
      <c r="P16" s="204">
        <f t="shared" ref="P16:S16" si="15">+O16*(1+P$3)</f>
        <v>11113209.600000001</v>
      </c>
      <c r="Q16" s="204">
        <f t="shared" si="15"/>
        <v>11624141.015349349</v>
      </c>
      <c r="R16" s="204">
        <f t="shared" si="15"/>
        <v>12173092.75253221</v>
      </c>
      <c r="S16" s="204">
        <f t="shared" si="15"/>
        <v>12763185.18067538</v>
      </c>
      <c r="T16" s="204">
        <f t="shared" si="1"/>
        <v>13397836.405917726</v>
      </c>
      <c r="U16" s="204">
        <f t="shared" si="2"/>
        <v>14080793.050442986</v>
      </c>
      <c r="V16" s="204">
        <f t="shared" si="3"/>
        <v>14816164.499808325</v>
      </c>
      <c r="W16" s="204">
        <f t="shared" si="4"/>
        <v>15608461.034879003</v>
      </c>
      <c r="X16" s="204">
        <f t="shared" si="5"/>
        <v>16462636.317809755</v>
      </c>
    </row>
    <row r="17" spans="1:24">
      <c r="A17" s="201" t="s">
        <v>367</v>
      </c>
      <c r="B17" s="206" t="s">
        <v>368</v>
      </c>
      <c r="C17" s="202">
        <v>176471</v>
      </c>
      <c r="D17" s="202">
        <v>176471</v>
      </c>
      <c r="E17" s="202">
        <v>176471</v>
      </c>
      <c r="F17" s="202">
        <v>176471</v>
      </c>
      <c r="G17" s="202">
        <v>176471</v>
      </c>
      <c r="H17" s="202">
        <v>185295</v>
      </c>
      <c r="I17" s="202">
        <v>185295</v>
      </c>
      <c r="J17" s="202">
        <v>185295</v>
      </c>
      <c r="K17" s="202">
        <v>185295</v>
      </c>
      <c r="L17" s="202">
        <v>185295</v>
      </c>
      <c r="M17" s="202">
        <v>185295</v>
      </c>
      <c r="N17" s="202">
        <v>185295</v>
      </c>
      <c r="O17" s="203">
        <f t="shared" si="6"/>
        <v>2179420</v>
      </c>
      <c r="P17" s="204">
        <f t="shared" ref="P17:S17" si="16">+O17*(1+P$3)</f>
        <v>2310185.2000000002</v>
      </c>
      <c r="Q17" s="204">
        <f t="shared" si="16"/>
        <v>2416396.2980031474</v>
      </c>
      <c r="R17" s="204">
        <f t="shared" si="16"/>
        <v>2530510.96193913</v>
      </c>
      <c r="S17" s="204">
        <f t="shared" si="16"/>
        <v>2653177.8460522862</v>
      </c>
      <c r="T17" s="204">
        <f t="shared" si="1"/>
        <v>2785107.4973851228</v>
      </c>
      <c r="U17" s="204">
        <f t="shared" si="2"/>
        <v>2927078.754043858</v>
      </c>
      <c r="V17" s="204">
        <f t="shared" si="3"/>
        <v>3079945.8644442912</v>
      </c>
      <c r="W17" s="204">
        <f t="shared" si="4"/>
        <v>3244646.4140795255</v>
      </c>
      <c r="X17" s="204">
        <f t="shared" si="5"/>
        <v>3422210.1573956273</v>
      </c>
    </row>
    <row r="18" spans="1:24">
      <c r="A18" s="201" t="s">
        <v>369</v>
      </c>
      <c r="B18" s="201" t="s">
        <v>370</v>
      </c>
      <c r="C18" s="202">
        <v>2322400</v>
      </c>
      <c r="D18" s="202">
        <v>2322400</v>
      </c>
      <c r="E18" s="202">
        <v>2322400</v>
      </c>
      <c r="F18" s="202">
        <v>2607591</v>
      </c>
      <c r="G18" s="202">
        <v>2607591</v>
      </c>
      <c r="H18" s="202">
        <v>2607591</v>
      </c>
      <c r="I18" s="202">
        <v>2607591</v>
      </c>
      <c r="J18" s="202">
        <v>2607591</v>
      </c>
      <c r="K18" s="202">
        <v>2607591</v>
      </c>
      <c r="L18" s="202">
        <v>2607591</v>
      </c>
      <c r="M18" s="202">
        <v>2607591</v>
      </c>
      <c r="N18" s="202">
        <v>2607591</v>
      </c>
      <c r="O18" s="203">
        <f t="shared" si="6"/>
        <v>30435519</v>
      </c>
      <c r="P18" s="204">
        <f t="shared" ref="P18:S18" si="17">+O18*(1+P$3)</f>
        <v>32261650.140000001</v>
      </c>
      <c r="Q18" s="204">
        <f t="shared" si="17"/>
        <v>33744884.161567964</v>
      </c>
      <c r="R18" s="204">
        <f t="shared" si="17"/>
        <v>35338491.186557278</v>
      </c>
      <c r="S18" s="204">
        <f t="shared" si="17"/>
        <v>37051529.647293054</v>
      </c>
      <c r="T18" s="204">
        <f t="shared" si="1"/>
        <v>38893922.306718007</v>
      </c>
      <c r="U18" s="204">
        <f t="shared" si="2"/>
        <v>40876545.609932072</v>
      </c>
      <c r="V18" s="204">
        <f t="shared" si="3"/>
        <v>43011329.104195446</v>
      </c>
      <c r="W18" s="204">
        <f t="shared" si="4"/>
        <v>45311366.135944083</v>
      </c>
      <c r="X18" s="204">
        <f t="shared" si="5"/>
        <v>47791037.187603854</v>
      </c>
    </row>
    <row r="19" spans="1:24">
      <c r="A19" s="201" t="s">
        <v>371</v>
      </c>
      <c r="B19" s="201" t="s">
        <v>372</v>
      </c>
      <c r="C19" s="202">
        <v>487899</v>
      </c>
      <c r="D19" s="202">
        <v>487899</v>
      </c>
      <c r="E19" s="202">
        <v>487899</v>
      </c>
      <c r="F19" s="202">
        <v>487899</v>
      </c>
      <c r="G19" s="202">
        <v>547813</v>
      </c>
      <c r="H19" s="202">
        <v>547813</v>
      </c>
      <c r="I19" s="202">
        <v>547813</v>
      </c>
      <c r="J19" s="202">
        <v>547813</v>
      </c>
      <c r="K19" s="202">
        <v>547813</v>
      </c>
      <c r="L19" s="202">
        <v>547813</v>
      </c>
      <c r="M19" s="202">
        <v>547813</v>
      </c>
      <c r="N19" s="202">
        <v>547813</v>
      </c>
      <c r="O19" s="203">
        <f t="shared" si="6"/>
        <v>6334100</v>
      </c>
      <c r="P19" s="204">
        <f t="shared" ref="P19:S19" si="18">+O19*(1+P$3)</f>
        <v>6714146</v>
      </c>
      <c r="Q19" s="204">
        <f t="shared" si="18"/>
        <v>7022829.8314146576</v>
      </c>
      <c r="R19" s="204">
        <f t="shared" si="18"/>
        <v>7354483.9838207606</v>
      </c>
      <c r="S19" s="204">
        <f t="shared" si="18"/>
        <v>7710993.6564222518</v>
      </c>
      <c r="T19" s="204">
        <f t="shared" si="1"/>
        <v>8094423.9289293047</v>
      </c>
      <c r="U19" s="204">
        <f t="shared" si="2"/>
        <v>8507038.3569891062</v>
      </c>
      <c r="V19" s="204">
        <f t="shared" si="3"/>
        <v>8951319.6630188674</v>
      </c>
      <c r="W19" s="204">
        <f t="shared" si="4"/>
        <v>9429992.7739587221</v>
      </c>
      <c r="X19" s="204">
        <f t="shared" si="5"/>
        <v>9946050.4895612765</v>
      </c>
    </row>
    <row r="20" spans="1:24">
      <c r="A20" s="201" t="s">
        <v>373</v>
      </c>
      <c r="B20" s="201" t="s">
        <v>374</v>
      </c>
      <c r="C20" s="202">
        <v>6300000</v>
      </c>
      <c r="D20" s="202">
        <v>6300000</v>
      </c>
      <c r="E20" s="202">
        <v>7073640</v>
      </c>
      <c r="F20" s="202">
        <v>7073640</v>
      </c>
      <c r="G20" s="202">
        <v>7073640</v>
      </c>
      <c r="H20" s="202">
        <v>7073640</v>
      </c>
      <c r="I20" s="202">
        <v>7073640</v>
      </c>
      <c r="J20" s="202">
        <v>7073640</v>
      </c>
      <c r="K20" s="202">
        <v>7073640</v>
      </c>
      <c r="L20" s="202">
        <v>7073640</v>
      </c>
      <c r="M20" s="202">
        <v>7073640</v>
      </c>
      <c r="N20" s="202">
        <v>7073640</v>
      </c>
      <c r="O20" s="203">
        <f t="shared" si="6"/>
        <v>83336400</v>
      </c>
      <c r="P20" s="204">
        <f t="shared" ref="P20:S20" si="19">+O20*(1+P$3)</f>
        <v>88336584</v>
      </c>
      <c r="Q20" s="204">
        <f t="shared" si="19"/>
        <v>92397871.199176595</v>
      </c>
      <c r="R20" s="204">
        <f t="shared" si="19"/>
        <v>96761374.00250712</v>
      </c>
      <c r="S20" s="204">
        <f t="shared" si="19"/>
        <v>101451895.5730202</v>
      </c>
      <c r="T20" s="204">
        <f t="shared" si="1"/>
        <v>106496605.72312152</v>
      </c>
      <c r="U20" s="204">
        <f t="shared" si="2"/>
        <v>111925285.57070254</v>
      </c>
      <c r="V20" s="204">
        <f t="shared" si="3"/>
        <v>117770599.7640084</v>
      </c>
      <c r="W20" s="204">
        <f t="shared" si="4"/>
        <v>124068399.58442931</v>
      </c>
      <c r="X20" s="204">
        <f t="shared" si="5"/>
        <v>130858060.65870044</v>
      </c>
    </row>
    <row r="21" spans="1:24">
      <c r="A21" s="201" t="s">
        <v>375</v>
      </c>
      <c r="B21" s="201" t="s">
        <v>374</v>
      </c>
      <c r="C21" s="202">
        <v>14300000</v>
      </c>
      <c r="D21" s="202">
        <v>14300000</v>
      </c>
      <c r="E21" s="202">
        <v>16056040</v>
      </c>
      <c r="F21" s="202">
        <v>16056040</v>
      </c>
      <c r="G21" s="202">
        <v>16056040</v>
      </c>
      <c r="H21" s="202">
        <v>16056040</v>
      </c>
      <c r="I21" s="202">
        <v>16056040</v>
      </c>
      <c r="J21" s="202">
        <v>16056040</v>
      </c>
      <c r="K21" s="202">
        <v>16056040</v>
      </c>
      <c r="L21" s="202">
        <v>16056040</v>
      </c>
      <c r="M21" s="202">
        <v>16056040</v>
      </c>
      <c r="N21" s="202">
        <v>16056040</v>
      </c>
      <c r="O21" s="203">
        <f t="shared" si="6"/>
        <v>189160400</v>
      </c>
      <c r="P21" s="204">
        <f t="shared" ref="P21:S21" si="20">+O21*(1+P$3)</f>
        <v>200510024</v>
      </c>
      <c r="Q21" s="204">
        <f t="shared" si="20"/>
        <v>209728501.29336911</v>
      </c>
      <c r="R21" s="204">
        <f t="shared" si="20"/>
        <v>219632960.03743684</v>
      </c>
      <c r="S21" s="204">
        <f t="shared" si="20"/>
        <v>230279699.47526813</v>
      </c>
      <c r="T21" s="204">
        <f t="shared" si="1"/>
        <v>241730390.76835525</v>
      </c>
      <c r="U21" s="204">
        <f t="shared" si="2"/>
        <v>254052632.32715023</v>
      </c>
      <c r="V21" s="204">
        <f t="shared" si="3"/>
        <v>267320567.71830481</v>
      </c>
      <c r="W21" s="204">
        <f t="shared" si="4"/>
        <v>281615573.65989512</v>
      </c>
      <c r="X21" s="204">
        <f t="shared" si="5"/>
        <v>297027026.57451051</v>
      </c>
    </row>
    <row r="22" spans="1:24">
      <c r="A22" s="201" t="s">
        <v>376</v>
      </c>
      <c r="B22" s="201" t="s">
        <v>374</v>
      </c>
      <c r="C22" s="202">
        <v>500000</v>
      </c>
      <c r="D22" s="202">
        <v>500000</v>
      </c>
      <c r="E22" s="202">
        <v>500000</v>
      </c>
      <c r="F22" s="202">
        <v>500000</v>
      </c>
      <c r="G22" s="202">
        <v>500000</v>
      </c>
      <c r="H22" s="202">
        <v>500000</v>
      </c>
      <c r="I22" s="202">
        <v>561400</v>
      </c>
      <c r="J22" s="202">
        <v>561400</v>
      </c>
      <c r="K22" s="202">
        <v>561400</v>
      </c>
      <c r="L22" s="202">
        <v>561400</v>
      </c>
      <c r="M22" s="202">
        <v>561400</v>
      </c>
      <c r="N22" s="202">
        <v>561400</v>
      </c>
      <c r="O22" s="203">
        <f t="shared" si="6"/>
        <v>6368400</v>
      </c>
      <c r="P22" s="204">
        <f t="shared" ref="P22:S22" si="21">+O22*(1+P$3)</f>
        <v>6750504</v>
      </c>
      <c r="Q22" s="204">
        <f t="shared" si="21"/>
        <v>7060859.3957122732</v>
      </c>
      <c r="R22" s="204">
        <f t="shared" si="21"/>
        <v>7394309.4997812053</v>
      </c>
      <c r="S22" s="204">
        <f t="shared" si="21"/>
        <v>7752749.7200169666</v>
      </c>
      <c r="T22" s="204">
        <f t="shared" si="1"/>
        <v>8138256.3188129934</v>
      </c>
      <c r="U22" s="204">
        <f t="shared" si="2"/>
        <v>8553105.1092735231</v>
      </c>
      <c r="V22" s="204">
        <f t="shared" si="3"/>
        <v>8999792.2580902353</v>
      </c>
      <c r="W22" s="204">
        <f t="shared" si="4"/>
        <v>9481057.4480476677</v>
      </c>
      <c r="X22" s="204">
        <f t="shared" si="5"/>
        <v>9999909.685309995</v>
      </c>
    </row>
    <row r="23" spans="1:24">
      <c r="A23" s="201" t="s">
        <v>377</v>
      </c>
      <c r="B23" s="201" t="s">
        <v>378</v>
      </c>
      <c r="C23" s="202">
        <v>35000000</v>
      </c>
      <c r="D23" s="202">
        <v>35000000</v>
      </c>
      <c r="E23" s="202">
        <v>35000000</v>
      </c>
      <c r="F23" s="202">
        <v>35000000</v>
      </c>
      <c r="G23" s="202">
        <v>35000000</v>
      </c>
      <c r="H23" s="202">
        <v>35000000</v>
      </c>
      <c r="I23" s="202">
        <v>35000000</v>
      </c>
      <c r="J23" s="202">
        <v>35000000</v>
      </c>
      <c r="K23" s="202">
        <v>38248000</v>
      </c>
      <c r="L23" s="202">
        <v>38248000</v>
      </c>
      <c r="M23" s="202">
        <v>38248000</v>
      </c>
      <c r="N23" s="202">
        <v>38248000</v>
      </c>
      <c r="O23" s="203">
        <f t="shared" si="6"/>
        <v>432992000</v>
      </c>
      <c r="P23" s="204">
        <f t="shared" ref="P23:S23" si="22">+O23*(1+P$3)</f>
        <v>458971520</v>
      </c>
      <c r="Q23" s="204">
        <f t="shared" si="22"/>
        <v>480072801.87617743</v>
      </c>
      <c r="R23" s="204">
        <f t="shared" si="22"/>
        <v>502744309.23454297</v>
      </c>
      <c r="S23" s="204">
        <f t="shared" si="22"/>
        <v>527114912.18666953</v>
      </c>
      <c r="T23" s="204">
        <f t="shared" si="1"/>
        <v>553325777.27458632</v>
      </c>
      <c r="U23" s="204">
        <f t="shared" si="2"/>
        <v>581531638.63365388</v>
      </c>
      <c r="V23" s="204">
        <f t="shared" si="3"/>
        <v>611902212.39479423</v>
      </c>
      <c r="W23" s="204">
        <f t="shared" si="4"/>
        <v>644623771.51954269</v>
      </c>
      <c r="X23" s="204">
        <f t="shared" si="5"/>
        <v>679900900.45564747</v>
      </c>
    </row>
    <row r="24" spans="1:24">
      <c r="A24" s="200" t="s">
        <v>379</v>
      </c>
      <c r="B24" s="201" t="s">
        <v>380</v>
      </c>
      <c r="C24" s="202">
        <v>4705882</v>
      </c>
      <c r="D24" s="202">
        <v>4705882</v>
      </c>
      <c r="E24" s="202">
        <v>4705882</v>
      </c>
      <c r="F24" s="202">
        <v>4705882</v>
      </c>
      <c r="G24" s="202">
        <v>5142588</v>
      </c>
      <c r="H24" s="202">
        <v>5142588</v>
      </c>
      <c r="I24" s="202">
        <v>5142588</v>
      </c>
      <c r="J24" s="202">
        <v>5142588</v>
      </c>
      <c r="K24" s="202">
        <v>5142588</v>
      </c>
      <c r="L24" s="202">
        <v>5142588</v>
      </c>
      <c r="M24" s="202">
        <v>5142588</v>
      </c>
      <c r="N24" s="202">
        <v>5142588</v>
      </c>
      <c r="O24" s="203">
        <f t="shared" si="6"/>
        <v>59964232</v>
      </c>
      <c r="P24" s="204">
        <f t="shared" ref="P24:S24" si="23">+O24*(1+P$3)</f>
        <v>63562085.920000002</v>
      </c>
      <c r="Q24" s="204">
        <f t="shared" si="23"/>
        <v>66484361.994201139</v>
      </c>
      <c r="R24" s="204">
        <f t="shared" si="23"/>
        <v>69624095.58518374</v>
      </c>
      <c r="S24" s="204">
        <f t="shared" si="23"/>
        <v>72999133.66764532</v>
      </c>
      <c r="T24" s="204">
        <f t="shared" si="1"/>
        <v>76629026.125364035</v>
      </c>
      <c r="U24" s="204">
        <f t="shared" si="2"/>
        <v>80535201.792108372</v>
      </c>
      <c r="V24" s="204">
        <f t="shared" si="3"/>
        <v>84741164.329490423</v>
      </c>
      <c r="W24" s="204">
        <f t="shared" si="4"/>
        <v>89272710.322853208</v>
      </c>
      <c r="X24" s="204">
        <f t="shared" si="5"/>
        <v>94158172.28016074</v>
      </c>
    </row>
    <row r="25" spans="1:24">
      <c r="A25" s="200" t="s">
        <v>381</v>
      </c>
      <c r="B25" s="201" t="s">
        <v>382</v>
      </c>
      <c r="C25" s="202">
        <v>25210</v>
      </c>
      <c r="D25" s="202">
        <v>25210</v>
      </c>
      <c r="E25" s="202">
        <v>25210</v>
      </c>
      <c r="F25" s="202">
        <v>25210</v>
      </c>
      <c r="G25" s="202">
        <v>26471</v>
      </c>
      <c r="H25" s="202">
        <v>26471</v>
      </c>
      <c r="I25" s="202">
        <v>26471</v>
      </c>
      <c r="J25" s="202">
        <v>26471</v>
      </c>
      <c r="K25" s="202">
        <v>26471</v>
      </c>
      <c r="L25" s="202">
        <v>26471</v>
      </c>
      <c r="M25" s="202">
        <v>26471</v>
      </c>
      <c r="N25" s="202">
        <v>26471</v>
      </c>
      <c r="O25" s="203">
        <f t="shared" si="6"/>
        <v>312608</v>
      </c>
      <c r="P25" s="204">
        <f t="shared" ref="P25:S25" si="24">+O25*(1+P$3)</f>
        <v>331364.48000000004</v>
      </c>
      <c r="Q25" s="204">
        <f t="shared" si="24"/>
        <v>346599.00979442598</v>
      </c>
      <c r="R25" s="204">
        <f t="shared" si="24"/>
        <v>362967.19805722049</v>
      </c>
      <c r="S25" s="204">
        <f t="shared" si="24"/>
        <v>380562.08537074679</v>
      </c>
      <c r="T25" s="204">
        <f t="shared" si="1"/>
        <v>399485.58999301115</v>
      </c>
      <c r="U25" s="204">
        <f t="shared" si="2"/>
        <v>419849.42560137203</v>
      </c>
      <c r="V25" s="204">
        <f t="shared" si="3"/>
        <v>441776.12245101947</v>
      </c>
      <c r="W25" s="204">
        <f t="shared" si="4"/>
        <v>465400.16436142282</v>
      </c>
      <c r="X25" s="204">
        <f t="shared" si="5"/>
        <v>490869.25552813685</v>
      </c>
    </row>
    <row r="26" spans="1:24">
      <c r="A26" s="200" t="s">
        <v>383</v>
      </c>
      <c r="B26" s="201" t="s">
        <v>384</v>
      </c>
      <c r="C26" s="202">
        <v>8484000</v>
      </c>
      <c r="D26" s="202">
        <v>8484000</v>
      </c>
      <c r="E26" s="202">
        <v>8484000</v>
      </c>
      <c r="F26" s="202">
        <v>8484000</v>
      </c>
      <c r="G26" s="202">
        <v>9440995</v>
      </c>
      <c r="H26" s="202">
        <v>9440995</v>
      </c>
      <c r="I26" s="202">
        <v>9440995</v>
      </c>
      <c r="J26" s="202">
        <v>9440995</v>
      </c>
      <c r="K26" s="202">
        <v>9440995</v>
      </c>
      <c r="L26" s="202">
        <v>9440995</v>
      </c>
      <c r="M26" s="202">
        <v>9440995</v>
      </c>
      <c r="N26" s="202">
        <v>9440995</v>
      </c>
      <c r="O26" s="203">
        <f t="shared" si="6"/>
        <v>109463960</v>
      </c>
      <c r="P26" s="204">
        <f t="shared" ref="P26:S26" si="25">+O26*(1+P$3)</f>
        <v>116031797.60000001</v>
      </c>
      <c r="Q26" s="204">
        <f t="shared" si="25"/>
        <v>121366376.24173614</v>
      </c>
      <c r="R26" s="204">
        <f t="shared" si="25"/>
        <v>127097920.87677751</v>
      </c>
      <c r="S26" s="204">
        <f t="shared" si="25"/>
        <v>133259010.93554872</v>
      </c>
      <c r="T26" s="204">
        <f t="shared" si="1"/>
        <v>139885334.48782942</v>
      </c>
      <c r="U26" s="204">
        <f t="shared" si="2"/>
        <v>147016009.60324612</v>
      </c>
      <c r="V26" s="204">
        <f t="shared" si="3"/>
        <v>154693941.92385831</v>
      </c>
      <c r="W26" s="204">
        <f t="shared" si="4"/>
        <v>162966222.79548898</v>
      </c>
      <c r="X26" s="204">
        <f t="shared" si="5"/>
        <v>171884572.8591775</v>
      </c>
    </row>
    <row r="27" spans="1:24">
      <c r="A27" s="200" t="s">
        <v>385</v>
      </c>
      <c r="B27" s="201" t="s">
        <v>384</v>
      </c>
      <c r="C27" s="202">
        <v>4398943</v>
      </c>
      <c r="D27" s="202">
        <v>4398943</v>
      </c>
      <c r="E27" s="202">
        <v>4398943</v>
      </c>
      <c r="F27" s="202">
        <v>4398943</v>
      </c>
      <c r="G27" s="202">
        <v>4895144</v>
      </c>
      <c r="H27" s="202">
        <v>4895144</v>
      </c>
      <c r="I27" s="202">
        <v>4895144</v>
      </c>
      <c r="J27" s="202">
        <v>4895144</v>
      </c>
      <c r="K27" s="202">
        <v>4895144</v>
      </c>
      <c r="L27" s="202">
        <v>4895144</v>
      </c>
      <c r="M27" s="202">
        <v>4895144</v>
      </c>
      <c r="N27" s="202">
        <v>4895144</v>
      </c>
      <c r="O27" s="203">
        <f t="shared" si="6"/>
        <v>56756924</v>
      </c>
      <c r="P27" s="204">
        <f t="shared" ref="P27:S27" si="26">+O27*(1+P$3)</f>
        <v>60162339.440000005</v>
      </c>
      <c r="Q27" s="204">
        <f t="shared" si="26"/>
        <v>62928311.679091677</v>
      </c>
      <c r="R27" s="204">
        <f t="shared" si="26"/>
        <v>65900110.280692153</v>
      </c>
      <c r="S27" s="204">
        <f t="shared" si="26"/>
        <v>69094627.638029069</v>
      </c>
      <c r="T27" s="204">
        <f t="shared" si="1"/>
        <v>72530367.969880804</v>
      </c>
      <c r="U27" s="204">
        <f t="shared" si="2"/>
        <v>76227613.945582747</v>
      </c>
      <c r="V27" s="204">
        <f t="shared" si="3"/>
        <v>80208612.085958168</v>
      </c>
      <c r="W27" s="204">
        <f t="shared" si="4"/>
        <v>84497779.19390671</v>
      </c>
      <c r="X27" s="204">
        <f t="shared" si="5"/>
        <v>89121932.356008321</v>
      </c>
    </row>
    <row r="28" spans="1:24">
      <c r="A28" s="200" t="s">
        <v>386</v>
      </c>
      <c r="B28" s="201" t="s">
        <v>387</v>
      </c>
      <c r="C28" s="202">
        <v>1443000</v>
      </c>
      <c r="D28" s="202">
        <v>1443000</v>
      </c>
      <c r="E28" s="202">
        <v>1443000</v>
      </c>
      <c r="F28" s="202">
        <v>1443000</v>
      </c>
      <c r="G28" s="202">
        <v>1443000</v>
      </c>
      <c r="H28" s="202">
        <v>1443000</v>
      </c>
      <c r="I28" s="202">
        <v>1443000</v>
      </c>
      <c r="J28" s="202">
        <v>1443000</v>
      </c>
      <c r="K28" s="202">
        <v>1443000</v>
      </c>
      <c r="L28" s="202">
        <v>1443000</v>
      </c>
      <c r="M28" s="202">
        <v>1443000</v>
      </c>
      <c r="N28" s="202">
        <v>1443000</v>
      </c>
      <c r="O28" s="203">
        <f t="shared" si="6"/>
        <v>17316000</v>
      </c>
      <c r="P28" s="204">
        <f t="shared" ref="P28:S28" si="27">+O28*(1+P$3)</f>
        <v>18354960</v>
      </c>
      <c r="Q28" s="204">
        <f t="shared" si="27"/>
        <v>19198831.935204089</v>
      </c>
      <c r="R28" s="204">
        <f t="shared" si="27"/>
        <v>20105499.544345729</v>
      </c>
      <c r="S28" s="204">
        <f t="shared" si="27"/>
        <v>21080116.536620468</v>
      </c>
      <c r="T28" s="204">
        <f t="shared" si="1"/>
        <v>22128328.373934709</v>
      </c>
      <c r="U28" s="204">
        <f t="shared" si="2"/>
        <v>23256323.106617101</v>
      </c>
      <c r="V28" s="204">
        <f t="shared" si="3"/>
        <v>24470887.937486738</v>
      </c>
      <c r="W28" s="204">
        <f t="shared" si="4"/>
        <v>25779472.20187071</v>
      </c>
      <c r="X28" s="204">
        <f t="shared" si="5"/>
        <v>27190257.53891525</v>
      </c>
    </row>
    <row r="29" spans="1:24">
      <c r="A29" s="200" t="s">
        <v>388</v>
      </c>
      <c r="B29" s="200" t="s">
        <v>389</v>
      </c>
      <c r="C29" s="202">
        <v>1500000</v>
      </c>
      <c r="D29" s="202">
        <v>1500000</v>
      </c>
      <c r="E29" s="202">
        <v>1500000</v>
      </c>
      <c r="F29" s="202">
        <v>1500000</v>
      </c>
      <c r="G29" s="202">
        <v>1500000</v>
      </c>
      <c r="H29" s="202">
        <v>1500000</v>
      </c>
      <c r="I29" s="202">
        <v>0</v>
      </c>
      <c r="J29" s="202">
        <v>0</v>
      </c>
      <c r="K29" s="202">
        <v>0</v>
      </c>
      <c r="L29" s="202">
        <v>0</v>
      </c>
      <c r="M29" s="202">
        <v>0</v>
      </c>
      <c r="N29" s="202">
        <v>0</v>
      </c>
      <c r="O29" s="203">
        <f t="shared" si="6"/>
        <v>9000000</v>
      </c>
      <c r="P29" s="204">
        <f t="shared" ref="P29:S29" si="28">+O29*(1+P$3)</f>
        <v>9540000</v>
      </c>
      <c r="Q29" s="204">
        <f t="shared" si="28"/>
        <v>9978602.8769252021</v>
      </c>
      <c r="R29" s="204">
        <f t="shared" si="28"/>
        <v>10449843.838017531</v>
      </c>
      <c r="S29" s="204">
        <f t="shared" si="28"/>
        <v>10956401.526310015</v>
      </c>
      <c r="T29" s="204">
        <f t="shared" si="1"/>
        <v>11501210.173562739</v>
      </c>
      <c r="U29" s="204">
        <f t="shared" si="2"/>
        <v>12087486.022150259</v>
      </c>
      <c r="V29" s="204">
        <f t="shared" si="3"/>
        <v>12718756.724265454</v>
      </c>
      <c r="W29" s="204">
        <f t="shared" si="4"/>
        <v>13398894.075816376</v>
      </c>
      <c r="X29" s="204">
        <f t="shared" si="5"/>
        <v>14132150.488001689</v>
      </c>
    </row>
    <row r="30" spans="1:24">
      <c r="A30" s="201" t="s">
        <v>390</v>
      </c>
      <c r="B30" s="201" t="s">
        <v>391</v>
      </c>
      <c r="C30" s="202">
        <v>3361345</v>
      </c>
      <c r="D30" s="202">
        <v>3361345</v>
      </c>
      <c r="E30" s="202">
        <v>3361345</v>
      </c>
      <c r="F30" s="202">
        <v>3361345</v>
      </c>
      <c r="G30" s="202">
        <v>3361345</v>
      </c>
      <c r="H30" s="202">
        <v>3361345</v>
      </c>
      <c r="I30" s="202">
        <v>3361345</v>
      </c>
      <c r="J30" s="202">
        <v>3361345</v>
      </c>
      <c r="K30" s="202">
        <v>3361345</v>
      </c>
      <c r="L30" s="202">
        <v>3361345</v>
      </c>
      <c r="M30" s="202">
        <v>3361345</v>
      </c>
      <c r="N30" s="202">
        <v>3361345</v>
      </c>
      <c r="O30" s="203">
        <f t="shared" si="6"/>
        <v>40336140</v>
      </c>
      <c r="P30" s="204">
        <f t="shared" ref="P30:S30" si="29">+O30*(1+P$3)</f>
        <v>42756308.399999999</v>
      </c>
      <c r="Q30" s="204">
        <f t="shared" si="29"/>
        <v>44722035.849784188</v>
      </c>
      <c r="R30" s="204">
        <f t="shared" si="29"/>
        <v>46834040.447601385</v>
      </c>
      <c r="S30" s="204">
        <f t="shared" si="29"/>
        <v>49104327.317939386</v>
      </c>
      <c r="T30" s="204">
        <f t="shared" si="1"/>
        <v>51546047.081138991</v>
      </c>
      <c r="U30" s="204">
        <f t="shared" si="2"/>
        <v>54173614.270832881</v>
      </c>
      <c r="V30" s="204">
        <f t="shared" si="3"/>
        <v>57002839.095101416</v>
      </c>
      <c r="W30" s="204">
        <f t="shared" si="4"/>
        <v>60051074.143033326</v>
      </c>
      <c r="X30" s="204">
        <f t="shared" si="5"/>
        <v>63337377.842789382</v>
      </c>
    </row>
    <row r="31" spans="1:24">
      <c r="A31" s="209" t="s">
        <v>392</v>
      </c>
      <c r="B31" s="210"/>
      <c r="C31" s="211">
        <v>0</v>
      </c>
      <c r="D31" s="211">
        <v>0</v>
      </c>
      <c r="E31" s="211">
        <v>0</v>
      </c>
      <c r="F31" s="211">
        <v>0</v>
      </c>
      <c r="G31" s="211">
        <v>0</v>
      </c>
      <c r="H31" s="211">
        <v>0</v>
      </c>
      <c r="I31" s="211">
        <v>0</v>
      </c>
      <c r="J31" s="211">
        <v>0</v>
      </c>
      <c r="K31" s="211">
        <v>0</v>
      </c>
      <c r="L31" s="211"/>
      <c r="M31" s="211"/>
      <c r="N31" s="211"/>
      <c r="O31" s="203"/>
      <c r="P31" s="204">
        <f t="shared" ref="P31:S31" si="30">+O31*(1+P$3)</f>
        <v>0</v>
      </c>
      <c r="Q31" s="204">
        <f t="shared" si="30"/>
        <v>0</v>
      </c>
      <c r="R31" s="204">
        <f t="shared" si="30"/>
        <v>0</v>
      </c>
      <c r="S31" s="204">
        <f t="shared" si="30"/>
        <v>0</v>
      </c>
      <c r="T31" s="204">
        <f t="shared" si="1"/>
        <v>0</v>
      </c>
      <c r="U31" s="204">
        <f t="shared" si="2"/>
        <v>0</v>
      </c>
      <c r="V31" s="204">
        <f t="shared" si="3"/>
        <v>0</v>
      </c>
      <c r="W31" s="204">
        <f t="shared" si="4"/>
        <v>0</v>
      </c>
      <c r="X31" s="204">
        <f t="shared" si="5"/>
        <v>0</v>
      </c>
    </row>
    <row r="32" spans="1:24">
      <c r="A32" s="209" t="s">
        <v>393</v>
      </c>
      <c r="B32" s="210"/>
      <c r="C32" s="211">
        <v>0</v>
      </c>
      <c r="D32" s="211">
        <v>0</v>
      </c>
      <c r="E32" s="211">
        <v>0</v>
      </c>
      <c r="F32" s="211">
        <v>0</v>
      </c>
      <c r="G32" s="211">
        <v>0</v>
      </c>
      <c r="H32" s="211">
        <v>0</v>
      </c>
      <c r="I32" s="211">
        <v>0</v>
      </c>
      <c r="J32" s="211">
        <v>0</v>
      </c>
      <c r="K32" s="211">
        <v>0</v>
      </c>
      <c r="L32" s="211"/>
      <c r="M32" s="211"/>
      <c r="N32" s="211"/>
      <c r="O32" s="203"/>
      <c r="P32" s="204">
        <f t="shared" ref="P32:S32" si="31">+O32*(1+P$3)</f>
        <v>0</v>
      </c>
      <c r="Q32" s="204">
        <f t="shared" si="31"/>
        <v>0</v>
      </c>
      <c r="R32" s="204">
        <f t="shared" si="31"/>
        <v>0</v>
      </c>
      <c r="S32" s="204">
        <f t="shared" si="31"/>
        <v>0</v>
      </c>
      <c r="T32" s="204">
        <f t="shared" si="1"/>
        <v>0</v>
      </c>
      <c r="U32" s="204">
        <f t="shared" si="2"/>
        <v>0</v>
      </c>
      <c r="V32" s="204">
        <f t="shared" si="3"/>
        <v>0</v>
      </c>
      <c r="W32" s="204">
        <f t="shared" si="4"/>
        <v>0</v>
      </c>
      <c r="X32" s="204">
        <f t="shared" si="5"/>
        <v>0</v>
      </c>
    </row>
    <row r="33" spans="1:24">
      <c r="A33" s="209" t="s">
        <v>394</v>
      </c>
      <c r="B33" s="210"/>
      <c r="C33" s="211">
        <v>0</v>
      </c>
      <c r="D33" s="211">
        <v>0</v>
      </c>
      <c r="E33" s="211">
        <v>0</v>
      </c>
      <c r="F33" s="211">
        <v>0</v>
      </c>
      <c r="G33" s="211">
        <v>0</v>
      </c>
      <c r="H33" s="211">
        <v>0</v>
      </c>
      <c r="I33" s="211">
        <v>0</v>
      </c>
      <c r="J33" s="211">
        <v>0</v>
      </c>
      <c r="K33" s="211">
        <v>0</v>
      </c>
      <c r="L33" s="211"/>
      <c r="M33" s="211"/>
      <c r="N33" s="211"/>
      <c r="O33" s="203"/>
      <c r="P33" s="204">
        <f t="shared" ref="P33:S33" si="32">+O33*(1+P$3)</f>
        <v>0</v>
      </c>
      <c r="Q33" s="204">
        <f t="shared" si="32"/>
        <v>0</v>
      </c>
      <c r="R33" s="204">
        <f t="shared" si="32"/>
        <v>0</v>
      </c>
      <c r="S33" s="204">
        <f t="shared" si="32"/>
        <v>0</v>
      </c>
      <c r="T33" s="204">
        <f t="shared" si="1"/>
        <v>0</v>
      </c>
      <c r="U33" s="204">
        <f t="shared" si="2"/>
        <v>0</v>
      </c>
      <c r="V33" s="204">
        <f t="shared" si="3"/>
        <v>0</v>
      </c>
      <c r="W33" s="204">
        <f t="shared" si="4"/>
        <v>0</v>
      </c>
      <c r="X33" s="204">
        <f t="shared" si="5"/>
        <v>0</v>
      </c>
    </row>
    <row r="34" spans="1:24">
      <c r="A34" s="209" t="s">
        <v>395</v>
      </c>
      <c r="B34" s="210"/>
      <c r="C34" s="211">
        <v>0</v>
      </c>
      <c r="D34" s="211">
        <v>0</v>
      </c>
      <c r="E34" s="211">
        <v>0</v>
      </c>
      <c r="F34" s="211">
        <v>0</v>
      </c>
      <c r="G34" s="211">
        <v>0</v>
      </c>
      <c r="H34" s="211">
        <v>0</v>
      </c>
      <c r="I34" s="211">
        <v>0</v>
      </c>
      <c r="J34" s="211">
        <v>0</v>
      </c>
      <c r="K34" s="211">
        <v>0</v>
      </c>
      <c r="L34" s="211"/>
      <c r="M34" s="211"/>
      <c r="N34" s="211"/>
      <c r="O34" s="203"/>
      <c r="P34" s="204">
        <f t="shared" ref="P34:S34" si="33">+O34*(1+P$3)</f>
        <v>0</v>
      </c>
      <c r="Q34" s="204">
        <f t="shared" si="33"/>
        <v>0</v>
      </c>
      <c r="R34" s="204">
        <f t="shared" si="33"/>
        <v>0</v>
      </c>
      <c r="S34" s="204">
        <f t="shared" si="33"/>
        <v>0</v>
      </c>
      <c r="T34" s="204">
        <f t="shared" si="1"/>
        <v>0</v>
      </c>
      <c r="U34" s="204">
        <f t="shared" si="2"/>
        <v>0</v>
      </c>
      <c r="V34" s="204">
        <f t="shared" si="3"/>
        <v>0</v>
      </c>
      <c r="W34" s="204">
        <f t="shared" si="4"/>
        <v>0</v>
      </c>
      <c r="X34" s="204">
        <f t="shared" si="5"/>
        <v>0</v>
      </c>
    </row>
    <row r="35" spans="1:24">
      <c r="A35" s="906" t="s">
        <v>1</v>
      </c>
      <c r="B35" s="906"/>
      <c r="C35" s="212">
        <f t="shared" ref="C35:N35" si="34">SUM(C7:C34)</f>
        <v>110330965</v>
      </c>
      <c r="D35" s="212">
        <f t="shared" si="34"/>
        <v>110330965</v>
      </c>
      <c r="E35" s="212">
        <f t="shared" si="34"/>
        <v>114066889</v>
      </c>
      <c r="F35" s="212">
        <f t="shared" si="34"/>
        <v>114747112</v>
      </c>
      <c r="G35" s="212">
        <f t="shared" si="34"/>
        <v>116716564</v>
      </c>
      <c r="H35" s="212">
        <f t="shared" si="34"/>
        <v>116725388</v>
      </c>
      <c r="I35" s="212">
        <f t="shared" si="34"/>
        <v>115286788</v>
      </c>
      <c r="J35" s="212">
        <f t="shared" si="34"/>
        <v>115286788</v>
      </c>
      <c r="K35" s="212">
        <f t="shared" si="34"/>
        <v>118534788</v>
      </c>
      <c r="L35" s="212">
        <f t="shared" si="34"/>
        <v>118534788</v>
      </c>
      <c r="M35" s="212">
        <f t="shared" si="34"/>
        <v>118534788</v>
      </c>
      <c r="N35" s="212">
        <f t="shared" si="34"/>
        <v>119235669</v>
      </c>
      <c r="O35" s="213">
        <f>SUBTOTAL(9,O7:O34)</f>
        <v>1388331492</v>
      </c>
      <c r="P35" s="213">
        <f t="shared" ref="P35:S35" si="35">SUBTOTAL(9,P7:P34)</f>
        <v>1471631381.5200002</v>
      </c>
      <c r="Q35" s="213">
        <f t="shared" si="35"/>
        <v>1539289846.6885622</v>
      </c>
      <c r="R35" s="213">
        <f t="shared" si="35"/>
        <v>1611983031.8668756</v>
      </c>
      <c r="S35" s="213">
        <f t="shared" si="35"/>
        <v>1690124141.9970064</v>
      </c>
      <c r="T35" s="213">
        <f t="shared" ref="T35:X35" si="36">SUBTOTAL(9,T7:T34)</f>
        <v>1774165808.8964376</v>
      </c>
      <c r="U35" s="213">
        <f t="shared" si="36"/>
        <v>1864604167.073446</v>
      </c>
      <c r="V35" s="213">
        <f t="shared" si="36"/>
        <v>1961983388.8204989</v>
      </c>
      <c r="W35" s="213">
        <f t="shared" si="36"/>
        <v>2066900733.7142348</v>
      </c>
      <c r="X35" s="213">
        <f t="shared" si="36"/>
        <v>2180012174.6862121</v>
      </c>
    </row>
  </sheetData>
  <autoFilter ref="A6:N6" xr:uid="{00000000-0009-0000-0000-000009000000}"/>
  <mergeCells count="3">
    <mergeCell ref="A35:B35"/>
    <mergeCell ref="AC7:AH11"/>
    <mergeCell ref="O5:S5"/>
  </mergeCells>
  <phoneticPr fontId="30" type="noConversion"/>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36"/>
  <sheetViews>
    <sheetView showGridLines="0" zoomScaleNormal="100" workbookViewId="0">
      <pane xSplit="1" ySplit="3" topLeftCell="E4" activePane="bottomRight" state="frozen"/>
      <selection pane="topRight" activeCell="B1" sqref="B1"/>
      <selection pane="bottomLeft" activeCell="A3" sqref="A3"/>
      <selection pane="bottomRight" activeCell="AF18" sqref="AF18"/>
    </sheetView>
  </sheetViews>
  <sheetFormatPr baseColWidth="10" defaultRowHeight="12.75" outlineLevelCol="1"/>
  <cols>
    <col min="1" max="1" width="40.42578125" style="158" bestFit="1" customWidth="1"/>
    <col min="2" max="2" width="15.5703125" style="148" bestFit="1" customWidth="1"/>
    <col min="3" max="3" width="15.5703125" style="148" customWidth="1"/>
    <col min="4" max="4" width="18.85546875" style="148" customWidth="1"/>
    <col min="5" max="5" width="13.85546875" style="148" customWidth="1"/>
    <col min="6" max="6" width="8.85546875" style="148" bestFit="1" customWidth="1"/>
    <col min="7" max="7" width="17.28515625" style="148" hidden="1" customWidth="1" outlineLevel="1"/>
    <col min="8" max="8" width="18.28515625" style="148" hidden="1" customWidth="1" outlineLevel="1"/>
    <col min="9" max="9" width="17.42578125" style="148" hidden="1" customWidth="1" outlineLevel="1"/>
    <col min="10" max="10" width="14" style="148" hidden="1" customWidth="1" outlineLevel="1"/>
    <col min="11" max="12" width="19.85546875" style="148" hidden="1" customWidth="1" outlineLevel="1"/>
    <col min="13" max="13" width="18.7109375" style="148" hidden="1" customWidth="1" outlineLevel="1"/>
    <col min="14" max="14" width="17" style="148" hidden="1" customWidth="1" outlineLevel="1"/>
    <col min="15" max="15" width="16.7109375" style="148" hidden="1" customWidth="1" outlineLevel="1"/>
    <col min="16" max="16" width="17.7109375" style="148" hidden="1" customWidth="1" outlineLevel="1"/>
    <col min="17" max="19" width="15.5703125" style="148" hidden="1" customWidth="1" outlineLevel="1"/>
    <col min="20" max="20" width="17.5703125" style="148" hidden="1" customWidth="1" outlineLevel="1"/>
    <col min="21" max="21" width="15.5703125" style="148" hidden="1" customWidth="1" outlineLevel="1"/>
    <col min="22" max="23" width="11.42578125" style="148" hidden="1" customWidth="1" outlineLevel="1"/>
    <col min="24" max="24" width="18.28515625" style="148" hidden="1" customWidth="1" outlineLevel="1"/>
    <col min="25" max="25" width="34.85546875" style="148" hidden="1" customWidth="1" outlineLevel="1"/>
    <col min="26" max="26" width="11.42578125" style="148" hidden="1" customWidth="1" outlineLevel="1"/>
    <col min="27" max="27" width="13" style="148" hidden="1" customWidth="1" outlineLevel="1"/>
    <col min="28" max="28" width="15.5703125" style="148" bestFit="1" customWidth="1" collapsed="1"/>
    <col min="29" max="16384" width="11.42578125" style="148"/>
  </cols>
  <sheetData>
    <row r="1" spans="1:38" ht="13.5" thickBot="1"/>
    <row r="2" spans="1:38" ht="31.5" customHeight="1">
      <c r="C2" s="932" t="s">
        <v>444</v>
      </c>
      <c r="D2" s="932"/>
      <c r="E2" s="932"/>
      <c r="F2" s="932"/>
      <c r="G2" s="932"/>
      <c r="I2" s="928" t="s">
        <v>433</v>
      </c>
      <c r="J2" s="929"/>
      <c r="K2" s="929"/>
      <c r="L2" s="930"/>
      <c r="M2" s="928" t="s">
        <v>432</v>
      </c>
      <c r="N2" s="929"/>
      <c r="O2" s="929"/>
      <c r="P2" s="931"/>
      <c r="Q2" s="928" t="s">
        <v>431</v>
      </c>
      <c r="R2" s="929"/>
      <c r="S2" s="929"/>
      <c r="T2" s="930"/>
      <c r="U2" s="928" t="s">
        <v>430</v>
      </c>
      <c r="V2" s="929"/>
      <c r="W2" s="929"/>
      <c r="X2" s="930"/>
      <c r="Y2" s="925" t="s">
        <v>429</v>
      </c>
      <c r="Z2" s="926"/>
      <c r="AA2" s="927"/>
    </row>
    <row r="3" spans="1:38" s="157" customFormat="1" ht="38.25">
      <c r="A3" s="197" t="s">
        <v>428</v>
      </c>
      <c r="B3" s="215" t="s">
        <v>119</v>
      </c>
      <c r="C3" s="216" t="s">
        <v>423</v>
      </c>
      <c r="D3" s="197" t="s">
        <v>422</v>
      </c>
      <c r="E3" s="217" t="s">
        <v>427</v>
      </c>
      <c r="F3" s="217" t="s">
        <v>426</v>
      </c>
      <c r="G3" s="217" t="s">
        <v>425</v>
      </c>
      <c r="H3" s="256" t="s">
        <v>424</v>
      </c>
      <c r="I3" s="260" t="s">
        <v>423</v>
      </c>
      <c r="J3" s="218" t="s">
        <v>422</v>
      </c>
      <c r="K3" s="217" t="s">
        <v>421</v>
      </c>
      <c r="L3" s="261" t="s">
        <v>420</v>
      </c>
      <c r="M3" s="260" t="s">
        <v>423</v>
      </c>
      <c r="N3" s="218" t="s">
        <v>422</v>
      </c>
      <c r="O3" s="217" t="s">
        <v>421</v>
      </c>
      <c r="P3" s="256" t="s">
        <v>420</v>
      </c>
      <c r="Q3" s="260" t="s">
        <v>423</v>
      </c>
      <c r="R3" s="218" t="s">
        <v>422</v>
      </c>
      <c r="S3" s="217" t="s">
        <v>421</v>
      </c>
      <c r="T3" s="261" t="s">
        <v>420</v>
      </c>
      <c r="U3" s="260" t="s">
        <v>423</v>
      </c>
      <c r="V3" s="218" t="s">
        <v>422</v>
      </c>
      <c r="W3" s="217" t="s">
        <v>421</v>
      </c>
      <c r="X3" s="261" t="s">
        <v>420</v>
      </c>
      <c r="Y3" s="284" t="s">
        <v>138</v>
      </c>
      <c r="Z3" s="217" t="s">
        <v>419</v>
      </c>
      <c r="AA3" s="261" t="s">
        <v>418</v>
      </c>
      <c r="AB3" s="281" t="s">
        <v>226</v>
      </c>
      <c r="AE3" s="192" t="s">
        <v>439</v>
      </c>
    </row>
    <row r="4" spans="1:38" ht="12.75" customHeight="1">
      <c r="A4" s="219" t="s">
        <v>415</v>
      </c>
      <c r="B4" s="220">
        <v>2200000000</v>
      </c>
      <c r="C4" s="221">
        <v>45187</v>
      </c>
      <c r="D4" s="222">
        <v>45369</v>
      </c>
      <c r="E4" s="223">
        <v>0.12740000000000001</v>
      </c>
      <c r="F4" s="224">
        <v>180</v>
      </c>
      <c r="G4" s="225">
        <f t="shared" ref="G4:G25" si="0">+F4*(B4*(E4/360))</f>
        <v>140140000</v>
      </c>
      <c r="H4" s="257">
        <f t="shared" ref="H4:H20" si="1">+G4*0.96</f>
        <v>134534400</v>
      </c>
      <c r="I4" s="262">
        <v>45187</v>
      </c>
      <c r="J4" s="226">
        <v>45369</v>
      </c>
      <c r="K4" s="227">
        <v>0.12740000000000001</v>
      </c>
      <c r="L4" s="263">
        <f>+F4*(B4*(E4/360))*0.96</f>
        <v>134534400</v>
      </c>
      <c r="M4" s="262">
        <f>+J4+1</f>
        <v>45370</v>
      </c>
      <c r="N4" s="228">
        <f>+M4+90</f>
        <v>45460</v>
      </c>
      <c r="O4" s="229">
        <v>9.6199999999999994E-2</v>
      </c>
      <c r="P4" s="257">
        <f>90*(B4*(O4/360))*0.96</f>
        <v>50793599.999999985</v>
      </c>
      <c r="Q4" s="262">
        <f>+N4+1</f>
        <v>45461</v>
      </c>
      <c r="R4" s="228">
        <f>+Q4+90</f>
        <v>45551</v>
      </c>
      <c r="S4" s="230">
        <v>8.43E-2</v>
      </c>
      <c r="T4" s="263">
        <f>B4*(90*(S4/360))*0.96</f>
        <v>44510400</v>
      </c>
      <c r="U4" s="262">
        <f t="shared" ref="U4:U20" si="2">+R4+1</f>
        <v>45552</v>
      </c>
      <c r="V4" s="228">
        <f t="shared" ref="V4:V20" si="3">+U4+90</f>
        <v>45642</v>
      </c>
      <c r="W4" s="230">
        <v>7.2499999999999995E-2</v>
      </c>
      <c r="X4" s="263">
        <f t="shared" ref="X4:X20" si="4">B4*(90*(W4/360))*0.96</f>
        <v>38280000</v>
      </c>
      <c r="Y4" s="285" t="s">
        <v>416</v>
      </c>
      <c r="Z4" s="231" t="s">
        <v>406</v>
      </c>
      <c r="AA4" s="286" t="s">
        <v>406</v>
      </c>
      <c r="AB4" s="282">
        <f>+X4+T4+P4+L4</f>
        <v>268118400</v>
      </c>
      <c r="AC4" s="159"/>
      <c r="AE4" s="919" t="s">
        <v>445</v>
      </c>
      <c r="AF4" s="920"/>
      <c r="AG4" s="920"/>
      <c r="AH4" s="920"/>
      <c r="AI4" s="920"/>
      <c r="AJ4" s="920"/>
      <c r="AK4" s="920"/>
      <c r="AL4" s="921"/>
    </row>
    <row r="5" spans="1:38">
      <c r="A5" s="232" t="s">
        <v>414</v>
      </c>
      <c r="B5" s="220">
        <v>610533454</v>
      </c>
      <c r="C5" s="221">
        <v>45187</v>
      </c>
      <c r="D5" s="222">
        <v>45369</v>
      </c>
      <c r="E5" s="223">
        <v>0.12740000000000001</v>
      </c>
      <c r="F5" s="224">
        <v>180</v>
      </c>
      <c r="G5" s="225">
        <f t="shared" si="0"/>
        <v>38890981.019800007</v>
      </c>
      <c r="H5" s="257">
        <f t="shared" si="1"/>
        <v>37335341.779008009</v>
      </c>
      <c r="I5" s="262">
        <v>45187</v>
      </c>
      <c r="J5" s="226">
        <v>45369</v>
      </c>
      <c r="K5" s="227">
        <v>0.12740000000000001</v>
      </c>
      <c r="L5" s="263">
        <f>+F5*(B5*(E5/360))*0.96</f>
        <v>37335341.779008009</v>
      </c>
      <c r="M5" s="262">
        <f>+J5+1</f>
        <v>45370</v>
      </c>
      <c r="N5" s="228">
        <f>+M5+90</f>
        <v>45460</v>
      </c>
      <c r="O5" s="229">
        <v>9.6199999999999994E-2</v>
      </c>
      <c r="P5" s="257">
        <f>90*(B5*(O5/360))*0.96</f>
        <v>14095996.385951998</v>
      </c>
      <c r="Q5" s="262">
        <f>+N5+1</f>
        <v>45461</v>
      </c>
      <c r="R5" s="228">
        <f>+Q5+90</f>
        <v>45551</v>
      </c>
      <c r="S5" s="230">
        <v>8.43E-2</v>
      </c>
      <c r="T5" s="263">
        <f>B5*(90*(S5/360))*0.96</f>
        <v>12352312.841328001</v>
      </c>
      <c r="U5" s="262">
        <f t="shared" si="2"/>
        <v>45552</v>
      </c>
      <c r="V5" s="228">
        <f t="shared" si="3"/>
        <v>45642</v>
      </c>
      <c r="W5" s="230">
        <v>7.2499999999999995E-2</v>
      </c>
      <c r="X5" s="263">
        <f t="shared" si="4"/>
        <v>10623282.0996</v>
      </c>
      <c r="Y5" s="285" t="s">
        <v>416</v>
      </c>
      <c r="Z5" s="231" t="s">
        <v>406</v>
      </c>
      <c r="AA5" s="286" t="s">
        <v>406</v>
      </c>
      <c r="AB5" s="282">
        <f t="shared" ref="AB5:AB31" si="5">+X5+T5+P5+L5</f>
        <v>74406933.105888009</v>
      </c>
      <c r="AC5" s="159"/>
      <c r="AE5" s="916"/>
      <c r="AF5" s="917"/>
      <c r="AG5" s="917"/>
      <c r="AH5" s="917"/>
      <c r="AI5" s="917"/>
      <c r="AJ5" s="917"/>
      <c r="AK5" s="917"/>
      <c r="AL5" s="918"/>
    </row>
    <row r="6" spans="1:38" ht="12.75" customHeight="1">
      <c r="A6" s="219" t="s">
        <v>415</v>
      </c>
      <c r="B6" s="220">
        <v>900000000</v>
      </c>
      <c r="C6" s="221">
        <v>45244</v>
      </c>
      <c r="D6" s="222">
        <v>45336</v>
      </c>
      <c r="E6" s="223">
        <v>0.1195</v>
      </c>
      <c r="F6" s="224">
        <v>90</v>
      </c>
      <c r="G6" s="225">
        <f t="shared" si="0"/>
        <v>26887500</v>
      </c>
      <c r="H6" s="257">
        <f t="shared" si="1"/>
        <v>25812000</v>
      </c>
      <c r="I6" s="262">
        <v>45244</v>
      </c>
      <c r="J6" s="226">
        <v>45336</v>
      </c>
      <c r="K6" s="227">
        <v>0.1195</v>
      </c>
      <c r="L6" s="263">
        <f>+F6*(B6*(E6/360))*0.96</f>
        <v>25812000</v>
      </c>
      <c r="M6" s="262">
        <f>+J6+1</f>
        <v>45337</v>
      </c>
      <c r="N6" s="228">
        <f>+M6+90</f>
        <v>45427</v>
      </c>
      <c r="O6" s="229">
        <v>9.6199999999999994E-2</v>
      </c>
      <c r="P6" s="257">
        <f>90*(B6*(O6/360))*0.96</f>
        <v>20779199.999999996</v>
      </c>
      <c r="Q6" s="262">
        <f>+N6+1</f>
        <v>45428</v>
      </c>
      <c r="R6" s="228">
        <f>+Q6+90</f>
        <v>45518</v>
      </c>
      <c r="S6" s="230">
        <v>8.43E-2</v>
      </c>
      <c r="T6" s="263">
        <f>B6*(90*(S6/360))*0.96</f>
        <v>18208800</v>
      </c>
      <c r="U6" s="262">
        <f t="shared" si="2"/>
        <v>45519</v>
      </c>
      <c r="V6" s="228">
        <f t="shared" si="3"/>
        <v>45609</v>
      </c>
      <c r="W6" s="230">
        <v>7.2499999999999995E-2</v>
      </c>
      <c r="X6" s="263">
        <f t="shared" si="4"/>
        <v>15659999.999999998</v>
      </c>
      <c r="Y6" s="285" t="s">
        <v>416</v>
      </c>
      <c r="Z6" s="231" t="s">
        <v>406</v>
      </c>
      <c r="AA6" s="286" t="s">
        <v>406</v>
      </c>
      <c r="AB6" s="282">
        <f t="shared" si="5"/>
        <v>80460000</v>
      </c>
      <c r="AC6" s="159"/>
      <c r="AE6" s="916"/>
      <c r="AF6" s="917"/>
      <c r="AG6" s="917"/>
      <c r="AH6" s="917"/>
      <c r="AI6" s="917"/>
      <c r="AJ6" s="917"/>
      <c r="AK6" s="917"/>
      <c r="AL6" s="918"/>
    </row>
    <row r="7" spans="1:38">
      <c r="A7" s="219" t="s">
        <v>415</v>
      </c>
      <c r="B7" s="220">
        <v>413000000</v>
      </c>
      <c r="C7" s="221">
        <v>45246</v>
      </c>
      <c r="D7" s="222">
        <v>45338</v>
      </c>
      <c r="E7" s="223">
        <v>0.1186</v>
      </c>
      <c r="F7" s="224">
        <v>90</v>
      </c>
      <c r="G7" s="225">
        <f t="shared" si="0"/>
        <v>12245450</v>
      </c>
      <c r="H7" s="257">
        <f t="shared" si="1"/>
        <v>11755632</v>
      </c>
      <c r="I7" s="262">
        <v>45246</v>
      </c>
      <c r="J7" s="226">
        <v>45338</v>
      </c>
      <c r="K7" s="227">
        <v>0.1186</v>
      </c>
      <c r="L7" s="263">
        <f>+F7*(B7*(E7/360))*0.96</f>
        <v>11755632</v>
      </c>
      <c r="M7" s="262">
        <f>+J7+1</f>
        <v>45339</v>
      </c>
      <c r="N7" s="228">
        <f>+M7+90</f>
        <v>45429</v>
      </c>
      <c r="O7" s="229">
        <v>9.6199999999999994E-2</v>
      </c>
      <c r="P7" s="257">
        <f>90*(B7*(O7/360))*0.96</f>
        <v>9535343.9999999981</v>
      </c>
      <c r="Q7" s="262">
        <f>+N7+1</f>
        <v>45430</v>
      </c>
      <c r="R7" s="228">
        <f>+Q7+90</f>
        <v>45520</v>
      </c>
      <c r="S7" s="230">
        <v>8.43E-2</v>
      </c>
      <c r="T7" s="263">
        <f>B7*(90*(S7/360))*0.96</f>
        <v>8355816</v>
      </c>
      <c r="U7" s="262">
        <f t="shared" si="2"/>
        <v>45521</v>
      </c>
      <c r="V7" s="228">
        <f t="shared" si="3"/>
        <v>45611</v>
      </c>
      <c r="W7" s="230">
        <v>7.2499999999999995E-2</v>
      </c>
      <c r="X7" s="263">
        <f t="shared" si="4"/>
        <v>7186199.9999999991</v>
      </c>
      <c r="Y7" s="285" t="s">
        <v>416</v>
      </c>
      <c r="Z7" s="231" t="s">
        <v>406</v>
      </c>
      <c r="AA7" s="286" t="s">
        <v>406</v>
      </c>
      <c r="AB7" s="282">
        <f t="shared" si="5"/>
        <v>36832992</v>
      </c>
      <c r="AC7" s="159"/>
      <c r="AE7" s="916"/>
      <c r="AF7" s="917"/>
      <c r="AG7" s="917"/>
      <c r="AH7" s="917"/>
      <c r="AI7" s="917"/>
      <c r="AJ7" s="917"/>
      <c r="AK7" s="917"/>
      <c r="AL7" s="918"/>
    </row>
    <row r="8" spans="1:38">
      <c r="A8" s="219" t="s">
        <v>415</v>
      </c>
      <c r="B8" s="220">
        <v>600000000</v>
      </c>
      <c r="C8" s="221">
        <v>45257</v>
      </c>
      <c r="D8" s="222">
        <v>45349</v>
      </c>
      <c r="E8" s="223">
        <v>0.1195</v>
      </c>
      <c r="F8" s="224">
        <v>90</v>
      </c>
      <c r="G8" s="225">
        <f t="shared" si="0"/>
        <v>17925000</v>
      </c>
      <c r="H8" s="257">
        <f t="shared" si="1"/>
        <v>17208000</v>
      </c>
      <c r="I8" s="262">
        <v>45257</v>
      </c>
      <c r="J8" s="226">
        <v>45349</v>
      </c>
      <c r="K8" s="227">
        <v>0.1195</v>
      </c>
      <c r="L8" s="263">
        <f>+F8*(B8*(E8/360))*0.96</f>
        <v>17208000</v>
      </c>
      <c r="M8" s="262">
        <f>+J8+1</f>
        <v>45350</v>
      </c>
      <c r="N8" s="228">
        <f>+M8+90</f>
        <v>45440</v>
      </c>
      <c r="O8" s="229">
        <v>9.6199999999999994E-2</v>
      </c>
      <c r="P8" s="257">
        <f>90*(B8*(O8/360))*0.96</f>
        <v>13852799.999999998</v>
      </c>
      <c r="Q8" s="262">
        <f>+N8+1</f>
        <v>45441</v>
      </c>
      <c r="R8" s="228">
        <f>+Q8+90</f>
        <v>45531</v>
      </c>
      <c r="S8" s="230">
        <v>8.43E-2</v>
      </c>
      <c r="T8" s="263">
        <f>B8*(90*(S8/360))*0.96</f>
        <v>12139200</v>
      </c>
      <c r="U8" s="262">
        <f t="shared" si="2"/>
        <v>45532</v>
      </c>
      <c r="V8" s="228">
        <f t="shared" si="3"/>
        <v>45622</v>
      </c>
      <c r="W8" s="230">
        <v>7.2499999999999995E-2</v>
      </c>
      <c r="X8" s="263">
        <f t="shared" si="4"/>
        <v>10440000</v>
      </c>
      <c r="Y8" s="285" t="s">
        <v>416</v>
      </c>
      <c r="Z8" s="231" t="s">
        <v>406</v>
      </c>
      <c r="AA8" s="286" t="s">
        <v>406</v>
      </c>
      <c r="AB8" s="282">
        <f t="shared" si="5"/>
        <v>53640000</v>
      </c>
      <c r="AC8" s="159"/>
      <c r="AE8" s="916" t="s">
        <v>405</v>
      </c>
      <c r="AF8" s="917"/>
      <c r="AG8" s="917"/>
      <c r="AH8" s="917"/>
      <c r="AI8" s="917"/>
      <c r="AJ8" s="917"/>
      <c r="AK8" s="917"/>
      <c r="AL8" s="918"/>
    </row>
    <row r="9" spans="1:38">
      <c r="A9" s="219" t="s">
        <v>415</v>
      </c>
      <c r="B9" s="220">
        <v>9000000000</v>
      </c>
      <c r="C9" s="221">
        <v>45293</v>
      </c>
      <c r="D9" s="222">
        <v>45475</v>
      </c>
      <c r="E9" s="223">
        <v>0.11609999999999999</v>
      </c>
      <c r="F9" s="224">
        <v>180</v>
      </c>
      <c r="G9" s="225">
        <f t="shared" si="0"/>
        <v>522450000</v>
      </c>
      <c r="H9" s="257">
        <f t="shared" si="1"/>
        <v>501552000</v>
      </c>
      <c r="I9" s="262">
        <v>45293</v>
      </c>
      <c r="J9" s="226">
        <v>45475</v>
      </c>
      <c r="K9" s="233">
        <v>0.11609999999999999</v>
      </c>
      <c r="L9" s="263">
        <v>0</v>
      </c>
      <c r="M9" s="262">
        <v>45293</v>
      </c>
      <c r="N9" s="228">
        <v>45475</v>
      </c>
      <c r="O9" s="229">
        <v>0.11609999999999999</v>
      </c>
      <c r="P9" s="257">
        <v>0</v>
      </c>
      <c r="Q9" s="262">
        <v>45293</v>
      </c>
      <c r="R9" s="228">
        <v>45475</v>
      </c>
      <c r="S9" s="233">
        <v>0.11609999999999999</v>
      </c>
      <c r="T9" s="263">
        <f>F9*(B9*(O9/360))*0.96</f>
        <v>501552000</v>
      </c>
      <c r="U9" s="262">
        <f t="shared" si="2"/>
        <v>45476</v>
      </c>
      <c r="V9" s="228">
        <f t="shared" si="3"/>
        <v>45566</v>
      </c>
      <c r="W9" s="229">
        <v>7.2499999999999995E-2</v>
      </c>
      <c r="X9" s="263">
        <f t="shared" si="4"/>
        <v>156600000</v>
      </c>
      <c r="Y9" s="285" t="s">
        <v>416</v>
      </c>
      <c r="Z9" s="231" t="s">
        <v>406</v>
      </c>
      <c r="AA9" s="286" t="s">
        <v>406</v>
      </c>
      <c r="AB9" s="282">
        <f t="shared" si="5"/>
        <v>658152000</v>
      </c>
      <c r="AC9" s="159"/>
      <c r="AE9" s="916"/>
      <c r="AF9" s="917"/>
      <c r="AG9" s="917"/>
      <c r="AH9" s="917"/>
      <c r="AI9" s="917"/>
      <c r="AJ9" s="917"/>
      <c r="AK9" s="917"/>
      <c r="AL9" s="918"/>
    </row>
    <row r="10" spans="1:38">
      <c r="A10" s="219" t="s">
        <v>415</v>
      </c>
      <c r="B10" s="220">
        <v>3300000000</v>
      </c>
      <c r="C10" s="221">
        <v>45302</v>
      </c>
      <c r="D10" s="222">
        <v>45362</v>
      </c>
      <c r="E10" s="223">
        <v>0.11210000000000001</v>
      </c>
      <c r="F10" s="224">
        <v>90</v>
      </c>
      <c r="G10" s="225">
        <f t="shared" si="0"/>
        <v>92482500</v>
      </c>
      <c r="H10" s="257">
        <f t="shared" si="1"/>
        <v>88783200</v>
      </c>
      <c r="I10" s="262">
        <v>45302</v>
      </c>
      <c r="J10" s="226">
        <v>45362</v>
      </c>
      <c r="K10" s="227">
        <v>0.11210000000000001</v>
      </c>
      <c r="L10" s="263">
        <f>+F10*(B10*(E10/360))*0.96</f>
        <v>88783200</v>
      </c>
      <c r="M10" s="262">
        <f>+J10+1</f>
        <v>45363</v>
      </c>
      <c r="N10" s="228">
        <f>+M10+90</f>
        <v>45453</v>
      </c>
      <c r="O10" s="229">
        <v>9.6199999999999994E-2</v>
      </c>
      <c r="P10" s="257">
        <f>90*(B10*(O10/360))*0.96</f>
        <v>76190400</v>
      </c>
      <c r="Q10" s="262">
        <f t="shared" ref="Q10:Q20" si="6">+N10+1</f>
        <v>45454</v>
      </c>
      <c r="R10" s="228">
        <f t="shared" ref="R10:R20" si="7">+Q10+90</f>
        <v>45544</v>
      </c>
      <c r="S10" s="230">
        <v>8.43E-2</v>
      </c>
      <c r="T10" s="263">
        <f t="shared" ref="T10:T20" si="8">B10*(90*(S10/360))*0.96</f>
        <v>66765600</v>
      </c>
      <c r="U10" s="262">
        <f t="shared" si="2"/>
        <v>45545</v>
      </c>
      <c r="V10" s="228">
        <f t="shared" si="3"/>
        <v>45635</v>
      </c>
      <c r="W10" s="230">
        <v>7.2499999999999995E-2</v>
      </c>
      <c r="X10" s="263">
        <f t="shared" si="4"/>
        <v>57419999.999999993</v>
      </c>
      <c r="Y10" s="285" t="s">
        <v>416</v>
      </c>
      <c r="Z10" s="231" t="s">
        <v>406</v>
      </c>
      <c r="AA10" s="286" t="s">
        <v>406</v>
      </c>
      <c r="AB10" s="282">
        <f t="shared" si="5"/>
        <v>289159200</v>
      </c>
      <c r="AC10" s="159"/>
      <c r="AE10" s="916" t="s">
        <v>446</v>
      </c>
      <c r="AF10" s="917"/>
      <c r="AG10" s="917"/>
      <c r="AH10" s="917"/>
      <c r="AI10" s="917"/>
      <c r="AJ10" s="917"/>
      <c r="AK10" s="917"/>
      <c r="AL10" s="918"/>
    </row>
    <row r="11" spans="1:38">
      <c r="A11" s="232" t="s">
        <v>414</v>
      </c>
      <c r="B11" s="220">
        <v>5405823531</v>
      </c>
      <c r="C11" s="221">
        <v>45324</v>
      </c>
      <c r="D11" s="222">
        <v>45414</v>
      </c>
      <c r="E11" s="223">
        <v>9.8299999999999998E-2</v>
      </c>
      <c r="F11" s="224">
        <v>90</v>
      </c>
      <c r="G11" s="225">
        <f t="shared" si="0"/>
        <v>132848113.274325</v>
      </c>
      <c r="H11" s="257">
        <f t="shared" si="1"/>
        <v>127534188.743352</v>
      </c>
      <c r="I11" s="262">
        <v>45324</v>
      </c>
      <c r="J11" s="226">
        <v>45414</v>
      </c>
      <c r="K11" s="233">
        <v>9.8299999999999998E-2</v>
      </c>
      <c r="L11" s="263">
        <v>0</v>
      </c>
      <c r="M11" s="262">
        <v>45324</v>
      </c>
      <c r="N11" s="228">
        <v>45414</v>
      </c>
      <c r="O11" s="229">
        <v>9.8299999999999998E-2</v>
      </c>
      <c r="P11" s="277">
        <f>+F11*(B11*(E11/360))*0.96</f>
        <v>127534188.743352</v>
      </c>
      <c r="Q11" s="262">
        <f t="shared" si="6"/>
        <v>45415</v>
      </c>
      <c r="R11" s="228">
        <f t="shared" si="7"/>
        <v>45505</v>
      </c>
      <c r="S11" s="230">
        <v>8.43E-2</v>
      </c>
      <c r="T11" s="263">
        <f t="shared" si="8"/>
        <v>109370621.67919199</v>
      </c>
      <c r="U11" s="262">
        <f t="shared" si="2"/>
        <v>45506</v>
      </c>
      <c r="V11" s="228">
        <f t="shared" si="3"/>
        <v>45596</v>
      </c>
      <c r="W11" s="229">
        <v>7.2499999999999995E-2</v>
      </c>
      <c r="X11" s="263">
        <f t="shared" si="4"/>
        <v>94061329.439400002</v>
      </c>
      <c r="Y11" s="285" t="s">
        <v>416</v>
      </c>
      <c r="Z11" s="231" t="s">
        <v>406</v>
      </c>
      <c r="AA11" s="286" t="s">
        <v>406</v>
      </c>
      <c r="AB11" s="282">
        <f t="shared" si="5"/>
        <v>330966139.86194396</v>
      </c>
      <c r="AC11" s="159"/>
      <c r="AE11" s="916"/>
      <c r="AF11" s="917"/>
      <c r="AG11" s="917"/>
      <c r="AH11" s="917"/>
      <c r="AI11" s="917"/>
      <c r="AJ11" s="917"/>
      <c r="AK11" s="917"/>
      <c r="AL11" s="918"/>
    </row>
    <row r="12" spans="1:38">
      <c r="A12" s="232" t="s">
        <v>412</v>
      </c>
      <c r="B12" s="220">
        <v>1000000000</v>
      </c>
      <c r="C12" s="221">
        <v>45295</v>
      </c>
      <c r="D12" s="222">
        <v>45355</v>
      </c>
      <c r="E12" s="223">
        <v>0.1195</v>
      </c>
      <c r="F12" s="224">
        <v>90</v>
      </c>
      <c r="G12" s="225">
        <f t="shared" si="0"/>
        <v>29875000</v>
      </c>
      <c r="H12" s="257">
        <f t="shared" si="1"/>
        <v>28680000</v>
      </c>
      <c r="I12" s="262">
        <v>45295</v>
      </c>
      <c r="J12" s="226">
        <v>45355</v>
      </c>
      <c r="K12" s="227">
        <v>0.1195</v>
      </c>
      <c r="L12" s="263">
        <f>+F12*(B12*(E12/360))*0.96</f>
        <v>28680000</v>
      </c>
      <c r="M12" s="262">
        <f>+J12+1</f>
        <v>45356</v>
      </c>
      <c r="N12" s="228">
        <f>+M12+90</f>
        <v>45446</v>
      </c>
      <c r="O12" s="229">
        <v>9.6199999999999994E-2</v>
      </c>
      <c r="P12" s="257">
        <f>90*(B12*(O12/360))*0.96</f>
        <v>23087999.999999996</v>
      </c>
      <c r="Q12" s="262">
        <f t="shared" si="6"/>
        <v>45447</v>
      </c>
      <c r="R12" s="228">
        <f t="shared" si="7"/>
        <v>45537</v>
      </c>
      <c r="S12" s="230">
        <v>8.43E-2</v>
      </c>
      <c r="T12" s="263">
        <f t="shared" si="8"/>
        <v>20232000</v>
      </c>
      <c r="U12" s="262">
        <f t="shared" si="2"/>
        <v>45538</v>
      </c>
      <c r="V12" s="228">
        <f t="shared" si="3"/>
        <v>45628</v>
      </c>
      <c r="W12" s="230">
        <v>7.2499999999999995E-2</v>
      </c>
      <c r="X12" s="263">
        <f t="shared" si="4"/>
        <v>17400000</v>
      </c>
      <c r="Y12" s="285" t="s">
        <v>416</v>
      </c>
      <c r="Z12" s="231" t="s">
        <v>406</v>
      </c>
      <c r="AA12" s="286" t="s">
        <v>406</v>
      </c>
      <c r="AB12" s="282">
        <f t="shared" si="5"/>
        <v>89400000</v>
      </c>
      <c r="AC12" s="159"/>
      <c r="AE12" s="916"/>
      <c r="AF12" s="917"/>
      <c r="AG12" s="917"/>
      <c r="AH12" s="917"/>
      <c r="AI12" s="917"/>
      <c r="AJ12" s="917"/>
      <c r="AK12" s="917"/>
      <c r="AL12" s="918"/>
    </row>
    <row r="13" spans="1:38">
      <c r="A13" s="232" t="s">
        <v>412</v>
      </c>
      <c r="B13" s="220">
        <v>2270154803</v>
      </c>
      <c r="C13" s="221">
        <v>45306</v>
      </c>
      <c r="D13" s="222">
        <v>45427</v>
      </c>
      <c r="E13" s="223">
        <v>0.11550000000000001</v>
      </c>
      <c r="F13" s="224">
        <v>120</v>
      </c>
      <c r="G13" s="225">
        <f t="shared" si="0"/>
        <v>87400959.9155</v>
      </c>
      <c r="H13" s="257">
        <f t="shared" si="1"/>
        <v>83904921.518879995</v>
      </c>
      <c r="I13" s="262">
        <v>45306</v>
      </c>
      <c r="J13" s="226">
        <v>45427</v>
      </c>
      <c r="K13" s="233">
        <v>0.11550000000000001</v>
      </c>
      <c r="L13" s="263">
        <v>0</v>
      </c>
      <c r="M13" s="262">
        <v>45306</v>
      </c>
      <c r="N13" s="228">
        <v>45427</v>
      </c>
      <c r="O13" s="229">
        <v>0.11550000000000001</v>
      </c>
      <c r="P13" s="277">
        <f>+F13*(B13*(E13/360))*0.96</f>
        <v>83904921.518879995</v>
      </c>
      <c r="Q13" s="262">
        <f t="shared" si="6"/>
        <v>45428</v>
      </c>
      <c r="R13" s="228">
        <f t="shared" si="7"/>
        <v>45518</v>
      </c>
      <c r="S13" s="230">
        <v>8.43E-2</v>
      </c>
      <c r="T13" s="263">
        <f t="shared" si="8"/>
        <v>45929771.974295996</v>
      </c>
      <c r="U13" s="262">
        <f t="shared" si="2"/>
        <v>45519</v>
      </c>
      <c r="V13" s="228">
        <f t="shared" si="3"/>
        <v>45609</v>
      </c>
      <c r="W13" s="229">
        <v>7.2499999999999995E-2</v>
      </c>
      <c r="X13" s="263">
        <f t="shared" si="4"/>
        <v>39500693.5722</v>
      </c>
      <c r="Y13" s="285" t="s">
        <v>416</v>
      </c>
      <c r="Z13" s="231" t="s">
        <v>406</v>
      </c>
      <c r="AA13" s="286" t="s">
        <v>406</v>
      </c>
      <c r="AB13" s="282">
        <f t="shared" si="5"/>
        <v>169335387.06537598</v>
      </c>
      <c r="AC13" s="159"/>
      <c r="AE13" s="922"/>
      <c r="AF13" s="923"/>
      <c r="AG13" s="923"/>
      <c r="AH13" s="923"/>
      <c r="AI13" s="923"/>
      <c r="AJ13" s="923"/>
      <c r="AK13" s="923"/>
      <c r="AL13" s="924"/>
    </row>
    <row r="14" spans="1:38">
      <c r="A14" s="232" t="s">
        <v>411</v>
      </c>
      <c r="B14" s="220">
        <v>5000000000</v>
      </c>
      <c r="C14" s="221">
        <v>45177</v>
      </c>
      <c r="D14" s="222">
        <v>45365</v>
      </c>
      <c r="E14" s="235">
        <v>0.12641240314497182</v>
      </c>
      <c r="F14" s="224">
        <v>186</v>
      </c>
      <c r="G14" s="225">
        <f t="shared" si="0"/>
        <v>326565374.79117715</v>
      </c>
      <c r="H14" s="257">
        <f t="shared" si="1"/>
        <v>313502759.79953003</v>
      </c>
      <c r="I14" s="262">
        <v>45177</v>
      </c>
      <c r="J14" s="226">
        <v>45365</v>
      </c>
      <c r="K14" s="227">
        <v>0.12641240314497182</v>
      </c>
      <c r="L14" s="263">
        <f>+F14*(B14*(E14/360))*0.96</f>
        <v>313502759.79953003</v>
      </c>
      <c r="M14" s="262">
        <f>+J14+1</f>
        <v>45366</v>
      </c>
      <c r="N14" s="228">
        <f>+M14+90</f>
        <v>45456</v>
      </c>
      <c r="O14" s="229">
        <v>9.6199999999999994E-2</v>
      </c>
      <c r="P14" s="257">
        <f>90*(B14*(O14/360))*0.96</f>
        <v>115439999.99999999</v>
      </c>
      <c r="Q14" s="262">
        <f t="shared" si="6"/>
        <v>45457</v>
      </c>
      <c r="R14" s="228">
        <f t="shared" si="7"/>
        <v>45547</v>
      </c>
      <c r="S14" s="230">
        <v>8.43E-2</v>
      </c>
      <c r="T14" s="263">
        <f t="shared" si="8"/>
        <v>101160000</v>
      </c>
      <c r="U14" s="262">
        <f t="shared" si="2"/>
        <v>45548</v>
      </c>
      <c r="V14" s="228">
        <f t="shared" si="3"/>
        <v>45638</v>
      </c>
      <c r="W14" s="230">
        <v>7.2499999999999995E-2</v>
      </c>
      <c r="X14" s="263">
        <f t="shared" si="4"/>
        <v>87000000</v>
      </c>
      <c r="Y14" s="285" t="s">
        <v>416</v>
      </c>
      <c r="Z14" s="231" t="s">
        <v>406</v>
      </c>
      <c r="AA14" s="286" t="s">
        <v>406</v>
      </c>
      <c r="AB14" s="282">
        <f t="shared" si="5"/>
        <v>617102759.79953003</v>
      </c>
      <c r="AC14" s="159"/>
    </row>
    <row r="15" spans="1:38">
      <c r="A15" s="232" t="s">
        <v>417</v>
      </c>
      <c r="B15" s="234">
        <v>2162174733</v>
      </c>
      <c r="C15" s="236">
        <v>45246</v>
      </c>
      <c r="D15" s="222">
        <v>45338</v>
      </c>
      <c r="E15" s="235">
        <v>0.1188117034945364</v>
      </c>
      <c r="F15" s="224">
        <v>90</v>
      </c>
      <c r="G15" s="225">
        <f t="shared" si="0"/>
        <v>64222915.820143603</v>
      </c>
      <c r="H15" s="257">
        <f t="shared" si="1"/>
        <v>61653999.187337853</v>
      </c>
      <c r="I15" s="262">
        <v>45246</v>
      </c>
      <c r="J15" s="226">
        <v>45338</v>
      </c>
      <c r="K15" s="227">
        <v>0.1188117034945364</v>
      </c>
      <c r="L15" s="263">
        <f>+F15*(B15*(E15/360))*0.96</f>
        <v>61653999.187337853</v>
      </c>
      <c r="M15" s="262">
        <f>+J15+1</f>
        <v>45339</v>
      </c>
      <c r="N15" s="228">
        <f>+M15+90</f>
        <v>45429</v>
      </c>
      <c r="O15" s="229">
        <v>9.6199999999999994E-2</v>
      </c>
      <c r="P15" s="257">
        <f>90*(B15*(O15/360))*0.96</f>
        <v>49920290.235503986</v>
      </c>
      <c r="Q15" s="262">
        <f t="shared" si="6"/>
        <v>45430</v>
      </c>
      <c r="R15" s="228">
        <f t="shared" si="7"/>
        <v>45520</v>
      </c>
      <c r="S15" s="230">
        <v>8.43E-2</v>
      </c>
      <c r="T15" s="263">
        <f t="shared" si="8"/>
        <v>43745119.198055997</v>
      </c>
      <c r="U15" s="262">
        <f t="shared" si="2"/>
        <v>45521</v>
      </c>
      <c r="V15" s="228">
        <f t="shared" si="3"/>
        <v>45611</v>
      </c>
      <c r="W15" s="230">
        <v>7.2499999999999995E-2</v>
      </c>
      <c r="X15" s="263">
        <f t="shared" si="4"/>
        <v>37621840.354199998</v>
      </c>
      <c r="Y15" s="285" t="s">
        <v>416</v>
      </c>
      <c r="Z15" s="231" t="s">
        <v>406</v>
      </c>
      <c r="AA15" s="286" t="s">
        <v>406</v>
      </c>
      <c r="AB15" s="282">
        <f t="shared" si="5"/>
        <v>192941248.97509784</v>
      </c>
      <c r="AC15" s="159"/>
    </row>
    <row r="16" spans="1:38">
      <c r="A16" s="232" t="s">
        <v>411</v>
      </c>
      <c r="B16" s="220">
        <v>700000000</v>
      </c>
      <c r="C16" s="221">
        <v>45279</v>
      </c>
      <c r="D16" s="222">
        <v>45370</v>
      </c>
      <c r="E16" s="235">
        <v>0.11791404692656826</v>
      </c>
      <c r="F16" s="224">
        <v>90</v>
      </c>
      <c r="G16" s="225">
        <f t="shared" si="0"/>
        <v>20634958.212149449</v>
      </c>
      <c r="H16" s="257">
        <f t="shared" si="1"/>
        <v>19809559.883663472</v>
      </c>
      <c r="I16" s="262">
        <v>45279</v>
      </c>
      <c r="J16" s="226">
        <v>45370</v>
      </c>
      <c r="K16" s="227">
        <v>0.11791404692656826</v>
      </c>
      <c r="L16" s="263">
        <f>+F16*(B16*(E16/360))*0.96</f>
        <v>19809559.883663472</v>
      </c>
      <c r="M16" s="262">
        <f>+J16+1</f>
        <v>45371</v>
      </c>
      <c r="N16" s="228">
        <f>+M16+90</f>
        <v>45461</v>
      </c>
      <c r="O16" s="229">
        <v>9.6199999999999994E-2</v>
      </c>
      <c r="P16" s="257">
        <f>90*(B16*(O16/360))*0.96</f>
        <v>16161599.999999996</v>
      </c>
      <c r="Q16" s="262">
        <f t="shared" si="6"/>
        <v>45462</v>
      </c>
      <c r="R16" s="228">
        <f t="shared" si="7"/>
        <v>45552</v>
      </c>
      <c r="S16" s="230">
        <v>8.43E-2</v>
      </c>
      <c r="T16" s="263">
        <f t="shared" si="8"/>
        <v>14162400</v>
      </c>
      <c r="U16" s="262">
        <f t="shared" si="2"/>
        <v>45553</v>
      </c>
      <c r="V16" s="228">
        <f t="shared" si="3"/>
        <v>45643</v>
      </c>
      <c r="W16" s="230">
        <v>7.2499999999999995E-2</v>
      </c>
      <c r="X16" s="263">
        <f t="shared" si="4"/>
        <v>12180000</v>
      </c>
      <c r="Y16" s="285" t="s">
        <v>416</v>
      </c>
      <c r="Z16" s="231" t="s">
        <v>406</v>
      </c>
      <c r="AA16" s="286" t="s">
        <v>406</v>
      </c>
      <c r="AB16" s="282">
        <f t="shared" si="5"/>
        <v>62313559.883663476</v>
      </c>
      <c r="AC16" s="159"/>
    </row>
    <row r="17" spans="1:29">
      <c r="A17" s="232" t="s">
        <v>411</v>
      </c>
      <c r="B17" s="220">
        <v>8000000000</v>
      </c>
      <c r="C17" s="221">
        <v>45290</v>
      </c>
      <c r="D17" s="222">
        <v>45381</v>
      </c>
      <c r="E17" s="235">
        <v>0.10708470874497333</v>
      </c>
      <c r="F17" s="224">
        <v>90</v>
      </c>
      <c r="G17" s="225">
        <f t="shared" si="0"/>
        <v>214169417.48994666</v>
      </c>
      <c r="H17" s="257">
        <f t="shared" si="1"/>
        <v>205602640.7903488</v>
      </c>
      <c r="I17" s="262">
        <v>45290</v>
      </c>
      <c r="J17" s="226">
        <v>45381</v>
      </c>
      <c r="K17" s="227">
        <v>0.10708470874497333</v>
      </c>
      <c r="L17" s="263">
        <f>+F17*(B17*(E17/360))*0.96</f>
        <v>205602640.7903488</v>
      </c>
      <c r="M17" s="262">
        <f>+J17+1</f>
        <v>45382</v>
      </c>
      <c r="N17" s="228">
        <f>+M17+90</f>
        <v>45472</v>
      </c>
      <c r="O17" s="229">
        <v>9.6199999999999994E-2</v>
      </c>
      <c r="P17" s="257">
        <f>90*(B17*(O17/360))*0.96</f>
        <v>184703999.99999997</v>
      </c>
      <c r="Q17" s="262">
        <f t="shared" si="6"/>
        <v>45473</v>
      </c>
      <c r="R17" s="228">
        <f t="shared" si="7"/>
        <v>45563</v>
      </c>
      <c r="S17" s="230">
        <v>8.43E-2</v>
      </c>
      <c r="T17" s="263">
        <f t="shared" si="8"/>
        <v>161856000</v>
      </c>
      <c r="U17" s="262">
        <f t="shared" si="2"/>
        <v>45564</v>
      </c>
      <c r="V17" s="228">
        <f t="shared" si="3"/>
        <v>45654</v>
      </c>
      <c r="W17" s="230">
        <v>7.2499999999999995E-2</v>
      </c>
      <c r="X17" s="263">
        <f t="shared" si="4"/>
        <v>139200000</v>
      </c>
      <c r="Y17" s="285" t="s">
        <v>416</v>
      </c>
      <c r="Z17" s="231" t="s">
        <v>406</v>
      </c>
      <c r="AA17" s="286" t="s">
        <v>406</v>
      </c>
      <c r="AB17" s="282">
        <f t="shared" si="5"/>
        <v>691362640.79034877</v>
      </c>
      <c r="AC17" s="159"/>
    </row>
    <row r="18" spans="1:29">
      <c r="A18" s="232" t="s">
        <v>411</v>
      </c>
      <c r="B18" s="220">
        <v>3500000000</v>
      </c>
      <c r="C18" s="221">
        <v>45301</v>
      </c>
      <c r="D18" s="222">
        <v>45392</v>
      </c>
      <c r="E18" s="235">
        <v>0.10663116644557924</v>
      </c>
      <c r="F18" s="224">
        <v>90</v>
      </c>
      <c r="G18" s="225">
        <f t="shared" si="0"/>
        <v>93302270.639881834</v>
      </c>
      <c r="H18" s="257">
        <f t="shared" si="1"/>
        <v>89570179.81428656</v>
      </c>
      <c r="I18" s="262">
        <v>45301</v>
      </c>
      <c r="J18" s="226">
        <v>45392</v>
      </c>
      <c r="K18" s="233">
        <v>0.10663116644557924</v>
      </c>
      <c r="L18" s="263">
        <v>0</v>
      </c>
      <c r="M18" s="262">
        <v>45301</v>
      </c>
      <c r="N18" s="228">
        <v>45392</v>
      </c>
      <c r="O18" s="229">
        <v>0.10663116644557924</v>
      </c>
      <c r="P18" s="277">
        <f>+F18*(B18*(E18/360))*0.96</f>
        <v>89570179.81428656</v>
      </c>
      <c r="Q18" s="262">
        <f t="shared" si="6"/>
        <v>45393</v>
      </c>
      <c r="R18" s="228">
        <f t="shared" si="7"/>
        <v>45483</v>
      </c>
      <c r="S18" s="229">
        <v>8.43E-2</v>
      </c>
      <c r="T18" s="263">
        <f t="shared" si="8"/>
        <v>70812000</v>
      </c>
      <c r="U18" s="262">
        <f t="shared" si="2"/>
        <v>45484</v>
      </c>
      <c r="V18" s="228">
        <f t="shared" si="3"/>
        <v>45574</v>
      </c>
      <c r="W18" s="229">
        <v>7.2499999999999995E-2</v>
      </c>
      <c r="X18" s="263">
        <f t="shared" si="4"/>
        <v>60899999.999999993</v>
      </c>
      <c r="Y18" s="285" t="s">
        <v>416</v>
      </c>
      <c r="Z18" s="231" t="s">
        <v>406</v>
      </c>
      <c r="AA18" s="286" t="s">
        <v>406</v>
      </c>
      <c r="AB18" s="282">
        <f t="shared" si="5"/>
        <v>221282179.81428656</v>
      </c>
      <c r="AC18" s="159"/>
    </row>
    <row r="19" spans="1:29">
      <c r="A19" s="232" t="s">
        <v>411</v>
      </c>
      <c r="B19" s="220">
        <v>400000000</v>
      </c>
      <c r="C19" s="221">
        <v>45313</v>
      </c>
      <c r="D19" s="222">
        <v>45404</v>
      </c>
      <c r="E19" s="235">
        <v>0.10753806423021128</v>
      </c>
      <c r="F19" s="224">
        <v>90</v>
      </c>
      <c r="G19" s="225">
        <f t="shared" si="0"/>
        <v>10753806.423021128</v>
      </c>
      <c r="H19" s="257">
        <f t="shared" si="1"/>
        <v>10323654.166100282</v>
      </c>
      <c r="I19" s="262">
        <v>45313</v>
      </c>
      <c r="J19" s="226">
        <v>45404</v>
      </c>
      <c r="K19" s="233">
        <v>0.10753806423021128</v>
      </c>
      <c r="L19" s="263">
        <v>0</v>
      </c>
      <c r="M19" s="262">
        <v>45313</v>
      </c>
      <c r="N19" s="228">
        <v>45404</v>
      </c>
      <c r="O19" s="229">
        <v>0.10753806423021128</v>
      </c>
      <c r="P19" s="277">
        <f>+F19*(B19*(E19/360))*0.96</f>
        <v>10323654.166100282</v>
      </c>
      <c r="Q19" s="262">
        <f t="shared" si="6"/>
        <v>45405</v>
      </c>
      <c r="R19" s="228">
        <f t="shared" si="7"/>
        <v>45495</v>
      </c>
      <c r="S19" s="229">
        <v>8.43E-2</v>
      </c>
      <c r="T19" s="263">
        <f t="shared" si="8"/>
        <v>8092800</v>
      </c>
      <c r="U19" s="262">
        <f t="shared" si="2"/>
        <v>45496</v>
      </c>
      <c r="V19" s="228">
        <f t="shared" si="3"/>
        <v>45586</v>
      </c>
      <c r="W19" s="229">
        <v>7.2499999999999995E-2</v>
      </c>
      <c r="X19" s="263">
        <f t="shared" si="4"/>
        <v>6959999.9999999991</v>
      </c>
      <c r="Y19" s="285" t="s">
        <v>416</v>
      </c>
      <c r="Z19" s="231" t="s">
        <v>406</v>
      </c>
      <c r="AA19" s="286" t="s">
        <v>406</v>
      </c>
      <c r="AB19" s="282">
        <f t="shared" si="5"/>
        <v>25376454.166100282</v>
      </c>
      <c r="AC19" s="159"/>
    </row>
    <row r="20" spans="1:29">
      <c r="A20" s="232" t="s">
        <v>411</v>
      </c>
      <c r="B20" s="220">
        <v>5000000000</v>
      </c>
      <c r="C20" s="221">
        <v>44589</v>
      </c>
      <c r="D20" s="222">
        <v>45410</v>
      </c>
      <c r="E20" s="235">
        <v>0.10526941705107706</v>
      </c>
      <c r="F20" s="224">
        <v>90</v>
      </c>
      <c r="G20" s="225">
        <f t="shared" si="0"/>
        <v>131586771.31384633</v>
      </c>
      <c r="H20" s="257">
        <f t="shared" si="1"/>
        <v>126323300.46129248</v>
      </c>
      <c r="I20" s="262">
        <v>44589</v>
      </c>
      <c r="J20" s="226">
        <v>45410</v>
      </c>
      <c r="K20" s="233">
        <v>0.10526941705107706</v>
      </c>
      <c r="L20" s="263">
        <v>0</v>
      </c>
      <c r="M20" s="262">
        <v>44589</v>
      </c>
      <c r="N20" s="228">
        <v>45410</v>
      </c>
      <c r="O20" s="229">
        <v>0.10526941705107706</v>
      </c>
      <c r="P20" s="277">
        <f>+F20*(B20*(E20/360))*0.96</f>
        <v>126323300.46129248</v>
      </c>
      <c r="Q20" s="262">
        <f t="shared" si="6"/>
        <v>45411</v>
      </c>
      <c r="R20" s="228">
        <f t="shared" si="7"/>
        <v>45501</v>
      </c>
      <c r="S20" s="229">
        <v>8.43E-2</v>
      </c>
      <c r="T20" s="263">
        <f t="shared" si="8"/>
        <v>101160000</v>
      </c>
      <c r="U20" s="262">
        <f t="shared" si="2"/>
        <v>45502</v>
      </c>
      <c r="V20" s="228">
        <f t="shared" si="3"/>
        <v>45592</v>
      </c>
      <c r="W20" s="229">
        <v>7.2499999999999995E-2</v>
      </c>
      <c r="X20" s="263">
        <f t="shared" si="4"/>
        <v>87000000</v>
      </c>
      <c r="Y20" s="285" t="s">
        <v>416</v>
      </c>
      <c r="Z20" s="231" t="s">
        <v>406</v>
      </c>
      <c r="AA20" s="286" t="s">
        <v>406</v>
      </c>
      <c r="AB20" s="282">
        <f t="shared" si="5"/>
        <v>314483300.46129251</v>
      </c>
      <c r="AC20" s="159"/>
    </row>
    <row r="21" spans="1:29">
      <c r="A21" s="237" t="s">
        <v>415</v>
      </c>
      <c r="B21" s="238">
        <v>3100000000</v>
      </c>
      <c r="C21" s="239">
        <v>45209</v>
      </c>
      <c r="D21" s="240">
        <v>45301</v>
      </c>
      <c r="E21" s="241">
        <v>0.1195</v>
      </c>
      <c r="F21" s="242">
        <v>90</v>
      </c>
      <c r="G21" s="243">
        <f t="shared" si="0"/>
        <v>92612500</v>
      </c>
      <c r="H21" s="258">
        <v>88931808</v>
      </c>
      <c r="I21" s="264">
        <v>45209</v>
      </c>
      <c r="J21" s="244">
        <v>45301</v>
      </c>
      <c r="K21" s="245">
        <v>0.1195</v>
      </c>
      <c r="L21" s="265">
        <v>88931808</v>
      </c>
      <c r="M21" s="264"/>
      <c r="N21" s="246"/>
      <c r="O21" s="247"/>
      <c r="P21" s="258"/>
      <c r="Q21" s="264"/>
      <c r="R21" s="246"/>
      <c r="S21" s="247"/>
      <c r="T21" s="265"/>
      <c r="U21" s="264"/>
      <c r="V21" s="246"/>
      <c r="W21" s="247"/>
      <c r="X21" s="265"/>
      <c r="Y21" s="287" t="s">
        <v>410</v>
      </c>
      <c r="Z21" s="247" t="s">
        <v>406</v>
      </c>
      <c r="AA21" s="288" t="s">
        <v>406</v>
      </c>
      <c r="AB21" s="282">
        <f t="shared" si="5"/>
        <v>88931808</v>
      </c>
      <c r="AC21" s="159"/>
    </row>
    <row r="22" spans="1:29">
      <c r="A22" s="237" t="s">
        <v>414</v>
      </c>
      <c r="B22" s="238">
        <v>5254867791</v>
      </c>
      <c r="C22" s="239" t="s">
        <v>413</v>
      </c>
      <c r="D22" s="240">
        <v>45322</v>
      </c>
      <c r="E22" s="241">
        <v>0.1195</v>
      </c>
      <c r="F22" s="242">
        <v>90</v>
      </c>
      <c r="G22" s="243">
        <f t="shared" si="0"/>
        <v>156989175.256125</v>
      </c>
      <c r="H22" s="258">
        <v>150749965.63</v>
      </c>
      <c r="I22" s="266" t="s">
        <v>413</v>
      </c>
      <c r="J22" s="244">
        <v>45322</v>
      </c>
      <c r="K22" s="245">
        <v>0.1195</v>
      </c>
      <c r="L22" s="265">
        <v>150749965.63</v>
      </c>
      <c r="M22" s="264"/>
      <c r="N22" s="246"/>
      <c r="O22" s="247"/>
      <c r="P22" s="258"/>
      <c r="Q22" s="264"/>
      <c r="R22" s="246"/>
      <c r="S22" s="247"/>
      <c r="T22" s="265"/>
      <c r="U22" s="264"/>
      <c r="V22" s="246"/>
      <c r="W22" s="247"/>
      <c r="X22" s="265"/>
      <c r="Y22" s="287" t="s">
        <v>410</v>
      </c>
      <c r="Z22" s="247" t="s">
        <v>406</v>
      </c>
      <c r="AA22" s="288" t="s">
        <v>406</v>
      </c>
      <c r="AB22" s="282">
        <f t="shared" si="5"/>
        <v>150749965.63</v>
      </c>
      <c r="AC22" s="159"/>
    </row>
    <row r="23" spans="1:29">
      <c r="A23" s="237" t="s">
        <v>412</v>
      </c>
      <c r="B23" s="238">
        <v>2205754921</v>
      </c>
      <c r="C23" s="239">
        <v>45213</v>
      </c>
      <c r="D23" s="240">
        <v>45305</v>
      </c>
      <c r="E23" s="241">
        <v>6.8199999999999997E-2</v>
      </c>
      <c r="F23" s="242">
        <v>90</v>
      </c>
      <c r="G23" s="243">
        <f t="shared" si="0"/>
        <v>37608121.403049998</v>
      </c>
      <c r="H23" s="258">
        <v>64399882</v>
      </c>
      <c r="I23" s="264">
        <v>45213</v>
      </c>
      <c r="J23" s="244">
        <v>45305</v>
      </c>
      <c r="K23" s="245">
        <v>6.8199999999999997E-2</v>
      </c>
      <c r="L23" s="265">
        <v>64399882</v>
      </c>
      <c r="M23" s="264"/>
      <c r="N23" s="246"/>
      <c r="O23" s="247"/>
      <c r="P23" s="258"/>
      <c r="Q23" s="264"/>
      <c r="R23" s="246"/>
      <c r="S23" s="247"/>
      <c r="T23" s="265"/>
      <c r="U23" s="264"/>
      <c r="V23" s="246"/>
      <c r="W23" s="247"/>
      <c r="X23" s="265"/>
      <c r="Y23" s="287" t="s">
        <v>410</v>
      </c>
      <c r="Z23" s="247" t="s">
        <v>406</v>
      </c>
      <c r="AA23" s="288" t="s">
        <v>406</v>
      </c>
      <c r="AB23" s="282">
        <f t="shared" si="5"/>
        <v>64399882</v>
      </c>
      <c r="AC23" s="159"/>
    </row>
    <row r="24" spans="1:29">
      <c r="A24" s="237" t="s">
        <v>411</v>
      </c>
      <c r="B24" s="238">
        <v>3500000000</v>
      </c>
      <c r="C24" s="239">
        <v>45209</v>
      </c>
      <c r="D24" s="240">
        <v>45301</v>
      </c>
      <c r="E24" s="241">
        <v>0.1188117034945364</v>
      </c>
      <c r="F24" s="242">
        <v>90</v>
      </c>
      <c r="G24" s="243">
        <f t="shared" si="0"/>
        <v>103960240.55771935</v>
      </c>
      <c r="H24" s="258">
        <v>100793280</v>
      </c>
      <c r="I24" s="264">
        <v>45209</v>
      </c>
      <c r="J24" s="244">
        <v>45301</v>
      </c>
      <c r="K24" s="245">
        <v>0.1188117034945364</v>
      </c>
      <c r="L24" s="265">
        <v>100793280</v>
      </c>
      <c r="M24" s="264"/>
      <c r="N24" s="246"/>
      <c r="O24" s="247"/>
      <c r="P24" s="258"/>
      <c r="Q24" s="264"/>
      <c r="R24" s="246"/>
      <c r="S24" s="247"/>
      <c r="T24" s="265"/>
      <c r="U24" s="264"/>
      <c r="V24" s="246"/>
      <c r="W24" s="247"/>
      <c r="X24" s="265"/>
      <c r="Y24" s="287" t="s">
        <v>410</v>
      </c>
      <c r="Z24" s="247" t="s">
        <v>406</v>
      </c>
      <c r="AA24" s="288" t="s">
        <v>406</v>
      </c>
      <c r="AB24" s="282">
        <f t="shared" si="5"/>
        <v>100793280</v>
      </c>
      <c r="AC24" s="159"/>
    </row>
    <row r="25" spans="1:29">
      <c r="A25" s="237" t="s">
        <v>411</v>
      </c>
      <c r="B25" s="238">
        <v>5000000000</v>
      </c>
      <c r="C25" s="239">
        <v>45227</v>
      </c>
      <c r="D25" s="240">
        <v>45319</v>
      </c>
      <c r="E25" s="241">
        <v>0.1188117034945364</v>
      </c>
      <c r="F25" s="242">
        <v>90</v>
      </c>
      <c r="G25" s="243">
        <f t="shared" si="0"/>
        <v>148514629.3681705</v>
      </c>
      <c r="H25" s="258">
        <v>143990400</v>
      </c>
      <c r="I25" s="264">
        <v>45227</v>
      </c>
      <c r="J25" s="244">
        <v>45319</v>
      </c>
      <c r="K25" s="245">
        <v>0.1188117034945364</v>
      </c>
      <c r="L25" s="265">
        <v>143990400</v>
      </c>
      <c r="M25" s="264"/>
      <c r="N25" s="246"/>
      <c r="O25" s="247"/>
      <c r="P25" s="258"/>
      <c r="Q25" s="264"/>
      <c r="R25" s="246"/>
      <c r="S25" s="247"/>
      <c r="T25" s="265"/>
      <c r="U25" s="264"/>
      <c r="V25" s="246"/>
      <c r="W25" s="247"/>
      <c r="X25" s="265"/>
      <c r="Y25" s="287" t="s">
        <v>410</v>
      </c>
      <c r="Z25" s="247" t="s">
        <v>406</v>
      </c>
      <c r="AA25" s="288" t="s">
        <v>406</v>
      </c>
      <c r="AB25" s="282">
        <f t="shared" si="5"/>
        <v>143990400</v>
      </c>
      <c r="AC25" s="159"/>
    </row>
    <row r="26" spans="1:29">
      <c r="A26" s="232" t="s">
        <v>409</v>
      </c>
      <c r="B26" s="220">
        <v>5664704059</v>
      </c>
      <c r="C26" s="221"/>
      <c r="D26" s="222"/>
      <c r="E26" s="235"/>
      <c r="F26" s="224">
        <v>90</v>
      </c>
      <c r="G26" s="225"/>
      <c r="H26" s="257"/>
      <c r="I26" s="262"/>
      <c r="J26" s="226"/>
      <c r="K26" s="227"/>
      <c r="L26" s="263"/>
      <c r="M26" s="272"/>
      <c r="N26" s="248"/>
      <c r="O26" s="249"/>
      <c r="P26" s="278"/>
      <c r="Q26" s="272">
        <v>45428</v>
      </c>
      <c r="R26" s="248">
        <v>45518</v>
      </c>
      <c r="S26" s="249">
        <v>8.43E-2</v>
      </c>
      <c r="T26" s="273">
        <f>B26*(90*(S26/360))*0.96</f>
        <v>114608292.52168798</v>
      </c>
      <c r="U26" s="272">
        <f>+R26+1</f>
        <v>45519</v>
      </c>
      <c r="V26" s="248">
        <f>+U26+90</f>
        <v>45609</v>
      </c>
      <c r="W26" s="249">
        <v>7.2499999999999995E-2</v>
      </c>
      <c r="X26" s="273">
        <f>B26*(90*(W20/360))*0.96</f>
        <v>98565850.626599997</v>
      </c>
      <c r="Y26" s="285" t="s">
        <v>408</v>
      </c>
      <c r="Z26" s="231" t="s">
        <v>406</v>
      </c>
      <c r="AA26" s="286" t="s">
        <v>406</v>
      </c>
      <c r="AB26" s="282">
        <f t="shared" si="5"/>
        <v>213174143.14828798</v>
      </c>
      <c r="AC26" s="159"/>
    </row>
    <row r="27" spans="1:29">
      <c r="A27" s="232" t="s">
        <v>409</v>
      </c>
      <c r="B27" s="220">
        <v>6601735640</v>
      </c>
      <c r="C27" s="221"/>
      <c r="D27" s="222"/>
      <c r="E27" s="235"/>
      <c r="F27" s="224"/>
      <c r="G27" s="225"/>
      <c r="H27" s="257"/>
      <c r="I27" s="262"/>
      <c r="J27" s="226"/>
      <c r="K27" s="227"/>
      <c r="L27" s="263"/>
      <c r="M27" s="272"/>
      <c r="N27" s="248"/>
      <c r="O27" s="250"/>
      <c r="P27" s="278"/>
      <c r="Q27" s="272"/>
      <c r="R27" s="248"/>
      <c r="S27" s="251"/>
      <c r="T27" s="273"/>
      <c r="U27" s="272">
        <v>45519</v>
      </c>
      <c r="V27" s="248">
        <v>45609</v>
      </c>
      <c r="W27" s="249">
        <v>7.2499999999999995E-2</v>
      </c>
      <c r="X27" s="273">
        <f>B27*(90*(W20/360))*0.96</f>
        <v>114870200.13599999</v>
      </c>
      <c r="Y27" s="285" t="s">
        <v>408</v>
      </c>
      <c r="Z27" s="231" t="s">
        <v>406</v>
      </c>
      <c r="AA27" s="286" t="s">
        <v>406</v>
      </c>
      <c r="AB27" s="282">
        <f t="shared" si="5"/>
        <v>114870200.13599999</v>
      </c>
      <c r="AC27" s="159"/>
    </row>
    <row r="28" spans="1:29">
      <c r="A28" s="232" t="s">
        <v>409</v>
      </c>
      <c r="B28" s="220"/>
      <c r="C28" s="221"/>
      <c r="D28" s="222"/>
      <c r="E28" s="235"/>
      <c r="F28" s="224"/>
      <c r="G28" s="225"/>
      <c r="H28" s="257"/>
      <c r="I28" s="262"/>
      <c r="J28" s="226"/>
      <c r="K28" s="227"/>
      <c r="L28" s="263"/>
      <c r="M28" s="272"/>
      <c r="N28" s="248"/>
      <c r="O28" s="250"/>
      <c r="P28" s="278"/>
      <c r="Q28" s="272"/>
      <c r="R28" s="248"/>
      <c r="S28" s="250"/>
      <c r="T28" s="273"/>
      <c r="U28" s="272"/>
      <c r="V28" s="248"/>
      <c r="W28" s="250"/>
      <c r="X28" s="273"/>
      <c r="Y28" s="285" t="s">
        <v>408</v>
      </c>
      <c r="Z28" s="231" t="s">
        <v>406</v>
      </c>
      <c r="AA28" s="286" t="s">
        <v>406</v>
      </c>
      <c r="AB28" s="282">
        <f t="shared" si="5"/>
        <v>0</v>
      </c>
      <c r="AC28" s="159"/>
    </row>
    <row r="29" spans="1:29">
      <c r="A29" s="232" t="s">
        <v>409</v>
      </c>
      <c r="B29" s="220"/>
      <c r="C29" s="221"/>
      <c r="D29" s="222"/>
      <c r="E29" s="235"/>
      <c r="F29" s="224"/>
      <c r="G29" s="225"/>
      <c r="H29" s="257"/>
      <c r="I29" s="262"/>
      <c r="J29" s="226"/>
      <c r="K29" s="227"/>
      <c r="L29" s="263"/>
      <c r="M29" s="272"/>
      <c r="N29" s="248"/>
      <c r="O29" s="250"/>
      <c r="P29" s="278"/>
      <c r="Q29" s="272"/>
      <c r="R29" s="248"/>
      <c r="S29" s="250"/>
      <c r="T29" s="273"/>
      <c r="U29" s="272"/>
      <c r="V29" s="248"/>
      <c r="W29" s="250"/>
      <c r="X29" s="273"/>
      <c r="Y29" s="285" t="s">
        <v>408</v>
      </c>
      <c r="Z29" s="231" t="s">
        <v>407</v>
      </c>
      <c r="AA29" s="286" t="s">
        <v>406</v>
      </c>
      <c r="AB29" s="282">
        <f t="shared" si="5"/>
        <v>0</v>
      </c>
      <c r="AC29" s="159"/>
    </row>
    <row r="30" spans="1:29">
      <c r="A30" s="232" t="s">
        <v>409</v>
      </c>
      <c r="B30" s="220"/>
      <c r="C30" s="221"/>
      <c r="D30" s="222"/>
      <c r="E30" s="235"/>
      <c r="F30" s="224"/>
      <c r="G30" s="225"/>
      <c r="H30" s="257"/>
      <c r="I30" s="262"/>
      <c r="J30" s="226"/>
      <c r="K30" s="227"/>
      <c r="L30" s="263"/>
      <c r="M30" s="272"/>
      <c r="N30" s="248"/>
      <c r="O30" s="250"/>
      <c r="P30" s="278"/>
      <c r="Q30" s="272"/>
      <c r="R30" s="248"/>
      <c r="S30" s="250"/>
      <c r="T30" s="273"/>
      <c r="U30" s="272"/>
      <c r="V30" s="248"/>
      <c r="W30" s="250"/>
      <c r="X30" s="273"/>
      <c r="Y30" s="285" t="s">
        <v>408</v>
      </c>
      <c r="Z30" s="231" t="s">
        <v>407</v>
      </c>
      <c r="AA30" s="286" t="s">
        <v>406</v>
      </c>
      <c r="AB30" s="282">
        <f t="shared" si="5"/>
        <v>0</v>
      </c>
      <c r="AC30" s="159"/>
    </row>
    <row r="31" spans="1:29" ht="13.5" thickBot="1">
      <c r="A31" s="232" t="s">
        <v>409</v>
      </c>
      <c r="B31" s="220"/>
      <c r="C31" s="221"/>
      <c r="D31" s="222"/>
      <c r="E31" s="235"/>
      <c r="F31" s="224"/>
      <c r="G31" s="225"/>
      <c r="H31" s="257"/>
      <c r="I31" s="262"/>
      <c r="J31" s="226"/>
      <c r="K31" s="227"/>
      <c r="L31" s="263"/>
      <c r="M31" s="274"/>
      <c r="N31" s="275"/>
      <c r="O31" s="276"/>
      <c r="P31" s="279"/>
      <c r="Q31" s="262"/>
      <c r="R31" s="228"/>
      <c r="S31" s="231"/>
      <c r="T31" s="263"/>
      <c r="U31" s="262"/>
      <c r="V31" s="228"/>
      <c r="W31" s="231"/>
      <c r="X31" s="263"/>
      <c r="Y31" s="285" t="s">
        <v>408</v>
      </c>
      <c r="Z31" s="231" t="s">
        <v>407</v>
      </c>
      <c r="AA31" s="286" t="s">
        <v>406</v>
      </c>
      <c r="AB31" s="282">
        <f t="shared" si="5"/>
        <v>0</v>
      </c>
      <c r="AC31" s="159"/>
    </row>
    <row r="32" spans="1:29" ht="13.5" thickBot="1">
      <c r="A32" s="252" t="s">
        <v>1</v>
      </c>
      <c r="B32" s="215"/>
      <c r="C32" s="215"/>
      <c r="D32" s="253"/>
      <c r="E32" s="254"/>
      <c r="F32" s="197"/>
      <c r="G32" s="255"/>
      <c r="H32" s="259">
        <f>SUM(H4:H31)</f>
        <v>2432751113.7737994</v>
      </c>
      <c r="I32" s="267"/>
      <c r="J32" s="268"/>
      <c r="K32" s="268"/>
      <c r="L32" s="269">
        <f>SUM(L4:L31)</f>
        <v>1493542869.0698881</v>
      </c>
      <c r="M32" s="270"/>
      <c r="N32" s="271"/>
      <c r="O32" s="271"/>
      <c r="P32" s="280">
        <f>SUM(P4:P31)</f>
        <v>1012217475.3253673</v>
      </c>
      <c r="Q32" s="267"/>
      <c r="R32" s="268"/>
      <c r="S32" s="268"/>
      <c r="T32" s="269">
        <f>SUM(T4:T31)</f>
        <v>1455013134.21456</v>
      </c>
      <c r="U32" s="267"/>
      <c r="V32" s="268"/>
      <c r="W32" s="268"/>
      <c r="X32" s="269">
        <f>SUM(X4:X31)</f>
        <v>1091469396.2279999</v>
      </c>
      <c r="Y32" s="267"/>
      <c r="Z32" s="268"/>
      <c r="AA32" s="289"/>
      <c r="AB32" s="283">
        <f>SUM(AB4:AB31)</f>
        <v>5052242874.8378153</v>
      </c>
    </row>
    <row r="34" spans="1:24">
      <c r="N34" s="161"/>
    </row>
    <row r="35" spans="1:24">
      <c r="A35" s="917"/>
      <c r="B35" s="917"/>
      <c r="C35" s="917"/>
      <c r="D35" s="917"/>
      <c r="E35" s="917"/>
      <c r="F35" s="917"/>
      <c r="G35" s="917"/>
      <c r="H35" s="917"/>
      <c r="I35" s="160"/>
      <c r="J35" s="160"/>
      <c r="K35" s="160"/>
      <c r="L35" s="162"/>
      <c r="M35" s="160"/>
      <c r="P35" s="162"/>
      <c r="T35" s="162"/>
      <c r="X35" s="162"/>
    </row>
    <row r="36" spans="1:24">
      <c r="A36" s="917"/>
      <c r="B36" s="917"/>
      <c r="C36" s="917"/>
      <c r="D36" s="917"/>
      <c r="E36" s="917"/>
      <c r="F36" s="917"/>
      <c r="G36" s="917"/>
      <c r="H36" s="917"/>
      <c r="I36" s="160"/>
      <c r="J36" s="160"/>
      <c r="K36" s="160"/>
      <c r="L36" s="160"/>
      <c r="M36" s="160"/>
    </row>
  </sheetData>
  <autoFilter ref="A3:AA32" xr:uid="{00000000-0009-0000-0000-00000A000000}"/>
  <mergeCells count="10">
    <mergeCell ref="AE8:AL9"/>
    <mergeCell ref="AE4:AL7"/>
    <mergeCell ref="AE10:AL13"/>
    <mergeCell ref="Y2:AA2"/>
    <mergeCell ref="A35:H36"/>
    <mergeCell ref="I2:L2"/>
    <mergeCell ref="M2:P2"/>
    <mergeCell ref="Q2:T2"/>
    <mergeCell ref="U2:X2"/>
    <mergeCell ref="C2:G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N22"/>
  <sheetViews>
    <sheetView showGridLines="0" workbookViewId="0">
      <selection activeCell="N17" sqref="N17"/>
    </sheetView>
  </sheetViews>
  <sheetFormatPr baseColWidth="10" defaultRowHeight="15"/>
  <cols>
    <col min="1" max="1" width="12.7109375" style="147" customWidth="1"/>
    <col min="2" max="2" width="16.5703125" style="147" customWidth="1"/>
    <col min="3" max="4" width="11.42578125" style="147"/>
    <col min="5" max="5" width="7.7109375" style="147" customWidth="1"/>
    <col min="6" max="6" width="16.28515625" style="147" customWidth="1"/>
    <col min="7" max="7" width="15.42578125" style="147" customWidth="1"/>
    <col min="8" max="9" width="11.42578125" style="147"/>
    <col min="10" max="10" width="14" style="147" customWidth="1"/>
    <col min="11" max="12" width="11.42578125" style="147"/>
    <col min="13" max="13" width="14.7109375" style="147" bestFit="1" customWidth="1"/>
    <col min="14" max="16384" width="11.42578125" style="147"/>
  </cols>
  <sheetData>
    <row r="2" spans="1:11" ht="15.75">
      <c r="F2" s="163"/>
      <c r="G2" s="362" t="s">
        <v>555</v>
      </c>
      <c r="H2" s="362"/>
      <c r="I2" s="362"/>
      <c r="J2" s="362"/>
      <c r="K2" s="362"/>
    </row>
    <row r="3" spans="1:11">
      <c r="A3" s="935" t="s">
        <v>447</v>
      </c>
      <c r="B3" s="935"/>
      <c r="C3" s="935"/>
      <c r="D3" s="935"/>
      <c r="F3" s="933" t="s">
        <v>450</v>
      </c>
      <c r="G3" s="933"/>
      <c r="I3" s="933" t="s">
        <v>451</v>
      </c>
      <c r="J3" s="933"/>
      <c r="K3" s="933"/>
    </row>
    <row r="4" spans="1:11" ht="45">
      <c r="A4" s="290" t="s">
        <v>143</v>
      </c>
      <c r="B4" s="290" t="s">
        <v>441</v>
      </c>
      <c r="C4" s="290" t="s">
        <v>434</v>
      </c>
      <c r="D4" s="290" t="s">
        <v>435</v>
      </c>
      <c r="F4" s="290" t="s">
        <v>143</v>
      </c>
      <c r="G4" s="296" t="s">
        <v>448</v>
      </c>
      <c r="I4" s="290" t="s">
        <v>143</v>
      </c>
      <c r="J4" s="296" t="s">
        <v>452</v>
      </c>
      <c r="K4" s="296" t="s">
        <v>448</v>
      </c>
    </row>
    <row r="5" spans="1:11">
      <c r="A5" s="291" t="s">
        <v>335</v>
      </c>
      <c r="B5" s="292">
        <v>32436706</v>
      </c>
      <c r="C5" s="291">
        <v>0</v>
      </c>
      <c r="D5" s="293">
        <v>0</v>
      </c>
      <c r="F5" s="291" t="s">
        <v>335</v>
      </c>
      <c r="G5" s="292">
        <v>4933156</v>
      </c>
    </row>
    <row r="6" spans="1:11">
      <c r="A6" s="291" t="s">
        <v>336</v>
      </c>
      <c r="B6" s="292">
        <v>30002482</v>
      </c>
      <c r="C6" s="292">
        <f>B6-B5</f>
        <v>-2434224</v>
      </c>
      <c r="D6" s="293">
        <f>(C6/B5)</f>
        <v>-7.5045351399121718E-2</v>
      </c>
      <c r="F6" s="291" t="s">
        <v>336</v>
      </c>
      <c r="G6" s="292">
        <v>8267151</v>
      </c>
    </row>
    <row r="7" spans="1:11">
      <c r="A7" s="291" t="s">
        <v>337</v>
      </c>
      <c r="B7" s="292">
        <v>23817271</v>
      </c>
      <c r="C7" s="292">
        <f t="shared" ref="C7:C16" si="0">B7-B6</f>
        <v>-6185211</v>
      </c>
      <c r="D7" s="293">
        <f t="shared" ref="D7:D16" si="1">(C7/B6)</f>
        <v>-0.20615664397365524</v>
      </c>
      <c r="F7" s="291" t="s">
        <v>337</v>
      </c>
      <c r="G7" s="292">
        <f t="shared" ref="G7:G16" si="2">ROUND(G6*(1-$G$19),0)</f>
        <v>7027078</v>
      </c>
    </row>
    <row r="8" spans="1:11">
      <c r="A8" s="291" t="s">
        <v>338</v>
      </c>
      <c r="B8" s="292">
        <v>17818846</v>
      </c>
      <c r="C8" s="292">
        <f t="shared" si="0"/>
        <v>-5998425</v>
      </c>
      <c r="D8" s="293">
        <f t="shared" si="1"/>
        <v>-0.25185190192444801</v>
      </c>
      <c r="F8" s="291" t="s">
        <v>338</v>
      </c>
      <c r="G8" s="292">
        <f t="shared" si="2"/>
        <v>5973016</v>
      </c>
    </row>
    <row r="9" spans="1:11">
      <c r="A9" s="291" t="s">
        <v>339</v>
      </c>
      <c r="B9" s="292">
        <v>18364731</v>
      </c>
      <c r="C9" s="292">
        <f t="shared" si="0"/>
        <v>545885</v>
      </c>
      <c r="D9" s="293">
        <f t="shared" si="1"/>
        <v>3.0635261116236146E-2</v>
      </c>
      <c r="F9" s="291" t="s">
        <v>339</v>
      </c>
      <c r="G9" s="292">
        <f t="shared" si="2"/>
        <v>5077064</v>
      </c>
    </row>
    <row r="10" spans="1:11">
      <c r="A10" s="291" t="s">
        <v>340</v>
      </c>
      <c r="B10" s="292">
        <v>13265892</v>
      </c>
      <c r="C10" s="292">
        <f t="shared" si="0"/>
        <v>-5098839</v>
      </c>
      <c r="D10" s="293">
        <f t="shared" si="1"/>
        <v>-0.27764299950813326</v>
      </c>
      <c r="F10" s="291" t="s">
        <v>340</v>
      </c>
      <c r="G10" s="292">
        <f t="shared" si="2"/>
        <v>4315504</v>
      </c>
    </row>
    <row r="11" spans="1:11">
      <c r="A11" s="291" t="s">
        <v>341</v>
      </c>
      <c r="B11" s="292">
        <v>17564424</v>
      </c>
      <c r="C11" s="292">
        <f t="shared" si="0"/>
        <v>4298532</v>
      </c>
      <c r="D11" s="293">
        <f t="shared" si="1"/>
        <v>0.32402887042951956</v>
      </c>
      <c r="F11" s="291" t="s">
        <v>341</v>
      </c>
      <c r="G11" s="292">
        <f t="shared" si="2"/>
        <v>3668178</v>
      </c>
    </row>
    <row r="12" spans="1:11">
      <c r="A12" s="291" t="s">
        <v>342</v>
      </c>
      <c r="B12" s="292">
        <v>10939299</v>
      </c>
      <c r="C12" s="292">
        <f t="shared" si="0"/>
        <v>-6625125</v>
      </c>
      <c r="D12" s="293">
        <f t="shared" si="1"/>
        <v>-0.3771899949579901</v>
      </c>
      <c r="F12" s="291" t="s">
        <v>342</v>
      </c>
      <c r="G12" s="292">
        <f t="shared" si="2"/>
        <v>3117951</v>
      </c>
    </row>
    <row r="13" spans="1:11">
      <c r="A13" s="291" t="s">
        <v>343</v>
      </c>
      <c r="B13" s="292">
        <v>12180549</v>
      </c>
      <c r="C13" s="292">
        <f t="shared" si="0"/>
        <v>1241250</v>
      </c>
      <c r="D13" s="293">
        <f t="shared" si="1"/>
        <v>0.11346705122512878</v>
      </c>
      <c r="F13" s="291" t="s">
        <v>343</v>
      </c>
      <c r="G13" s="292">
        <f t="shared" si="2"/>
        <v>2650258</v>
      </c>
    </row>
    <row r="14" spans="1:11">
      <c r="A14" s="291" t="s">
        <v>344</v>
      </c>
      <c r="B14" s="292">
        <v>10405175</v>
      </c>
      <c r="C14" s="292">
        <f t="shared" si="0"/>
        <v>-1775374</v>
      </c>
      <c r="D14" s="293">
        <f t="shared" si="1"/>
        <v>-0.1457548424130965</v>
      </c>
      <c r="F14" s="291" t="s">
        <v>344</v>
      </c>
      <c r="G14" s="292">
        <f t="shared" si="2"/>
        <v>2252719</v>
      </c>
    </row>
    <row r="15" spans="1:11">
      <c r="A15" s="291" t="s">
        <v>345</v>
      </c>
      <c r="B15" s="292">
        <v>8610047</v>
      </c>
      <c r="C15" s="292">
        <f t="shared" si="0"/>
        <v>-1795128</v>
      </c>
      <c r="D15" s="293">
        <f t="shared" si="1"/>
        <v>-0.17252261494881152</v>
      </c>
      <c r="F15" s="291" t="s">
        <v>345</v>
      </c>
      <c r="G15" s="292">
        <f t="shared" si="2"/>
        <v>1914811</v>
      </c>
    </row>
    <row r="16" spans="1:11">
      <c r="A16" s="291" t="s">
        <v>346</v>
      </c>
      <c r="B16" s="292">
        <v>4933156</v>
      </c>
      <c r="C16" s="292">
        <f t="shared" si="0"/>
        <v>-3676891</v>
      </c>
      <c r="D16" s="293">
        <f t="shared" si="1"/>
        <v>-0.42704656548332431</v>
      </c>
      <c r="F16" s="291" t="s">
        <v>346</v>
      </c>
      <c r="G16" s="292">
        <f t="shared" si="2"/>
        <v>1627589</v>
      </c>
    </row>
    <row r="17" spans="1:14">
      <c r="A17" s="294" t="s">
        <v>1</v>
      </c>
      <c r="B17" s="295">
        <f>SUM(B5:B16)</f>
        <v>200338578</v>
      </c>
      <c r="C17" s="934"/>
      <c r="D17" s="934"/>
      <c r="F17" s="294" t="s">
        <v>1</v>
      </c>
      <c r="G17" s="295">
        <f>SUM(G5:G16)</f>
        <v>50824475</v>
      </c>
      <c r="I17" s="294" t="s">
        <v>1</v>
      </c>
      <c r="J17" s="295">
        <f>396514548-G17</f>
        <v>345690073</v>
      </c>
      <c r="K17" s="295">
        <f>J17*15%</f>
        <v>51853510.949999996</v>
      </c>
      <c r="M17" s="792" t="s">
        <v>3034</v>
      </c>
      <c r="N17" s="793">
        <v>293837.01405</v>
      </c>
    </row>
    <row r="19" spans="1:14" ht="30">
      <c r="F19" s="299" t="s">
        <v>449</v>
      </c>
      <c r="G19" s="298">
        <v>0.15</v>
      </c>
    </row>
    <row r="20" spans="1:14" s="150" customFormat="1">
      <c r="A20" s="147"/>
      <c r="C20" s="147"/>
      <c r="D20" s="147"/>
      <c r="E20" s="147"/>
      <c r="F20" s="147"/>
      <c r="G20" s="147"/>
    </row>
    <row r="21" spans="1:14" s="150" customFormat="1">
      <c r="A21" s="147"/>
      <c r="B21" s="151"/>
      <c r="D21" s="147"/>
      <c r="E21" s="147"/>
      <c r="F21" s="147"/>
      <c r="G21" s="147"/>
    </row>
    <row r="22" spans="1:14" s="150" customFormat="1">
      <c r="A22" s="147"/>
      <c r="B22" s="152"/>
      <c r="C22" s="147"/>
      <c r="D22" s="147"/>
      <c r="E22" s="147"/>
      <c r="F22" s="147"/>
    </row>
  </sheetData>
  <mergeCells count="4">
    <mergeCell ref="I3:K3"/>
    <mergeCell ref="C17:D17"/>
    <mergeCell ref="A3:D3"/>
    <mergeCell ref="F3:G3"/>
  </mergeCells>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5:L14"/>
  <sheetViews>
    <sheetView showGridLines="0" workbookViewId="0">
      <selection activeCell="I22" sqref="I22"/>
    </sheetView>
  </sheetViews>
  <sheetFormatPr baseColWidth="10" defaultRowHeight="12.75"/>
  <cols>
    <col min="2" max="2" width="15.5703125" bestFit="1" customWidth="1"/>
    <col min="3" max="12" width="15.85546875" bestFit="1" customWidth="1"/>
  </cols>
  <sheetData>
    <row r="5" spans="2:12" ht="15">
      <c r="B5" s="895" t="s">
        <v>57</v>
      </c>
      <c r="C5" s="896"/>
      <c r="D5" s="896"/>
      <c r="E5" s="896"/>
      <c r="F5" s="896"/>
      <c r="G5" s="896"/>
      <c r="H5" s="896"/>
      <c r="I5" s="896"/>
      <c r="J5" s="896"/>
      <c r="K5" s="896"/>
      <c r="L5" s="896"/>
    </row>
    <row r="8" spans="2:12" ht="15">
      <c r="B8" s="56" t="s">
        <v>3008</v>
      </c>
      <c r="C8" s="16">
        <f>+'I-C Café'!D89</f>
        <v>179999999999.99997</v>
      </c>
      <c r="D8" s="16">
        <f>+'I-C Café'!E89</f>
        <v>200340000000</v>
      </c>
      <c r="E8" s="16">
        <f>+'I-C Café'!F89</f>
        <v>220028193436.20074</v>
      </c>
      <c r="F8" s="16">
        <f>+'I-C Café'!G89</f>
        <v>241940009459.7009</v>
      </c>
      <c r="G8" s="16">
        <f>+'I-C Café'!H89</f>
        <v>266351490654.78723</v>
      </c>
      <c r="H8" s="16">
        <f>+'I-C Café'!I89</f>
        <v>282391815540.28772</v>
      </c>
      <c r="I8" s="16">
        <f>+'I-C Café'!J89</f>
        <v>299754646886.5235</v>
      </c>
      <c r="J8" s="16">
        <f>+'I-C Café'!K89</f>
        <v>318563470350.13751</v>
      </c>
      <c r="K8" s="16">
        <f>+'I-C Café'!L89</f>
        <v>338954684885.00397</v>
      </c>
      <c r="L8" s="16">
        <f>+'I-C Café'!M89</f>
        <v>361079069226.64227</v>
      </c>
    </row>
    <row r="10" spans="2:12" ht="15">
      <c r="B10" s="56" t="s">
        <v>3009</v>
      </c>
      <c r="C10" s="109">
        <v>1E-3</v>
      </c>
      <c r="D10" s="109">
        <v>1.5E-3</v>
      </c>
      <c r="E10" s="109">
        <v>2E-3</v>
      </c>
      <c r="F10" s="109">
        <v>2E-3</v>
      </c>
      <c r="G10" s="109">
        <v>2E-3</v>
      </c>
      <c r="H10" s="109">
        <v>2E-3</v>
      </c>
      <c r="I10" s="109">
        <v>2E-3</v>
      </c>
      <c r="J10" s="109">
        <v>2E-3</v>
      </c>
      <c r="K10" s="109">
        <v>2E-3</v>
      </c>
      <c r="L10" s="109">
        <v>2E-3</v>
      </c>
    </row>
    <row r="13" spans="2:12" ht="15">
      <c r="B13" s="56" t="s">
        <v>3007</v>
      </c>
      <c r="C13" s="56" t="s">
        <v>226</v>
      </c>
      <c r="D13" s="56" t="s">
        <v>227</v>
      </c>
      <c r="E13" s="56" t="s">
        <v>228</v>
      </c>
      <c r="F13" s="56" t="s">
        <v>229</v>
      </c>
      <c r="G13" s="56" t="s">
        <v>230</v>
      </c>
      <c r="H13" s="56" t="s">
        <v>231</v>
      </c>
      <c r="I13" s="56" t="s">
        <v>232</v>
      </c>
      <c r="J13" s="56" t="s">
        <v>233</v>
      </c>
      <c r="K13" s="56" t="s">
        <v>3010</v>
      </c>
      <c r="L13" s="56" t="s">
        <v>3011</v>
      </c>
    </row>
    <row r="14" spans="2:12">
      <c r="B14" s="3" t="s">
        <v>2910</v>
      </c>
      <c r="C14" s="16">
        <f>+C8*C10</f>
        <v>179999999.99999997</v>
      </c>
      <c r="D14" s="16">
        <f t="shared" ref="D14:L14" si="0">+D8*D10</f>
        <v>300510000</v>
      </c>
      <c r="E14" s="16">
        <f t="shared" si="0"/>
        <v>440056386.87240148</v>
      </c>
      <c r="F14" s="16">
        <f t="shared" si="0"/>
        <v>483880018.91940182</v>
      </c>
      <c r="G14" s="16">
        <f t="shared" si="0"/>
        <v>532702981.30957448</v>
      </c>
      <c r="H14" s="16">
        <f t="shared" si="0"/>
        <v>564783631.08057547</v>
      </c>
      <c r="I14" s="16">
        <f t="shared" si="0"/>
        <v>599509293.77304697</v>
      </c>
      <c r="J14" s="16">
        <f t="shared" si="0"/>
        <v>637126940.70027506</v>
      </c>
      <c r="K14" s="16">
        <f t="shared" si="0"/>
        <v>677909369.77000797</v>
      </c>
      <c r="L14" s="16">
        <f t="shared" si="0"/>
        <v>722158138.4532845</v>
      </c>
    </row>
  </sheetData>
  <mergeCells count="1">
    <mergeCell ref="B5:L5"/>
  </mergeCells>
  <phoneticPr fontId="30"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2438"/>
  <sheetViews>
    <sheetView showGridLines="0" workbookViewId="0">
      <selection activeCell="H24" sqref="H24"/>
    </sheetView>
  </sheetViews>
  <sheetFormatPr baseColWidth="10" defaultRowHeight="15"/>
  <cols>
    <col min="1" max="1" width="13.7109375" style="672" customWidth="1"/>
    <col min="2" max="2" width="10.5703125" style="672" bestFit="1" customWidth="1"/>
    <col min="3" max="3" width="12.7109375" style="672" customWidth="1"/>
    <col min="4" max="4" width="21.42578125" style="672" customWidth="1"/>
    <col min="5" max="5" width="11.42578125" style="672"/>
    <col min="6" max="6" width="19.42578125" style="672" customWidth="1"/>
    <col min="7" max="8" width="11.42578125" style="672"/>
    <col min="9" max="9" width="18.7109375" style="672" bestFit="1" customWidth="1"/>
    <col min="10" max="10" width="20" style="672" bestFit="1" customWidth="1"/>
    <col min="11" max="12" width="14.140625" style="672" bestFit="1" customWidth="1"/>
    <col min="13" max="16384" width="11.42578125" style="672"/>
  </cols>
  <sheetData>
    <row r="1" spans="1:16" s="684" customFormat="1" ht="30.75" customHeight="1">
      <c r="A1" s="683" t="s">
        <v>2969</v>
      </c>
      <c r="B1" s="683" t="s">
        <v>2970</v>
      </c>
      <c r="C1" s="683" t="s">
        <v>2971</v>
      </c>
      <c r="D1" s="683" t="s">
        <v>150</v>
      </c>
      <c r="E1" s="683" t="s">
        <v>74</v>
      </c>
      <c r="F1" s="683" t="s">
        <v>2972</v>
      </c>
      <c r="I1" s="662" t="s">
        <v>439</v>
      </c>
      <c r="J1" s="663"/>
      <c r="K1" s="663"/>
      <c r="L1" s="663"/>
      <c r="M1" s="663"/>
      <c r="N1" s="663"/>
      <c r="O1" s="663"/>
      <c r="P1" s="663"/>
    </row>
    <row r="2" spans="1:16">
      <c r="A2" s="685"/>
      <c r="B2" s="686">
        <v>1516</v>
      </c>
      <c r="C2" s="687">
        <v>1797260</v>
      </c>
      <c r="D2" s="688" t="s">
        <v>68</v>
      </c>
      <c r="E2" s="689">
        <v>0.01</v>
      </c>
      <c r="F2" s="687">
        <f>+C2*E2</f>
        <v>17972.600000000002</v>
      </c>
      <c r="I2" s="936" t="s">
        <v>2973</v>
      </c>
      <c r="J2" s="937"/>
      <c r="K2" s="937"/>
      <c r="L2" s="937"/>
      <c r="M2" s="937"/>
      <c r="N2" s="937"/>
      <c r="O2" s="937"/>
      <c r="P2" s="938"/>
    </row>
    <row r="3" spans="1:16">
      <c r="A3" s="685"/>
      <c r="B3" s="686">
        <v>1513</v>
      </c>
      <c r="C3" s="687">
        <v>1669200</v>
      </c>
      <c r="D3" s="688" t="s">
        <v>68</v>
      </c>
      <c r="E3" s="689">
        <v>0.01</v>
      </c>
      <c r="F3" s="687">
        <f t="shared" ref="F3:F66" si="0">+C3*E3</f>
        <v>16692</v>
      </c>
      <c r="I3" s="939"/>
      <c r="J3" s="940"/>
      <c r="K3" s="940"/>
      <c r="L3" s="940"/>
      <c r="M3" s="940"/>
      <c r="N3" s="940"/>
      <c r="O3" s="940"/>
      <c r="P3" s="941"/>
    </row>
    <row r="4" spans="1:16">
      <c r="A4" s="685"/>
      <c r="B4" s="686">
        <v>1507</v>
      </c>
      <c r="C4" s="687">
        <v>269500</v>
      </c>
      <c r="D4" s="688" t="s">
        <v>68</v>
      </c>
      <c r="E4" s="689">
        <v>0.01</v>
      </c>
      <c r="F4" s="687">
        <f t="shared" si="0"/>
        <v>2695</v>
      </c>
      <c r="I4" s="939"/>
      <c r="J4" s="940"/>
      <c r="K4" s="940"/>
      <c r="L4" s="940"/>
      <c r="M4" s="940"/>
      <c r="N4" s="940"/>
      <c r="O4" s="940"/>
      <c r="P4" s="941"/>
    </row>
    <row r="5" spans="1:16">
      <c r="A5" s="685"/>
      <c r="B5" s="686">
        <v>1498</v>
      </c>
      <c r="C5" s="687">
        <v>573150</v>
      </c>
      <c r="D5" s="688" t="s">
        <v>68</v>
      </c>
      <c r="E5" s="689">
        <v>0.01</v>
      </c>
      <c r="F5" s="687">
        <f t="shared" si="0"/>
        <v>5731.5</v>
      </c>
      <c r="I5" s="939"/>
      <c r="J5" s="940"/>
      <c r="K5" s="940"/>
      <c r="L5" s="940"/>
      <c r="M5" s="940"/>
      <c r="N5" s="940"/>
      <c r="O5" s="940"/>
      <c r="P5" s="941"/>
    </row>
    <row r="6" spans="1:16">
      <c r="A6" s="685"/>
      <c r="B6" s="686">
        <v>1520</v>
      </c>
      <c r="C6" s="687">
        <v>193600</v>
      </c>
      <c r="D6" s="688" t="s">
        <v>68</v>
      </c>
      <c r="E6" s="689">
        <v>0.01</v>
      </c>
      <c r="F6" s="687">
        <f t="shared" si="0"/>
        <v>1936</v>
      </c>
      <c r="I6" s="939"/>
      <c r="J6" s="940"/>
      <c r="K6" s="940"/>
      <c r="L6" s="940"/>
      <c r="M6" s="940"/>
      <c r="N6" s="940"/>
      <c r="O6" s="940"/>
      <c r="P6" s="941"/>
    </row>
    <row r="7" spans="1:16">
      <c r="A7" s="685"/>
      <c r="B7" s="686">
        <v>1543</v>
      </c>
      <c r="C7" s="687">
        <v>44100</v>
      </c>
      <c r="D7" s="688" t="s">
        <v>68</v>
      </c>
      <c r="E7" s="689">
        <v>0.01</v>
      </c>
      <c r="F7" s="687">
        <f t="shared" si="0"/>
        <v>441</v>
      </c>
      <c r="I7" s="939"/>
      <c r="J7" s="940"/>
      <c r="K7" s="940"/>
      <c r="L7" s="940"/>
      <c r="M7" s="940"/>
      <c r="N7" s="940"/>
      <c r="O7" s="940"/>
      <c r="P7" s="941"/>
    </row>
    <row r="8" spans="1:16">
      <c r="A8" s="685"/>
      <c r="B8" s="686">
        <v>1538</v>
      </c>
      <c r="C8" s="687">
        <v>91100</v>
      </c>
      <c r="D8" s="688" t="s">
        <v>68</v>
      </c>
      <c r="E8" s="689">
        <v>0.01</v>
      </c>
      <c r="F8" s="687">
        <f t="shared" si="0"/>
        <v>911</v>
      </c>
      <c r="I8" s="939"/>
      <c r="J8" s="940"/>
      <c r="K8" s="940"/>
      <c r="L8" s="940"/>
      <c r="M8" s="940"/>
      <c r="N8" s="940"/>
      <c r="O8" s="940"/>
      <c r="P8" s="941"/>
    </row>
    <row r="9" spans="1:16">
      <c r="A9" s="685"/>
      <c r="B9" s="686">
        <v>1537</v>
      </c>
      <c r="C9" s="687">
        <v>85840</v>
      </c>
      <c r="D9" s="688" t="s">
        <v>68</v>
      </c>
      <c r="E9" s="689">
        <v>0.01</v>
      </c>
      <c r="F9" s="687">
        <f t="shared" si="0"/>
        <v>858.4</v>
      </c>
      <c r="I9" s="939"/>
      <c r="J9" s="940"/>
      <c r="K9" s="940"/>
      <c r="L9" s="940"/>
      <c r="M9" s="940"/>
      <c r="N9" s="940"/>
      <c r="O9" s="940"/>
      <c r="P9" s="941"/>
    </row>
    <row r="10" spans="1:16">
      <c r="A10" s="685"/>
      <c r="B10" s="686">
        <v>1501</v>
      </c>
      <c r="C10" s="687">
        <v>4062000</v>
      </c>
      <c r="D10" s="688" t="s">
        <v>68</v>
      </c>
      <c r="E10" s="689">
        <v>0.01</v>
      </c>
      <c r="F10" s="687">
        <f t="shared" si="0"/>
        <v>40620</v>
      </c>
      <c r="I10" s="939"/>
      <c r="J10" s="940"/>
      <c r="K10" s="940"/>
      <c r="L10" s="940"/>
      <c r="M10" s="940"/>
      <c r="N10" s="940"/>
      <c r="O10" s="940"/>
      <c r="P10" s="941"/>
    </row>
    <row r="11" spans="1:16">
      <c r="A11" s="685"/>
      <c r="B11" s="686">
        <v>1500</v>
      </c>
      <c r="C11" s="687">
        <v>9088000</v>
      </c>
      <c r="D11" s="688" t="s">
        <v>68</v>
      </c>
      <c r="E11" s="689">
        <v>0.01</v>
      </c>
      <c r="F11" s="687">
        <f t="shared" si="0"/>
        <v>90880</v>
      </c>
      <c r="I11" s="942"/>
      <c r="J11" s="943"/>
      <c r="K11" s="943"/>
      <c r="L11" s="943"/>
      <c r="M11" s="943"/>
      <c r="N11" s="943"/>
      <c r="O11" s="943"/>
      <c r="P11" s="944"/>
    </row>
    <row r="12" spans="1:16">
      <c r="A12" s="685"/>
      <c r="B12" s="686">
        <v>1523</v>
      </c>
      <c r="C12" s="687">
        <v>217950</v>
      </c>
      <c r="D12" s="688" t="s">
        <v>68</v>
      </c>
      <c r="E12" s="689">
        <v>0.01</v>
      </c>
      <c r="F12" s="687">
        <f t="shared" si="0"/>
        <v>2179.5</v>
      </c>
    </row>
    <row r="13" spans="1:16">
      <c r="A13" s="685"/>
      <c r="B13" s="686">
        <v>1495</v>
      </c>
      <c r="C13" s="687">
        <v>150450</v>
      </c>
      <c r="D13" s="688" t="s">
        <v>68</v>
      </c>
      <c r="E13" s="689">
        <v>0.01</v>
      </c>
      <c r="F13" s="687">
        <f t="shared" si="0"/>
        <v>1504.5</v>
      </c>
      <c r="K13" s="682"/>
      <c r="L13" s="682"/>
    </row>
    <row r="14" spans="1:16">
      <c r="A14" s="685"/>
      <c r="B14" s="686">
        <v>1489</v>
      </c>
      <c r="C14" s="687">
        <v>25590</v>
      </c>
      <c r="D14" s="688" t="s">
        <v>68</v>
      </c>
      <c r="E14" s="689">
        <v>0.01</v>
      </c>
      <c r="F14" s="687">
        <f t="shared" si="0"/>
        <v>255.9</v>
      </c>
      <c r="I14" s="673" t="s">
        <v>512</v>
      </c>
      <c r="J14" s="684"/>
    </row>
    <row r="15" spans="1:16">
      <c r="A15" s="685"/>
      <c r="B15" s="686">
        <v>1380</v>
      </c>
      <c r="C15" s="687">
        <v>306040</v>
      </c>
      <c r="D15" s="688" t="s">
        <v>68</v>
      </c>
      <c r="E15" s="689">
        <v>0.01</v>
      </c>
      <c r="F15" s="687">
        <f t="shared" si="0"/>
        <v>3060.4</v>
      </c>
      <c r="I15" s="674" t="s">
        <v>505</v>
      </c>
      <c r="J15" s="674" t="s">
        <v>506</v>
      </c>
    </row>
    <row r="16" spans="1:16">
      <c r="A16" s="685"/>
      <c r="B16" s="686">
        <v>1717</v>
      </c>
      <c r="C16" s="687">
        <v>632200</v>
      </c>
      <c r="D16" s="688" t="s">
        <v>68</v>
      </c>
      <c r="E16" s="689">
        <v>0.01</v>
      </c>
      <c r="F16" s="687">
        <f t="shared" si="0"/>
        <v>6322</v>
      </c>
      <c r="I16" s="675" t="s">
        <v>503</v>
      </c>
      <c r="J16" s="676">
        <v>9.9999999999999995E-21</v>
      </c>
    </row>
    <row r="17" spans="1:10">
      <c r="A17" s="685"/>
      <c r="B17" s="686">
        <v>1711</v>
      </c>
      <c r="C17" s="687">
        <v>1258650</v>
      </c>
      <c r="D17" s="688" t="s">
        <v>68</v>
      </c>
      <c r="E17" s="689">
        <v>0.01</v>
      </c>
      <c r="F17" s="687">
        <f t="shared" si="0"/>
        <v>12586.5</v>
      </c>
      <c r="I17" s="675" t="s">
        <v>114</v>
      </c>
      <c r="J17" s="676">
        <v>0.5</v>
      </c>
    </row>
    <row r="18" spans="1:10">
      <c r="A18" s="685"/>
      <c r="B18" s="686">
        <v>1707</v>
      </c>
      <c r="C18" s="687">
        <v>1094550</v>
      </c>
      <c r="D18" s="688" t="s">
        <v>68</v>
      </c>
      <c r="E18" s="689">
        <v>0.01</v>
      </c>
      <c r="F18" s="687">
        <f t="shared" si="0"/>
        <v>10945.5</v>
      </c>
      <c r="I18" s="675" t="s">
        <v>507</v>
      </c>
      <c r="J18" s="677">
        <v>0.3</v>
      </c>
    </row>
    <row r="19" spans="1:10">
      <c r="A19" s="685"/>
      <c r="B19" s="686">
        <v>1707</v>
      </c>
      <c r="C19" s="687">
        <v>621000</v>
      </c>
      <c r="D19" s="688" t="s">
        <v>68</v>
      </c>
      <c r="E19" s="689">
        <v>0.01</v>
      </c>
      <c r="F19" s="687">
        <f t="shared" si="0"/>
        <v>6210</v>
      </c>
      <c r="I19" s="675" t="s">
        <v>508</v>
      </c>
      <c r="J19" s="677">
        <v>0.1</v>
      </c>
    </row>
    <row r="20" spans="1:10">
      <c r="A20" s="685"/>
      <c r="B20" s="686">
        <v>1707</v>
      </c>
      <c r="C20" s="687">
        <v>543550</v>
      </c>
      <c r="D20" s="688" t="s">
        <v>68</v>
      </c>
      <c r="E20" s="689">
        <v>0.01</v>
      </c>
      <c r="F20" s="687">
        <f t="shared" si="0"/>
        <v>5435.5</v>
      </c>
      <c r="I20" s="675" t="s">
        <v>509</v>
      </c>
      <c r="J20" s="677">
        <v>0.05</v>
      </c>
    </row>
    <row r="21" spans="1:10">
      <c r="A21" s="685"/>
      <c r="B21" s="686">
        <v>1504</v>
      </c>
      <c r="C21" s="687">
        <v>151050</v>
      </c>
      <c r="D21" s="688" t="s">
        <v>68</v>
      </c>
      <c r="E21" s="689">
        <v>0.01</v>
      </c>
      <c r="F21" s="687">
        <f t="shared" si="0"/>
        <v>1510.5</v>
      </c>
      <c r="I21" s="675" t="s">
        <v>510</v>
      </c>
      <c r="J21" s="677">
        <v>0.01</v>
      </c>
    </row>
    <row r="22" spans="1:10">
      <c r="A22" s="685"/>
      <c r="B22" s="686">
        <v>631</v>
      </c>
      <c r="C22" s="687">
        <v>86600</v>
      </c>
      <c r="D22" s="688" t="s">
        <v>68</v>
      </c>
      <c r="E22" s="689">
        <v>0.1</v>
      </c>
      <c r="F22" s="687">
        <f t="shared" si="0"/>
        <v>8660</v>
      </c>
    </row>
    <row r="23" spans="1:10">
      <c r="A23" s="685"/>
      <c r="B23" s="686">
        <v>603</v>
      </c>
      <c r="C23" s="687">
        <v>228054</v>
      </c>
      <c r="D23" s="688" t="s">
        <v>68</v>
      </c>
      <c r="E23" s="689">
        <v>0.1</v>
      </c>
      <c r="F23" s="687">
        <f t="shared" si="0"/>
        <v>22805.4</v>
      </c>
    </row>
    <row r="24" spans="1:10">
      <c r="A24" s="685"/>
      <c r="B24" s="686">
        <v>3398</v>
      </c>
      <c r="C24" s="687">
        <v>1027556</v>
      </c>
      <c r="D24" s="688" t="s">
        <v>68</v>
      </c>
      <c r="E24" s="689">
        <v>0.01</v>
      </c>
      <c r="F24" s="687">
        <f t="shared" si="0"/>
        <v>10275.56</v>
      </c>
    </row>
    <row r="25" spans="1:10">
      <c r="A25" s="685"/>
      <c r="B25" s="686">
        <v>3397</v>
      </c>
      <c r="C25" s="687">
        <v>53926</v>
      </c>
      <c r="D25" s="688" t="s">
        <v>68</v>
      </c>
      <c r="E25" s="689">
        <v>0.01</v>
      </c>
      <c r="F25" s="687">
        <f t="shared" si="0"/>
        <v>539.26</v>
      </c>
    </row>
    <row r="26" spans="1:10">
      <c r="A26" s="685"/>
      <c r="B26" s="686">
        <v>3397</v>
      </c>
      <c r="C26" s="687">
        <v>104894</v>
      </c>
      <c r="D26" s="688" t="s">
        <v>68</v>
      </c>
      <c r="E26" s="689">
        <v>0.01</v>
      </c>
      <c r="F26" s="687">
        <f t="shared" si="0"/>
        <v>1048.94</v>
      </c>
    </row>
    <row r="27" spans="1:10">
      <c r="A27" s="685"/>
      <c r="B27" s="686">
        <v>3397</v>
      </c>
      <c r="C27" s="687">
        <v>455400</v>
      </c>
      <c r="D27" s="688" t="s">
        <v>68</v>
      </c>
      <c r="E27" s="689">
        <v>0.01</v>
      </c>
      <c r="F27" s="687">
        <f t="shared" si="0"/>
        <v>4554</v>
      </c>
    </row>
    <row r="28" spans="1:10">
      <c r="A28" s="685"/>
      <c r="B28" s="686">
        <v>3392</v>
      </c>
      <c r="C28" s="687">
        <v>1076748</v>
      </c>
      <c r="D28" s="688" t="s">
        <v>68</v>
      </c>
      <c r="E28" s="689">
        <v>0.01</v>
      </c>
      <c r="F28" s="687">
        <f t="shared" si="0"/>
        <v>10767.48</v>
      </c>
    </row>
    <row r="29" spans="1:10">
      <c r="A29" s="685"/>
      <c r="B29" s="686">
        <v>3392</v>
      </c>
      <c r="C29" s="687">
        <v>2207700</v>
      </c>
      <c r="D29" s="688" t="s">
        <v>68</v>
      </c>
      <c r="E29" s="689">
        <v>0.01</v>
      </c>
      <c r="F29" s="687">
        <f t="shared" si="0"/>
        <v>22077</v>
      </c>
    </row>
    <row r="30" spans="1:10">
      <c r="A30" s="685"/>
      <c r="B30" s="686">
        <v>3389</v>
      </c>
      <c r="C30" s="687">
        <v>1238400</v>
      </c>
      <c r="D30" s="688" t="s">
        <v>68</v>
      </c>
      <c r="E30" s="689">
        <v>0.01</v>
      </c>
      <c r="F30" s="687">
        <f t="shared" si="0"/>
        <v>12384</v>
      </c>
    </row>
    <row r="31" spans="1:10">
      <c r="A31" s="685"/>
      <c r="B31" s="686">
        <v>3389</v>
      </c>
      <c r="C31" s="687">
        <v>53926</v>
      </c>
      <c r="D31" s="688" t="s">
        <v>68</v>
      </c>
      <c r="E31" s="689">
        <v>0.01</v>
      </c>
      <c r="F31" s="687">
        <f t="shared" si="0"/>
        <v>539.26</v>
      </c>
    </row>
    <row r="32" spans="1:10">
      <c r="A32" s="685"/>
      <c r="B32" s="686">
        <v>3377</v>
      </c>
      <c r="C32" s="687">
        <v>511112</v>
      </c>
      <c r="D32" s="688" t="s">
        <v>68</v>
      </c>
      <c r="E32" s="689">
        <v>0.01</v>
      </c>
      <c r="F32" s="687">
        <f t="shared" si="0"/>
        <v>5111.12</v>
      </c>
    </row>
    <row r="33" spans="1:6">
      <c r="A33" s="685"/>
      <c r="B33" s="686">
        <v>3371</v>
      </c>
      <c r="C33" s="687">
        <v>511112</v>
      </c>
      <c r="D33" s="688" t="s">
        <v>68</v>
      </c>
      <c r="E33" s="689">
        <v>0.01</v>
      </c>
      <c r="F33" s="687">
        <f t="shared" si="0"/>
        <v>5111.12</v>
      </c>
    </row>
    <row r="34" spans="1:6">
      <c r="A34" s="685"/>
      <c r="B34" s="686">
        <v>3370</v>
      </c>
      <c r="C34" s="687">
        <v>53926</v>
      </c>
      <c r="D34" s="688" t="s">
        <v>68</v>
      </c>
      <c r="E34" s="689">
        <v>0.01</v>
      </c>
      <c r="F34" s="687">
        <f t="shared" si="0"/>
        <v>539.26</v>
      </c>
    </row>
    <row r="35" spans="1:6">
      <c r="A35" s="685"/>
      <c r="B35" s="686">
        <v>3366</v>
      </c>
      <c r="C35" s="687">
        <v>1019395</v>
      </c>
      <c r="D35" s="688" t="s">
        <v>68</v>
      </c>
      <c r="E35" s="689">
        <v>0.01</v>
      </c>
      <c r="F35" s="687">
        <f t="shared" si="0"/>
        <v>10193.950000000001</v>
      </c>
    </row>
    <row r="36" spans="1:6">
      <c r="A36" s="685"/>
      <c r="B36" s="686">
        <v>3366</v>
      </c>
      <c r="C36" s="687">
        <v>137600</v>
      </c>
      <c r="D36" s="688" t="s">
        <v>68</v>
      </c>
      <c r="E36" s="689">
        <v>0.01</v>
      </c>
      <c r="F36" s="687">
        <f t="shared" si="0"/>
        <v>1376</v>
      </c>
    </row>
    <row r="37" spans="1:6">
      <c r="A37" s="685"/>
      <c r="B37" s="686">
        <v>3362</v>
      </c>
      <c r="C37" s="687">
        <v>706276</v>
      </c>
      <c r="D37" s="688" t="s">
        <v>68</v>
      </c>
      <c r="E37" s="689">
        <v>0.01</v>
      </c>
      <c r="F37" s="687">
        <f t="shared" si="0"/>
        <v>7062.76</v>
      </c>
    </row>
    <row r="38" spans="1:6">
      <c r="A38" s="685"/>
      <c r="B38" s="686">
        <v>3362</v>
      </c>
      <c r="C38" s="687">
        <v>1770833</v>
      </c>
      <c r="D38" s="688" t="s">
        <v>68</v>
      </c>
      <c r="E38" s="689">
        <v>0.01</v>
      </c>
      <c r="F38" s="687">
        <f t="shared" si="0"/>
        <v>17708.330000000002</v>
      </c>
    </row>
    <row r="39" spans="1:6">
      <c r="A39" s="685"/>
      <c r="B39" s="686">
        <v>3357</v>
      </c>
      <c r="C39" s="687">
        <v>1277780</v>
      </c>
      <c r="D39" s="688" t="s">
        <v>68</v>
      </c>
      <c r="E39" s="689">
        <v>0.01</v>
      </c>
      <c r="F39" s="687">
        <f t="shared" si="0"/>
        <v>12777.800000000001</v>
      </c>
    </row>
    <row r="40" spans="1:6">
      <c r="A40" s="685"/>
      <c r="B40" s="686">
        <v>3355</v>
      </c>
      <c r="C40" s="687">
        <v>1043000</v>
      </c>
      <c r="D40" s="688" t="s">
        <v>68</v>
      </c>
      <c r="E40" s="689">
        <v>0.01</v>
      </c>
      <c r="F40" s="687">
        <f t="shared" si="0"/>
        <v>10430</v>
      </c>
    </row>
    <row r="41" spans="1:6">
      <c r="A41" s="685"/>
      <c r="B41" s="686">
        <v>3352</v>
      </c>
      <c r="C41" s="687">
        <v>1023112</v>
      </c>
      <c r="D41" s="688" t="s">
        <v>68</v>
      </c>
      <c r="E41" s="689">
        <v>0.01</v>
      </c>
      <c r="F41" s="687">
        <f t="shared" si="0"/>
        <v>10231.120000000001</v>
      </c>
    </row>
    <row r="42" spans="1:6">
      <c r="A42" s="685"/>
      <c r="B42" s="686">
        <v>3350</v>
      </c>
      <c r="C42" s="687">
        <v>1788800</v>
      </c>
      <c r="D42" s="688" t="s">
        <v>68</v>
      </c>
      <c r="E42" s="689">
        <v>0.01</v>
      </c>
      <c r="F42" s="687">
        <f t="shared" si="0"/>
        <v>17888</v>
      </c>
    </row>
    <row r="43" spans="1:6">
      <c r="A43" s="685"/>
      <c r="B43" s="686">
        <v>3349</v>
      </c>
      <c r="C43" s="687">
        <v>128955</v>
      </c>
      <c r="D43" s="688" t="s">
        <v>68</v>
      </c>
      <c r="E43" s="689">
        <v>0.01</v>
      </c>
      <c r="F43" s="687">
        <f t="shared" si="0"/>
        <v>1289.55</v>
      </c>
    </row>
    <row r="44" spans="1:6">
      <c r="A44" s="685"/>
      <c r="B44" s="686">
        <v>3342</v>
      </c>
      <c r="C44" s="687">
        <v>767334</v>
      </c>
      <c r="D44" s="688" t="s">
        <v>68</v>
      </c>
      <c r="E44" s="689">
        <v>0.01</v>
      </c>
      <c r="F44" s="687">
        <f t="shared" si="0"/>
        <v>7673.34</v>
      </c>
    </row>
    <row r="45" spans="1:6">
      <c r="A45" s="685"/>
      <c r="B45" s="686">
        <v>3342</v>
      </c>
      <c r="C45" s="687">
        <v>24397</v>
      </c>
      <c r="D45" s="688" t="s">
        <v>68</v>
      </c>
      <c r="E45" s="689">
        <v>0.01</v>
      </c>
      <c r="F45" s="687">
        <f t="shared" si="0"/>
        <v>243.97</v>
      </c>
    </row>
    <row r="46" spans="1:6">
      <c r="A46" s="685"/>
      <c r="B46" s="686">
        <v>3342</v>
      </c>
      <c r="C46" s="687">
        <v>65500</v>
      </c>
      <c r="D46" s="688" t="s">
        <v>68</v>
      </c>
      <c r="E46" s="689">
        <v>0.01</v>
      </c>
      <c r="F46" s="687">
        <f t="shared" si="0"/>
        <v>655</v>
      </c>
    </row>
    <row r="47" spans="1:6">
      <c r="A47" s="685"/>
      <c r="B47" s="686">
        <v>3342</v>
      </c>
      <c r="C47" s="687">
        <v>1278890</v>
      </c>
      <c r="D47" s="688" t="s">
        <v>68</v>
      </c>
      <c r="E47" s="689">
        <v>0.01</v>
      </c>
      <c r="F47" s="687">
        <f t="shared" si="0"/>
        <v>12788.9</v>
      </c>
    </row>
    <row r="48" spans="1:6">
      <c r="A48" s="685"/>
      <c r="B48" s="686">
        <v>3336</v>
      </c>
      <c r="C48" s="687">
        <v>1947605</v>
      </c>
      <c r="D48" s="688" t="s">
        <v>68</v>
      </c>
      <c r="E48" s="689">
        <v>0.01</v>
      </c>
      <c r="F48" s="687">
        <f t="shared" si="0"/>
        <v>19476.05</v>
      </c>
    </row>
    <row r="49" spans="1:6">
      <c r="A49" s="685"/>
      <c r="B49" s="686">
        <v>3335</v>
      </c>
      <c r="C49" s="687">
        <v>858764</v>
      </c>
      <c r="D49" s="688" t="s">
        <v>68</v>
      </c>
      <c r="E49" s="689">
        <v>0.01</v>
      </c>
      <c r="F49" s="687">
        <f t="shared" si="0"/>
        <v>8587.64</v>
      </c>
    </row>
    <row r="50" spans="1:6">
      <c r="A50" s="685"/>
      <c r="B50" s="686">
        <v>3328</v>
      </c>
      <c r="C50" s="687">
        <v>409953</v>
      </c>
      <c r="D50" s="688" t="s">
        <v>68</v>
      </c>
      <c r="E50" s="689">
        <v>0.01</v>
      </c>
      <c r="F50" s="687">
        <f t="shared" si="0"/>
        <v>4099.53</v>
      </c>
    </row>
    <row r="51" spans="1:6">
      <c r="A51" s="685"/>
      <c r="B51" s="686">
        <v>3315</v>
      </c>
      <c r="C51" s="687">
        <v>1147716</v>
      </c>
      <c r="D51" s="688" t="s">
        <v>68</v>
      </c>
      <c r="E51" s="689">
        <v>0.01</v>
      </c>
      <c r="F51" s="687">
        <f t="shared" si="0"/>
        <v>11477.16</v>
      </c>
    </row>
    <row r="52" spans="1:6">
      <c r="A52" s="685"/>
      <c r="B52" s="686">
        <v>3293</v>
      </c>
      <c r="C52" s="687">
        <v>1417054</v>
      </c>
      <c r="D52" s="688" t="s">
        <v>68</v>
      </c>
      <c r="E52" s="689">
        <v>0.01</v>
      </c>
      <c r="F52" s="687">
        <f t="shared" si="0"/>
        <v>14170.54</v>
      </c>
    </row>
    <row r="53" spans="1:6">
      <c r="A53" s="685"/>
      <c r="B53" s="686">
        <v>3287</v>
      </c>
      <c r="C53" s="687">
        <v>2931721</v>
      </c>
      <c r="D53" s="688" t="s">
        <v>68</v>
      </c>
      <c r="E53" s="689">
        <v>0.01</v>
      </c>
      <c r="F53" s="687">
        <f t="shared" si="0"/>
        <v>29317.21</v>
      </c>
    </row>
    <row r="54" spans="1:6">
      <c r="A54" s="685"/>
      <c r="B54" s="686">
        <v>3279</v>
      </c>
      <c r="C54" s="687">
        <v>344788</v>
      </c>
      <c r="D54" s="688" t="s">
        <v>68</v>
      </c>
      <c r="E54" s="689">
        <v>0.01</v>
      </c>
      <c r="F54" s="687">
        <f t="shared" si="0"/>
        <v>3447.88</v>
      </c>
    </row>
    <row r="55" spans="1:6">
      <c r="A55" s="685"/>
      <c r="B55" s="686">
        <v>3275</v>
      </c>
      <c r="C55" s="687">
        <v>335632</v>
      </c>
      <c r="D55" s="688" t="s">
        <v>68</v>
      </c>
      <c r="E55" s="689">
        <v>0.01</v>
      </c>
      <c r="F55" s="687">
        <f t="shared" si="0"/>
        <v>3356.32</v>
      </c>
    </row>
    <row r="56" spans="1:6">
      <c r="A56" s="685"/>
      <c r="B56" s="686">
        <v>3272</v>
      </c>
      <c r="C56" s="687">
        <v>1160888</v>
      </c>
      <c r="D56" s="688" t="s">
        <v>68</v>
      </c>
      <c r="E56" s="689">
        <v>0.01</v>
      </c>
      <c r="F56" s="687">
        <f t="shared" si="0"/>
        <v>11608.880000000001</v>
      </c>
    </row>
    <row r="57" spans="1:6">
      <c r="A57" s="685"/>
      <c r="B57" s="686">
        <v>3272</v>
      </c>
      <c r="C57" s="687">
        <v>371500</v>
      </c>
      <c r="D57" s="688" t="s">
        <v>68</v>
      </c>
      <c r="E57" s="689">
        <v>0.01</v>
      </c>
      <c r="F57" s="687">
        <f t="shared" si="0"/>
        <v>3715</v>
      </c>
    </row>
    <row r="58" spans="1:6">
      <c r="A58" s="685"/>
      <c r="B58" s="686">
        <v>3266</v>
      </c>
      <c r="C58" s="687">
        <v>12700</v>
      </c>
      <c r="D58" s="688" t="s">
        <v>68</v>
      </c>
      <c r="E58" s="689">
        <v>0.01</v>
      </c>
      <c r="F58" s="687">
        <f t="shared" si="0"/>
        <v>127</v>
      </c>
    </row>
    <row r="59" spans="1:6">
      <c r="A59" s="685"/>
      <c r="B59" s="686">
        <v>3265</v>
      </c>
      <c r="C59" s="687">
        <v>580444</v>
      </c>
      <c r="D59" s="688" t="s">
        <v>68</v>
      </c>
      <c r="E59" s="689">
        <v>0.01</v>
      </c>
      <c r="F59" s="687">
        <f t="shared" si="0"/>
        <v>5804.4400000000005</v>
      </c>
    </row>
    <row r="60" spans="1:6">
      <c r="A60" s="685"/>
      <c r="B60" s="686">
        <v>3265</v>
      </c>
      <c r="C60" s="687">
        <v>65500</v>
      </c>
      <c r="D60" s="688" t="s">
        <v>68</v>
      </c>
      <c r="E60" s="689">
        <v>0.01</v>
      </c>
      <c r="F60" s="687">
        <f t="shared" si="0"/>
        <v>655</v>
      </c>
    </row>
    <row r="61" spans="1:6">
      <c r="A61" s="685"/>
      <c r="B61" s="686">
        <v>3264</v>
      </c>
      <c r="C61" s="687">
        <v>43137</v>
      </c>
      <c r="D61" s="688" t="s">
        <v>68</v>
      </c>
      <c r="E61" s="689">
        <v>0.01</v>
      </c>
      <c r="F61" s="687">
        <f t="shared" si="0"/>
        <v>431.37</v>
      </c>
    </row>
    <row r="62" spans="1:6">
      <c r="A62" s="685"/>
      <c r="B62" s="686">
        <v>3262</v>
      </c>
      <c r="C62" s="687">
        <v>206889</v>
      </c>
      <c r="D62" s="688" t="s">
        <v>68</v>
      </c>
      <c r="E62" s="689">
        <v>0.01</v>
      </c>
      <c r="F62" s="687">
        <f t="shared" si="0"/>
        <v>2068.89</v>
      </c>
    </row>
    <row r="63" spans="1:6">
      <c r="A63" s="685"/>
      <c r="B63" s="686">
        <v>3258</v>
      </c>
      <c r="C63" s="687">
        <v>870666</v>
      </c>
      <c r="D63" s="688" t="s">
        <v>68</v>
      </c>
      <c r="E63" s="689">
        <v>0.01</v>
      </c>
      <c r="F63" s="687">
        <f t="shared" si="0"/>
        <v>8706.66</v>
      </c>
    </row>
    <row r="64" spans="1:6">
      <c r="A64" s="685"/>
      <c r="B64" s="686">
        <v>3258</v>
      </c>
      <c r="C64" s="687">
        <v>54566</v>
      </c>
      <c r="D64" s="688" t="s">
        <v>68</v>
      </c>
      <c r="E64" s="689">
        <v>0.01</v>
      </c>
      <c r="F64" s="687">
        <f t="shared" si="0"/>
        <v>545.66</v>
      </c>
    </row>
    <row r="65" spans="1:6">
      <c r="A65" s="685"/>
      <c r="B65" s="686">
        <v>3257</v>
      </c>
      <c r="C65" s="687">
        <v>194139</v>
      </c>
      <c r="D65" s="688" t="s">
        <v>68</v>
      </c>
      <c r="E65" s="689">
        <v>0.01</v>
      </c>
      <c r="F65" s="687">
        <f t="shared" si="0"/>
        <v>1941.39</v>
      </c>
    </row>
    <row r="66" spans="1:6">
      <c r="A66" s="685"/>
      <c r="B66" s="686">
        <v>3257</v>
      </c>
      <c r="C66" s="687">
        <v>169166</v>
      </c>
      <c r="D66" s="688" t="s">
        <v>68</v>
      </c>
      <c r="E66" s="689">
        <v>0.01</v>
      </c>
      <c r="F66" s="687">
        <f t="shared" si="0"/>
        <v>1691.66</v>
      </c>
    </row>
    <row r="67" spans="1:6">
      <c r="A67" s="685"/>
      <c r="B67" s="686">
        <v>3253</v>
      </c>
      <c r="C67" s="687">
        <v>354009</v>
      </c>
      <c r="D67" s="688" t="s">
        <v>68</v>
      </c>
      <c r="E67" s="689">
        <v>0.01</v>
      </c>
      <c r="F67" s="687">
        <f t="shared" ref="F67:F130" si="1">+C67*E67</f>
        <v>3540.09</v>
      </c>
    </row>
    <row r="68" spans="1:6">
      <c r="A68" s="685"/>
      <c r="B68" s="686">
        <v>3251</v>
      </c>
      <c r="C68" s="687">
        <v>1451110</v>
      </c>
      <c r="D68" s="688" t="s">
        <v>68</v>
      </c>
      <c r="E68" s="689">
        <v>0.01</v>
      </c>
      <c r="F68" s="687">
        <f t="shared" si="1"/>
        <v>14511.1</v>
      </c>
    </row>
    <row r="69" spans="1:6">
      <c r="A69" s="685"/>
      <c r="B69" s="686">
        <v>3249</v>
      </c>
      <c r="C69" s="687">
        <v>30056</v>
      </c>
      <c r="D69" s="688" t="s">
        <v>68</v>
      </c>
      <c r="E69" s="689">
        <v>0.01</v>
      </c>
      <c r="F69" s="687">
        <f t="shared" si="1"/>
        <v>300.56</v>
      </c>
    </row>
    <row r="70" spans="1:6">
      <c r="A70" s="685"/>
      <c r="B70" s="686">
        <v>3244</v>
      </c>
      <c r="C70" s="687">
        <v>2668657</v>
      </c>
      <c r="D70" s="688" t="s">
        <v>68</v>
      </c>
      <c r="E70" s="689">
        <v>0.01</v>
      </c>
      <c r="F70" s="687">
        <f t="shared" si="1"/>
        <v>26686.57</v>
      </c>
    </row>
    <row r="71" spans="1:6">
      <c r="A71" s="685"/>
      <c r="B71" s="686">
        <v>3240</v>
      </c>
      <c r="C71" s="687">
        <v>110461</v>
      </c>
      <c r="D71" s="688" t="s">
        <v>68</v>
      </c>
      <c r="E71" s="689">
        <v>0.01</v>
      </c>
      <c r="F71" s="687">
        <f t="shared" si="1"/>
        <v>1104.6100000000001</v>
      </c>
    </row>
    <row r="72" spans="1:6">
      <c r="A72" s="685"/>
      <c r="B72" s="686">
        <v>3240</v>
      </c>
      <c r="C72" s="687">
        <v>70662</v>
      </c>
      <c r="D72" s="688" t="s">
        <v>68</v>
      </c>
      <c r="E72" s="689">
        <v>0.01</v>
      </c>
      <c r="F72" s="687">
        <f t="shared" si="1"/>
        <v>706.62</v>
      </c>
    </row>
    <row r="73" spans="1:6">
      <c r="A73" s="685"/>
      <c r="B73" s="686">
        <v>3240</v>
      </c>
      <c r="C73" s="687">
        <v>55598</v>
      </c>
      <c r="D73" s="688" t="s">
        <v>68</v>
      </c>
      <c r="E73" s="689">
        <v>0.01</v>
      </c>
      <c r="F73" s="687">
        <f t="shared" si="1"/>
        <v>555.98</v>
      </c>
    </row>
    <row r="74" spans="1:6">
      <c r="A74" s="685"/>
      <c r="B74" s="686">
        <v>3237</v>
      </c>
      <c r="C74" s="687">
        <v>824118</v>
      </c>
      <c r="D74" s="688" t="s">
        <v>68</v>
      </c>
      <c r="E74" s="689">
        <v>0.01</v>
      </c>
      <c r="F74" s="687">
        <f t="shared" si="1"/>
        <v>8241.18</v>
      </c>
    </row>
    <row r="75" spans="1:6">
      <c r="A75" s="685"/>
      <c r="B75" s="686">
        <v>3237</v>
      </c>
      <c r="C75" s="687">
        <v>40175</v>
      </c>
      <c r="D75" s="688" t="s">
        <v>68</v>
      </c>
      <c r="E75" s="689">
        <v>0.01</v>
      </c>
      <c r="F75" s="687">
        <f t="shared" si="1"/>
        <v>401.75</v>
      </c>
    </row>
    <row r="76" spans="1:6">
      <c r="A76" s="685"/>
      <c r="B76" s="686">
        <v>3237</v>
      </c>
      <c r="C76" s="687">
        <v>54566</v>
      </c>
      <c r="D76" s="688" t="s">
        <v>68</v>
      </c>
      <c r="E76" s="689">
        <v>0.01</v>
      </c>
      <c r="F76" s="687">
        <f t="shared" si="1"/>
        <v>545.66</v>
      </c>
    </row>
    <row r="77" spans="1:6">
      <c r="A77" s="685"/>
      <c r="B77" s="686">
        <v>3237</v>
      </c>
      <c r="C77" s="687">
        <v>960766</v>
      </c>
      <c r="D77" s="688" t="s">
        <v>68</v>
      </c>
      <c r="E77" s="689">
        <v>0.01</v>
      </c>
      <c r="F77" s="687">
        <f t="shared" si="1"/>
        <v>9607.66</v>
      </c>
    </row>
    <row r="78" spans="1:6">
      <c r="A78" s="685"/>
      <c r="B78" s="686">
        <v>3237</v>
      </c>
      <c r="C78" s="687">
        <v>29311</v>
      </c>
      <c r="D78" s="688" t="s">
        <v>68</v>
      </c>
      <c r="E78" s="689">
        <v>0.01</v>
      </c>
      <c r="F78" s="687">
        <f t="shared" si="1"/>
        <v>293.11</v>
      </c>
    </row>
    <row r="79" spans="1:6">
      <c r="A79" s="685"/>
      <c r="B79" s="686">
        <v>3237</v>
      </c>
      <c r="C79" s="687">
        <v>290222</v>
      </c>
      <c r="D79" s="688" t="s">
        <v>68</v>
      </c>
      <c r="E79" s="689">
        <v>0.01</v>
      </c>
      <c r="F79" s="687">
        <f t="shared" si="1"/>
        <v>2902.2200000000003</v>
      </c>
    </row>
    <row r="80" spans="1:6">
      <c r="A80" s="685"/>
      <c r="B80" s="686">
        <v>3237</v>
      </c>
      <c r="C80" s="687">
        <v>146666</v>
      </c>
      <c r="D80" s="688" t="s">
        <v>68</v>
      </c>
      <c r="E80" s="689">
        <v>0.01</v>
      </c>
      <c r="F80" s="687">
        <f t="shared" si="1"/>
        <v>1466.66</v>
      </c>
    </row>
    <row r="81" spans="1:6">
      <c r="A81" s="685"/>
      <c r="B81" s="686">
        <v>3234</v>
      </c>
      <c r="C81" s="687">
        <v>25399</v>
      </c>
      <c r="D81" s="688" t="s">
        <v>68</v>
      </c>
      <c r="E81" s="689">
        <v>0.01</v>
      </c>
      <c r="F81" s="687">
        <f t="shared" si="1"/>
        <v>253.99</v>
      </c>
    </row>
    <row r="82" spans="1:6">
      <c r="A82" s="685"/>
      <c r="B82" s="686">
        <v>3231</v>
      </c>
      <c r="C82" s="687">
        <v>870666</v>
      </c>
      <c r="D82" s="688" t="s">
        <v>68</v>
      </c>
      <c r="E82" s="689">
        <v>0.01</v>
      </c>
      <c r="F82" s="687">
        <f t="shared" si="1"/>
        <v>8706.66</v>
      </c>
    </row>
    <row r="83" spans="1:6">
      <c r="A83" s="685"/>
      <c r="B83" s="686">
        <v>3230</v>
      </c>
      <c r="C83" s="687">
        <v>70662</v>
      </c>
      <c r="D83" s="688" t="s">
        <v>68</v>
      </c>
      <c r="E83" s="689">
        <v>0.01</v>
      </c>
      <c r="F83" s="687">
        <f t="shared" si="1"/>
        <v>706.62</v>
      </c>
    </row>
    <row r="84" spans="1:6">
      <c r="A84" s="685"/>
      <c r="B84" s="686">
        <v>3230</v>
      </c>
      <c r="C84" s="687">
        <v>39799</v>
      </c>
      <c r="D84" s="688" t="s">
        <v>68</v>
      </c>
      <c r="E84" s="689">
        <v>0.01</v>
      </c>
      <c r="F84" s="687">
        <f t="shared" si="1"/>
        <v>397.99</v>
      </c>
    </row>
    <row r="85" spans="1:6">
      <c r="A85" s="685"/>
      <c r="B85" s="686">
        <v>3226</v>
      </c>
      <c r="C85" s="687">
        <v>212160</v>
      </c>
      <c r="D85" s="688" t="s">
        <v>68</v>
      </c>
      <c r="E85" s="689">
        <v>0.01</v>
      </c>
      <c r="F85" s="687">
        <f t="shared" si="1"/>
        <v>2121.6</v>
      </c>
    </row>
    <row r="86" spans="1:6">
      <c r="A86" s="685"/>
      <c r="B86" s="686">
        <v>3223</v>
      </c>
      <c r="C86" s="687">
        <v>428285</v>
      </c>
      <c r="D86" s="688" t="s">
        <v>68</v>
      </c>
      <c r="E86" s="689">
        <v>0.01</v>
      </c>
      <c r="F86" s="687">
        <f t="shared" si="1"/>
        <v>4282.8500000000004</v>
      </c>
    </row>
    <row r="87" spans="1:6">
      <c r="A87" s="685"/>
      <c r="B87" s="686">
        <v>3223</v>
      </c>
      <c r="C87" s="687">
        <v>734401</v>
      </c>
      <c r="D87" s="688" t="s">
        <v>68</v>
      </c>
      <c r="E87" s="689">
        <v>0.01</v>
      </c>
      <c r="F87" s="687">
        <f t="shared" si="1"/>
        <v>7344.01</v>
      </c>
    </row>
    <row r="88" spans="1:6">
      <c r="A88" s="685"/>
      <c r="B88" s="686">
        <v>3223</v>
      </c>
      <c r="C88" s="687">
        <v>30327</v>
      </c>
      <c r="D88" s="688" t="s">
        <v>68</v>
      </c>
      <c r="E88" s="689">
        <v>0.01</v>
      </c>
      <c r="F88" s="687">
        <f t="shared" si="1"/>
        <v>303.27</v>
      </c>
    </row>
    <row r="89" spans="1:6">
      <c r="A89" s="685"/>
      <c r="B89" s="686">
        <v>3223</v>
      </c>
      <c r="C89" s="687">
        <v>113756</v>
      </c>
      <c r="D89" s="688" t="s">
        <v>68</v>
      </c>
      <c r="E89" s="689">
        <v>0.01</v>
      </c>
      <c r="F89" s="687">
        <f t="shared" si="1"/>
        <v>1137.56</v>
      </c>
    </row>
    <row r="90" spans="1:6">
      <c r="A90" s="685"/>
      <c r="B90" s="686">
        <v>3223</v>
      </c>
      <c r="C90" s="687">
        <v>84367</v>
      </c>
      <c r="D90" s="688" t="s">
        <v>68</v>
      </c>
      <c r="E90" s="689">
        <v>0.01</v>
      </c>
      <c r="F90" s="687">
        <f t="shared" si="1"/>
        <v>843.67000000000007</v>
      </c>
    </row>
    <row r="91" spans="1:6">
      <c r="A91" s="685"/>
      <c r="B91" s="686">
        <v>3223</v>
      </c>
      <c r="C91" s="687">
        <v>290222</v>
      </c>
      <c r="D91" s="688" t="s">
        <v>68</v>
      </c>
      <c r="E91" s="689">
        <v>0.01</v>
      </c>
      <c r="F91" s="687">
        <f t="shared" si="1"/>
        <v>2902.2200000000003</v>
      </c>
    </row>
    <row r="92" spans="1:6">
      <c r="A92" s="685"/>
      <c r="B92" s="686">
        <v>3217</v>
      </c>
      <c r="C92" s="687">
        <v>1160888</v>
      </c>
      <c r="D92" s="688" t="s">
        <v>68</v>
      </c>
      <c r="E92" s="689">
        <v>0.01</v>
      </c>
      <c r="F92" s="687">
        <f t="shared" si="1"/>
        <v>11608.880000000001</v>
      </c>
    </row>
    <row r="93" spans="1:6">
      <c r="A93" s="685"/>
      <c r="B93" s="686">
        <v>3216</v>
      </c>
      <c r="C93" s="687">
        <v>207338</v>
      </c>
      <c r="D93" s="688" t="s">
        <v>68</v>
      </c>
      <c r="E93" s="689">
        <v>0.01</v>
      </c>
      <c r="F93" s="687">
        <f t="shared" si="1"/>
        <v>2073.38</v>
      </c>
    </row>
    <row r="94" spans="1:6">
      <c r="A94" s="685"/>
      <c r="B94" s="686">
        <v>3216</v>
      </c>
      <c r="C94" s="687">
        <v>147805</v>
      </c>
      <c r="D94" s="688" t="s">
        <v>68</v>
      </c>
      <c r="E94" s="689">
        <v>0.01</v>
      </c>
      <c r="F94" s="687">
        <f t="shared" si="1"/>
        <v>1478.05</v>
      </c>
    </row>
    <row r="95" spans="1:6">
      <c r="A95" s="685"/>
      <c r="B95" s="686">
        <v>3216</v>
      </c>
      <c r="C95" s="687">
        <v>40877</v>
      </c>
      <c r="D95" s="688" t="s">
        <v>68</v>
      </c>
      <c r="E95" s="689">
        <v>0.01</v>
      </c>
      <c r="F95" s="687">
        <f t="shared" si="1"/>
        <v>408.77</v>
      </c>
    </row>
    <row r="96" spans="1:6">
      <c r="A96" s="685"/>
      <c r="B96" s="686">
        <v>3216</v>
      </c>
      <c r="C96" s="687">
        <v>36465</v>
      </c>
      <c r="D96" s="688" t="s">
        <v>68</v>
      </c>
      <c r="E96" s="689">
        <v>0.01</v>
      </c>
      <c r="F96" s="687">
        <f t="shared" si="1"/>
        <v>364.65000000000003</v>
      </c>
    </row>
    <row r="97" spans="1:6">
      <c r="A97" s="685"/>
      <c r="B97" s="686">
        <v>3216</v>
      </c>
      <c r="C97" s="687">
        <v>54566</v>
      </c>
      <c r="D97" s="688" t="s">
        <v>68</v>
      </c>
      <c r="E97" s="689">
        <v>0.01</v>
      </c>
      <c r="F97" s="687">
        <f t="shared" si="1"/>
        <v>545.66</v>
      </c>
    </row>
    <row r="98" spans="1:6">
      <c r="A98" s="685"/>
      <c r="B98" s="686">
        <v>3209</v>
      </c>
      <c r="C98" s="687">
        <v>580444</v>
      </c>
      <c r="D98" s="688" t="s">
        <v>68</v>
      </c>
      <c r="E98" s="689">
        <v>0.01</v>
      </c>
      <c r="F98" s="687">
        <f t="shared" si="1"/>
        <v>5804.4400000000005</v>
      </c>
    </row>
    <row r="99" spans="1:6">
      <c r="A99" s="685"/>
      <c r="B99" s="686">
        <v>3207</v>
      </c>
      <c r="C99" s="687">
        <v>1301518</v>
      </c>
      <c r="D99" s="688" t="s">
        <v>68</v>
      </c>
      <c r="E99" s="689">
        <v>0.01</v>
      </c>
      <c r="F99" s="687">
        <f t="shared" si="1"/>
        <v>13015.18</v>
      </c>
    </row>
    <row r="100" spans="1:6">
      <c r="A100" s="685"/>
      <c r="B100" s="686">
        <v>3207</v>
      </c>
      <c r="C100" s="687">
        <v>24397</v>
      </c>
      <c r="D100" s="688" t="s">
        <v>68</v>
      </c>
      <c r="E100" s="689">
        <v>0.01</v>
      </c>
      <c r="F100" s="687">
        <f t="shared" si="1"/>
        <v>243.97</v>
      </c>
    </row>
    <row r="101" spans="1:6">
      <c r="A101" s="685"/>
      <c r="B101" s="686">
        <v>3207</v>
      </c>
      <c r="C101" s="687">
        <v>171368</v>
      </c>
      <c r="D101" s="688" t="s">
        <v>68</v>
      </c>
      <c r="E101" s="689">
        <v>0.01</v>
      </c>
      <c r="F101" s="687">
        <f t="shared" si="1"/>
        <v>1713.68</v>
      </c>
    </row>
    <row r="102" spans="1:6">
      <c r="A102" s="685"/>
      <c r="B102" s="686">
        <v>3202</v>
      </c>
      <c r="C102" s="687">
        <v>176262</v>
      </c>
      <c r="D102" s="688" t="s">
        <v>68</v>
      </c>
      <c r="E102" s="689">
        <v>0.01</v>
      </c>
      <c r="F102" s="687">
        <f t="shared" si="1"/>
        <v>1762.6200000000001</v>
      </c>
    </row>
    <row r="103" spans="1:6">
      <c r="A103" s="685"/>
      <c r="B103" s="686">
        <v>3202</v>
      </c>
      <c r="C103" s="687">
        <v>247389</v>
      </c>
      <c r="D103" s="688" t="s">
        <v>68</v>
      </c>
      <c r="E103" s="689">
        <v>0.01</v>
      </c>
      <c r="F103" s="687">
        <f t="shared" si="1"/>
        <v>2473.89</v>
      </c>
    </row>
    <row r="104" spans="1:6">
      <c r="A104" s="685"/>
      <c r="B104" s="686">
        <v>3202</v>
      </c>
      <c r="C104" s="687">
        <v>11145</v>
      </c>
      <c r="D104" s="688" t="s">
        <v>68</v>
      </c>
      <c r="E104" s="689">
        <v>0.01</v>
      </c>
      <c r="F104" s="687">
        <f t="shared" si="1"/>
        <v>111.45</v>
      </c>
    </row>
    <row r="105" spans="1:6">
      <c r="A105" s="685"/>
      <c r="B105" s="686">
        <v>3202</v>
      </c>
      <c r="C105" s="687">
        <v>90867</v>
      </c>
      <c r="D105" s="688" t="s">
        <v>68</v>
      </c>
      <c r="E105" s="689">
        <v>0.01</v>
      </c>
      <c r="F105" s="687">
        <f t="shared" si="1"/>
        <v>908.67000000000007</v>
      </c>
    </row>
    <row r="106" spans="1:6">
      <c r="A106" s="685"/>
      <c r="B106" s="686">
        <v>3202</v>
      </c>
      <c r="C106" s="687">
        <v>166571</v>
      </c>
      <c r="D106" s="688" t="s">
        <v>68</v>
      </c>
      <c r="E106" s="689">
        <v>0.01</v>
      </c>
      <c r="F106" s="687">
        <f t="shared" si="1"/>
        <v>1665.71</v>
      </c>
    </row>
    <row r="107" spans="1:6">
      <c r="A107" s="685"/>
      <c r="B107" s="686">
        <v>3202</v>
      </c>
      <c r="C107" s="687">
        <v>50069</v>
      </c>
      <c r="D107" s="688" t="s">
        <v>68</v>
      </c>
      <c r="E107" s="689">
        <v>0.01</v>
      </c>
      <c r="F107" s="687">
        <f t="shared" si="1"/>
        <v>500.69</v>
      </c>
    </row>
    <row r="108" spans="1:6">
      <c r="A108" s="685"/>
      <c r="B108" s="686">
        <v>802</v>
      </c>
      <c r="C108" s="687">
        <v>2185000</v>
      </c>
      <c r="D108" s="688" t="s">
        <v>68</v>
      </c>
      <c r="E108" s="689">
        <v>0.05</v>
      </c>
      <c r="F108" s="687">
        <f t="shared" si="1"/>
        <v>109250</v>
      </c>
    </row>
    <row r="109" spans="1:6">
      <c r="A109" s="685"/>
      <c r="B109" s="686">
        <v>802</v>
      </c>
      <c r="C109" s="687">
        <v>12300000</v>
      </c>
      <c r="D109" s="688" t="s">
        <v>68</v>
      </c>
      <c r="E109" s="689">
        <v>0.05</v>
      </c>
      <c r="F109" s="687">
        <f t="shared" si="1"/>
        <v>615000</v>
      </c>
    </row>
    <row r="110" spans="1:6">
      <c r="A110" s="685"/>
      <c r="B110" s="686">
        <v>795</v>
      </c>
      <c r="C110" s="687">
        <v>1020000</v>
      </c>
      <c r="D110" s="688" t="s">
        <v>68</v>
      </c>
      <c r="E110" s="689">
        <v>0.05</v>
      </c>
      <c r="F110" s="687">
        <f t="shared" si="1"/>
        <v>51000</v>
      </c>
    </row>
    <row r="111" spans="1:6">
      <c r="A111" s="685"/>
      <c r="B111" s="686">
        <v>1155</v>
      </c>
      <c r="C111" s="687">
        <v>50000</v>
      </c>
      <c r="D111" s="688" t="s">
        <v>68</v>
      </c>
      <c r="E111" s="689">
        <v>0.01</v>
      </c>
      <c r="F111" s="687">
        <f t="shared" si="1"/>
        <v>500</v>
      </c>
    </row>
    <row r="112" spans="1:6">
      <c r="A112" s="685"/>
      <c r="B112" s="686">
        <v>3198</v>
      </c>
      <c r="C112" s="687">
        <v>354404</v>
      </c>
      <c r="D112" s="688" t="s">
        <v>68</v>
      </c>
      <c r="E112" s="689">
        <v>0.01</v>
      </c>
      <c r="F112" s="687">
        <f t="shared" si="1"/>
        <v>3544.04</v>
      </c>
    </row>
    <row r="113" spans="1:6">
      <c r="A113" s="685"/>
      <c r="B113" s="686">
        <v>3196</v>
      </c>
      <c r="C113" s="687">
        <v>54260</v>
      </c>
      <c r="D113" s="688" t="s">
        <v>68</v>
      </c>
      <c r="E113" s="689">
        <v>0.01</v>
      </c>
      <c r="F113" s="687">
        <f t="shared" si="1"/>
        <v>542.6</v>
      </c>
    </row>
    <row r="114" spans="1:6">
      <c r="A114" s="685"/>
      <c r="B114" s="686">
        <v>661</v>
      </c>
      <c r="C114" s="687">
        <v>245000</v>
      </c>
      <c r="D114" s="688" t="s">
        <v>68</v>
      </c>
      <c r="E114" s="689">
        <v>0.1</v>
      </c>
      <c r="F114" s="687">
        <f t="shared" si="1"/>
        <v>24500</v>
      </c>
    </row>
    <row r="115" spans="1:6">
      <c r="A115" s="685"/>
      <c r="B115" s="686">
        <v>603</v>
      </c>
      <c r="C115" s="687">
        <v>1670554</v>
      </c>
      <c r="D115" s="688" t="s">
        <v>68</v>
      </c>
      <c r="E115" s="689">
        <v>0.1</v>
      </c>
      <c r="F115" s="687">
        <f t="shared" si="1"/>
        <v>167055.40000000002</v>
      </c>
    </row>
    <row r="116" spans="1:6">
      <c r="A116" s="685"/>
      <c r="B116" s="686">
        <v>1647</v>
      </c>
      <c r="C116" s="687">
        <v>51567</v>
      </c>
      <c r="D116" s="688" t="s">
        <v>68</v>
      </c>
      <c r="E116" s="689">
        <v>0.01</v>
      </c>
      <c r="F116" s="687">
        <f t="shared" si="1"/>
        <v>515.66999999999996</v>
      </c>
    </row>
    <row r="117" spans="1:6">
      <c r="A117" s="685"/>
      <c r="B117" s="686">
        <v>1621</v>
      </c>
      <c r="C117" s="687">
        <v>106100</v>
      </c>
      <c r="D117" s="688" t="s">
        <v>68</v>
      </c>
      <c r="E117" s="689">
        <v>0.01</v>
      </c>
      <c r="F117" s="687">
        <f t="shared" si="1"/>
        <v>1061</v>
      </c>
    </row>
    <row r="118" spans="1:6">
      <c r="A118" s="685"/>
      <c r="B118" s="686">
        <v>1607</v>
      </c>
      <c r="C118" s="687">
        <v>246150</v>
      </c>
      <c r="D118" s="688" t="s">
        <v>68</v>
      </c>
      <c r="E118" s="689">
        <v>0.01</v>
      </c>
      <c r="F118" s="687">
        <f t="shared" si="1"/>
        <v>2461.5</v>
      </c>
    </row>
    <row r="119" spans="1:6">
      <c r="A119" s="685"/>
      <c r="B119" s="686">
        <v>1921</v>
      </c>
      <c r="C119" s="687">
        <v>1890000</v>
      </c>
      <c r="D119" s="688" t="s">
        <v>68</v>
      </c>
      <c r="E119" s="689">
        <v>0.01</v>
      </c>
      <c r="F119" s="687">
        <f t="shared" si="1"/>
        <v>18900</v>
      </c>
    </row>
    <row r="120" spans="1:6">
      <c r="A120" s="685"/>
      <c r="B120" s="686">
        <v>1010</v>
      </c>
      <c r="C120" s="687">
        <v>4975814</v>
      </c>
      <c r="D120" s="688" t="s">
        <v>68</v>
      </c>
      <c r="E120" s="689">
        <v>0.05</v>
      </c>
      <c r="F120" s="687">
        <f t="shared" si="1"/>
        <v>248790.7</v>
      </c>
    </row>
    <row r="121" spans="1:6">
      <c r="A121" s="685"/>
      <c r="B121" s="686">
        <v>2064</v>
      </c>
      <c r="C121" s="687">
        <v>722438</v>
      </c>
      <c r="D121" s="688" t="s">
        <v>68</v>
      </c>
      <c r="E121" s="689">
        <v>0.01</v>
      </c>
      <c r="F121" s="687">
        <f t="shared" si="1"/>
        <v>7224.38</v>
      </c>
    </row>
    <row r="122" spans="1:6">
      <c r="A122" s="688"/>
      <c r="B122" s="686">
        <v>670</v>
      </c>
      <c r="C122" s="687">
        <v>500000</v>
      </c>
      <c r="D122" s="688" t="s">
        <v>114</v>
      </c>
      <c r="E122" s="689">
        <v>0.5</v>
      </c>
      <c r="F122" s="687">
        <f t="shared" si="1"/>
        <v>250000</v>
      </c>
    </row>
    <row r="123" spans="1:6">
      <c r="A123" s="685"/>
      <c r="B123" s="686">
        <v>1760</v>
      </c>
      <c r="C123" s="687">
        <v>9000000</v>
      </c>
      <c r="D123" s="688" t="s">
        <v>68</v>
      </c>
      <c r="E123" s="689">
        <v>0.01</v>
      </c>
      <c r="F123" s="687">
        <f t="shared" si="1"/>
        <v>90000</v>
      </c>
    </row>
    <row r="124" spans="1:6">
      <c r="A124" s="685"/>
      <c r="B124" s="686">
        <v>951</v>
      </c>
      <c r="C124" s="687">
        <v>672162</v>
      </c>
      <c r="D124" s="688" t="s">
        <v>68</v>
      </c>
      <c r="E124" s="689">
        <v>0.05</v>
      </c>
      <c r="F124" s="687">
        <f t="shared" si="1"/>
        <v>33608.1</v>
      </c>
    </row>
    <row r="125" spans="1:6">
      <c r="A125" s="685"/>
      <c r="B125" s="686">
        <v>919</v>
      </c>
      <c r="C125" s="687">
        <v>64200</v>
      </c>
      <c r="D125" s="688" t="s">
        <v>68</v>
      </c>
      <c r="E125" s="689">
        <v>0.05</v>
      </c>
      <c r="F125" s="687">
        <f t="shared" si="1"/>
        <v>3210</v>
      </c>
    </row>
    <row r="126" spans="1:6">
      <c r="A126" s="685"/>
      <c r="B126" s="686">
        <v>903</v>
      </c>
      <c r="C126" s="687">
        <v>36100</v>
      </c>
      <c r="D126" s="688" t="s">
        <v>68</v>
      </c>
      <c r="E126" s="689">
        <v>0.05</v>
      </c>
      <c r="F126" s="687">
        <f t="shared" si="1"/>
        <v>1805</v>
      </c>
    </row>
    <row r="127" spans="1:6">
      <c r="A127" s="685"/>
      <c r="B127" s="686">
        <v>896</v>
      </c>
      <c r="C127" s="687">
        <v>396650</v>
      </c>
      <c r="D127" s="688" t="s">
        <v>68</v>
      </c>
      <c r="E127" s="689">
        <v>0.05</v>
      </c>
      <c r="F127" s="687">
        <f t="shared" si="1"/>
        <v>19832.5</v>
      </c>
    </row>
    <row r="128" spans="1:6">
      <c r="A128" s="685"/>
      <c r="B128" s="686">
        <v>882</v>
      </c>
      <c r="C128" s="687">
        <v>136600</v>
      </c>
      <c r="D128" s="688" t="s">
        <v>68</v>
      </c>
      <c r="E128" s="689">
        <v>0.05</v>
      </c>
      <c r="F128" s="687">
        <f t="shared" si="1"/>
        <v>6830</v>
      </c>
    </row>
    <row r="129" spans="1:6">
      <c r="A129" s="685"/>
      <c r="B129" s="686">
        <v>570</v>
      </c>
      <c r="C129" s="687">
        <v>656250</v>
      </c>
      <c r="D129" s="688" t="s">
        <v>68</v>
      </c>
      <c r="E129" s="689">
        <v>0.1</v>
      </c>
      <c r="F129" s="687">
        <f t="shared" si="1"/>
        <v>65625</v>
      </c>
    </row>
    <row r="130" spans="1:6">
      <c r="A130" s="685"/>
      <c r="B130" s="686">
        <v>2507</v>
      </c>
      <c r="C130" s="687">
        <v>81739</v>
      </c>
      <c r="D130" s="688" t="s">
        <v>68</v>
      </c>
      <c r="E130" s="689">
        <v>0.01</v>
      </c>
      <c r="F130" s="687">
        <f t="shared" si="1"/>
        <v>817.39</v>
      </c>
    </row>
    <row r="131" spans="1:6">
      <c r="A131" s="685"/>
      <c r="B131" s="686">
        <v>2724</v>
      </c>
      <c r="C131" s="687">
        <v>1938695</v>
      </c>
      <c r="D131" s="688" t="s">
        <v>114</v>
      </c>
      <c r="E131" s="689">
        <v>0.5</v>
      </c>
      <c r="F131" s="687">
        <f t="shared" ref="F131:F194" si="2">+C131*E131</f>
        <v>969347.5</v>
      </c>
    </row>
    <row r="132" spans="1:6">
      <c r="A132" s="685"/>
      <c r="B132" s="686">
        <v>2716</v>
      </c>
      <c r="C132" s="687">
        <v>2018106</v>
      </c>
      <c r="D132" s="688" t="s">
        <v>114</v>
      </c>
      <c r="E132" s="689">
        <v>0.5</v>
      </c>
      <c r="F132" s="687">
        <f t="shared" si="2"/>
        <v>1009053</v>
      </c>
    </row>
    <row r="133" spans="1:6">
      <c r="A133" s="685"/>
      <c r="B133" s="686">
        <v>2708</v>
      </c>
      <c r="C133" s="687">
        <v>1872318</v>
      </c>
      <c r="D133" s="688" t="s">
        <v>114</v>
      </c>
      <c r="E133" s="689">
        <v>0.5</v>
      </c>
      <c r="F133" s="687">
        <f t="shared" si="2"/>
        <v>936159</v>
      </c>
    </row>
    <row r="134" spans="1:6">
      <c r="A134" s="685"/>
      <c r="B134" s="686">
        <v>2704</v>
      </c>
      <c r="C134" s="687">
        <v>2724</v>
      </c>
      <c r="D134" s="688" t="s">
        <v>114</v>
      </c>
      <c r="E134" s="689">
        <v>0.5</v>
      </c>
      <c r="F134" s="687">
        <f t="shared" si="2"/>
        <v>1362</v>
      </c>
    </row>
    <row r="135" spans="1:6">
      <c r="A135" s="685"/>
      <c r="B135" s="686">
        <v>2697</v>
      </c>
      <c r="C135" s="687">
        <v>1884377</v>
      </c>
      <c r="D135" s="688" t="s">
        <v>114</v>
      </c>
      <c r="E135" s="689">
        <v>0.5</v>
      </c>
      <c r="F135" s="687">
        <f t="shared" si="2"/>
        <v>942188.5</v>
      </c>
    </row>
    <row r="136" spans="1:6">
      <c r="A136" s="685"/>
      <c r="B136" s="686">
        <v>2690</v>
      </c>
      <c r="C136" s="687">
        <v>2141887</v>
      </c>
      <c r="D136" s="688" t="s">
        <v>114</v>
      </c>
      <c r="E136" s="689">
        <v>0.5</v>
      </c>
      <c r="F136" s="687">
        <f t="shared" si="2"/>
        <v>1070943.5</v>
      </c>
    </row>
    <row r="137" spans="1:6">
      <c r="A137" s="685"/>
      <c r="B137" s="686">
        <v>2683</v>
      </c>
      <c r="C137" s="687">
        <v>2195326</v>
      </c>
      <c r="D137" s="688" t="s">
        <v>114</v>
      </c>
      <c r="E137" s="689">
        <v>0.5</v>
      </c>
      <c r="F137" s="687">
        <f t="shared" si="2"/>
        <v>1097663</v>
      </c>
    </row>
    <row r="138" spans="1:6">
      <c r="A138" s="685"/>
      <c r="B138" s="686">
        <v>2652</v>
      </c>
      <c r="C138" s="687">
        <v>762136</v>
      </c>
      <c r="D138" s="688" t="s">
        <v>114</v>
      </c>
      <c r="E138" s="689">
        <v>0.5</v>
      </c>
      <c r="F138" s="687">
        <f t="shared" si="2"/>
        <v>381068</v>
      </c>
    </row>
    <row r="139" spans="1:6">
      <c r="A139" s="685"/>
      <c r="B139" s="686">
        <v>595</v>
      </c>
      <c r="C139" s="687">
        <v>743400</v>
      </c>
      <c r="D139" s="688" t="s">
        <v>68</v>
      </c>
      <c r="E139" s="689">
        <v>0.1</v>
      </c>
      <c r="F139" s="687">
        <f t="shared" si="2"/>
        <v>74340</v>
      </c>
    </row>
    <row r="140" spans="1:6">
      <c r="A140" s="685"/>
      <c r="B140" s="686">
        <v>1385</v>
      </c>
      <c r="C140" s="687">
        <v>9670</v>
      </c>
      <c r="D140" s="688" t="s">
        <v>114</v>
      </c>
      <c r="E140" s="689">
        <v>0.5</v>
      </c>
      <c r="F140" s="687">
        <f t="shared" si="2"/>
        <v>4835</v>
      </c>
    </row>
    <row r="141" spans="1:6">
      <c r="A141" s="685"/>
      <c r="B141" s="686">
        <v>1372</v>
      </c>
      <c r="C141" s="687">
        <v>163419</v>
      </c>
      <c r="D141" s="688" t="s">
        <v>114</v>
      </c>
      <c r="E141" s="689">
        <v>0.5</v>
      </c>
      <c r="F141" s="687">
        <f t="shared" si="2"/>
        <v>81709.5</v>
      </c>
    </row>
    <row r="142" spans="1:6">
      <c r="A142" s="685"/>
      <c r="B142" s="686">
        <v>1366</v>
      </c>
      <c r="C142" s="687">
        <v>235850</v>
      </c>
      <c r="D142" s="688" t="s">
        <v>114</v>
      </c>
      <c r="E142" s="689">
        <v>0.5</v>
      </c>
      <c r="F142" s="687">
        <f t="shared" si="2"/>
        <v>117925</v>
      </c>
    </row>
    <row r="143" spans="1:6">
      <c r="A143" s="685"/>
      <c r="B143" s="686">
        <v>1470</v>
      </c>
      <c r="C143" s="687">
        <v>58850</v>
      </c>
      <c r="D143" s="688" t="s">
        <v>114</v>
      </c>
      <c r="E143" s="689">
        <v>0.5</v>
      </c>
      <c r="F143" s="687">
        <f t="shared" si="2"/>
        <v>29425</v>
      </c>
    </row>
    <row r="144" spans="1:6">
      <c r="A144" s="685"/>
      <c r="B144" s="686">
        <v>1496</v>
      </c>
      <c r="C144" s="687">
        <v>154000</v>
      </c>
      <c r="D144" s="688" t="s">
        <v>68</v>
      </c>
      <c r="E144" s="689">
        <v>0.01</v>
      </c>
      <c r="F144" s="687">
        <f t="shared" si="2"/>
        <v>1540</v>
      </c>
    </row>
    <row r="145" spans="1:6">
      <c r="A145" s="685"/>
      <c r="B145" s="686">
        <v>1541</v>
      </c>
      <c r="C145" s="687">
        <v>644000</v>
      </c>
      <c r="D145" s="688" t="s">
        <v>68</v>
      </c>
      <c r="E145" s="689">
        <v>0.01</v>
      </c>
      <c r="F145" s="687">
        <f t="shared" si="2"/>
        <v>6440</v>
      </c>
    </row>
    <row r="146" spans="1:6">
      <c r="A146" s="685"/>
      <c r="B146" s="686">
        <v>1513</v>
      </c>
      <c r="C146" s="687">
        <v>892500</v>
      </c>
      <c r="D146" s="688" t="s">
        <v>68</v>
      </c>
      <c r="E146" s="689">
        <v>0.01</v>
      </c>
      <c r="F146" s="687">
        <f t="shared" si="2"/>
        <v>8925</v>
      </c>
    </row>
    <row r="147" spans="1:6">
      <c r="A147" s="685"/>
      <c r="B147" s="686">
        <v>1483</v>
      </c>
      <c r="C147" s="687">
        <v>956250</v>
      </c>
      <c r="D147" s="688" t="s">
        <v>68</v>
      </c>
      <c r="E147" s="689">
        <v>0.01</v>
      </c>
      <c r="F147" s="687">
        <f t="shared" si="2"/>
        <v>9562.5</v>
      </c>
    </row>
    <row r="148" spans="1:6">
      <c r="A148" s="685"/>
      <c r="B148" s="686">
        <v>1456</v>
      </c>
      <c r="C148" s="687">
        <v>127500</v>
      </c>
      <c r="D148" s="688" t="s">
        <v>68</v>
      </c>
      <c r="E148" s="689">
        <v>0.01</v>
      </c>
      <c r="F148" s="687">
        <f t="shared" si="2"/>
        <v>1275</v>
      </c>
    </row>
    <row r="149" spans="1:6">
      <c r="A149" s="685"/>
      <c r="B149" s="686">
        <v>1545</v>
      </c>
      <c r="C149" s="687">
        <v>2126122</v>
      </c>
      <c r="D149" s="688" t="s">
        <v>68</v>
      </c>
      <c r="E149" s="689">
        <v>0.01</v>
      </c>
      <c r="F149" s="687">
        <f t="shared" si="2"/>
        <v>21261.22</v>
      </c>
    </row>
    <row r="150" spans="1:6">
      <c r="A150" s="685"/>
      <c r="B150" s="686">
        <v>602</v>
      </c>
      <c r="C150" s="687">
        <v>56200</v>
      </c>
      <c r="D150" s="688" t="s">
        <v>68</v>
      </c>
      <c r="E150" s="689">
        <v>0.1</v>
      </c>
      <c r="F150" s="687">
        <f t="shared" si="2"/>
        <v>5620</v>
      </c>
    </row>
    <row r="151" spans="1:6">
      <c r="A151" s="685"/>
      <c r="B151" s="686">
        <v>1619</v>
      </c>
      <c r="C151" s="687">
        <v>778650</v>
      </c>
      <c r="D151" s="688" t="s">
        <v>68</v>
      </c>
      <c r="E151" s="689">
        <v>0.01</v>
      </c>
      <c r="F151" s="687">
        <f t="shared" si="2"/>
        <v>7786.5</v>
      </c>
    </row>
    <row r="152" spans="1:6">
      <c r="A152" s="685"/>
      <c r="B152" s="686">
        <v>582</v>
      </c>
      <c r="C152" s="687">
        <v>7113600</v>
      </c>
      <c r="D152" s="688" t="s">
        <v>68</v>
      </c>
      <c r="E152" s="689">
        <v>0.1</v>
      </c>
      <c r="F152" s="687">
        <f t="shared" si="2"/>
        <v>711360</v>
      </c>
    </row>
    <row r="153" spans="1:6">
      <c r="A153" s="685"/>
      <c r="B153" s="686">
        <v>1510</v>
      </c>
      <c r="C153" s="687">
        <v>505350</v>
      </c>
      <c r="D153" s="688" t="s">
        <v>68</v>
      </c>
      <c r="E153" s="689">
        <v>0.01</v>
      </c>
      <c r="F153" s="687">
        <f t="shared" si="2"/>
        <v>5053.5</v>
      </c>
    </row>
    <row r="154" spans="1:6">
      <c r="A154" s="685"/>
      <c r="B154" s="686">
        <v>575</v>
      </c>
      <c r="C154" s="687">
        <v>1738400</v>
      </c>
      <c r="D154" s="688" t="s">
        <v>68</v>
      </c>
      <c r="E154" s="689">
        <v>0.1</v>
      </c>
      <c r="F154" s="687">
        <f t="shared" si="2"/>
        <v>173840</v>
      </c>
    </row>
    <row r="155" spans="1:6">
      <c r="A155" s="685"/>
      <c r="B155" s="686">
        <v>590</v>
      </c>
      <c r="C155" s="687">
        <v>1242500</v>
      </c>
      <c r="D155" s="688" t="s">
        <v>68</v>
      </c>
      <c r="E155" s="689">
        <v>0.1</v>
      </c>
      <c r="F155" s="687">
        <f t="shared" si="2"/>
        <v>124250</v>
      </c>
    </row>
    <row r="156" spans="1:6">
      <c r="A156" s="685"/>
      <c r="B156" s="686">
        <v>1492</v>
      </c>
      <c r="C156" s="687">
        <v>361700</v>
      </c>
      <c r="D156" s="688" t="s">
        <v>68</v>
      </c>
      <c r="E156" s="689">
        <v>0.01</v>
      </c>
      <c r="F156" s="687">
        <f t="shared" si="2"/>
        <v>3617</v>
      </c>
    </row>
    <row r="157" spans="1:6">
      <c r="A157" s="685"/>
      <c r="B157" s="686">
        <v>1492</v>
      </c>
      <c r="C157" s="687">
        <v>942350</v>
      </c>
      <c r="D157" s="688" t="s">
        <v>68</v>
      </c>
      <c r="E157" s="689">
        <v>0.01</v>
      </c>
      <c r="F157" s="687">
        <f t="shared" si="2"/>
        <v>9423.5</v>
      </c>
    </row>
    <row r="158" spans="1:6">
      <c r="A158" s="685"/>
      <c r="B158" s="686">
        <v>1464</v>
      </c>
      <c r="C158" s="687">
        <v>1126500</v>
      </c>
      <c r="D158" s="688" t="s">
        <v>68</v>
      </c>
      <c r="E158" s="689">
        <v>0.01</v>
      </c>
      <c r="F158" s="687">
        <f t="shared" si="2"/>
        <v>11265</v>
      </c>
    </row>
    <row r="159" spans="1:6">
      <c r="A159" s="685"/>
      <c r="B159" s="686">
        <v>2144</v>
      </c>
      <c r="C159" s="687">
        <v>22397</v>
      </c>
      <c r="D159" s="688" t="s">
        <v>68</v>
      </c>
      <c r="E159" s="689">
        <v>0.01</v>
      </c>
      <c r="F159" s="687">
        <f t="shared" si="2"/>
        <v>223.97</v>
      </c>
    </row>
    <row r="160" spans="1:6">
      <c r="A160" s="685"/>
      <c r="B160" s="686">
        <v>2168</v>
      </c>
      <c r="C160" s="687">
        <v>60652</v>
      </c>
      <c r="D160" s="688" t="s">
        <v>68</v>
      </c>
      <c r="E160" s="689">
        <v>0.01</v>
      </c>
      <c r="F160" s="687">
        <f t="shared" si="2"/>
        <v>606.52</v>
      </c>
    </row>
    <row r="161" spans="1:6">
      <c r="A161" s="685"/>
      <c r="B161" s="686">
        <v>2135</v>
      </c>
      <c r="C161" s="687">
        <v>132504</v>
      </c>
      <c r="D161" s="688" t="s">
        <v>68</v>
      </c>
      <c r="E161" s="689">
        <v>0.01</v>
      </c>
      <c r="F161" s="687">
        <f t="shared" si="2"/>
        <v>1325.04</v>
      </c>
    </row>
    <row r="162" spans="1:6">
      <c r="A162" s="685"/>
      <c r="B162" s="686">
        <v>2135</v>
      </c>
      <c r="C162" s="687">
        <v>16997</v>
      </c>
      <c r="D162" s="688" t="s">
        <v>68</v>
      </c>
      <c r="E162" s="689">
        <v>0.01</v>
      </c>
      <c r="F162" s="687">
        <f t="shared" si="2"/>
        <v>169.97</v>
      </c>
    </row>
    <row r="163" spans="1:6">
      <c r="A163" s="685"/>
      <c r="B163" s="686">
        <v>2135</v>
      </c>
      <c r="C163" s="687">
        <v>23085</v>
      </c>
      <c r="D163" s="688" t="s">
        <v>68</v>
      </c>
      <c r="E163" s="689">
        <v>0.01</v>
      </c>
      <c r="F163" s="687">
        <f t="shared" si="2"/>
        <v>230.85</v>
      </c>
    </row>
    <row r="164" spans="1:6">
      <c r="A164" s="685"/>
      <c r="B164" s="686">
        <v>2114</v>
      </c>
      <c r="C164" s="687">
        <v>42447</v>
      </c>
      <c r="D164" s="688" t="s">
        <v>68</v>
      </c>
      <c r="E164" s="689">
        <v>0.01</v>
      </c>
      <c r="F164" s="687">
        <f t="shared" si="2"/>
        <v>424.47</v>
      </c>
    </row>
    <row r="165" spans="1:6">
      <c r="A165" s="685"/>
      <c r="B165" s="686">
        <v>2109</v>
      </c>
      <c r="C165" s="687">
        <v>20907</v>
      </c>
      <c r="D165" s="688" t="s">
        <v>68</v>
      </c>
      <c r="E165" s="689">
        <v>0.01</v>
      </c>
      <c r="F165" s="687">
        <f t="shared" si="2"/>
        <v>209.07</v>
      </c>
    </row>
    <row r="166" spans="1:6">
      <c r="A166" s="685"/>
      <c r="B166" s="686">
        <v>2136</v>
      </c>
      <c r="C166" s="687">
        <v>42447</v>
      </c>
      <c r="D166" s="688" t="s">
        <v>68</v>
      </c>
      <c r="E166" s="689">
        <v>0.01</v>
      </c>
      <c r="F166" s="687">
        <f t="shared" si="2"/>
        <v>424.47</v>
      </c>
    </row>
    <row r="167" spans="1:6">
      <c r="A167" s="685"/>
      <c r="B167" s="686">
        <v>2134</v>
      </c>
      <c r="C167" s="687">
        <v>24810</v>
      </c>
      <c r="D167" s="688" t="s">
        <v>68</v>
      </c>
      <c r="E167" s="689">
        <v>0.01</v>
      </c>
      <c r="F167" s="687">
        <f t="shared" si="2"/>
        <v>248.1</v>
      </c>
    </row>
    <row r="168" spans="1:6">
      <c r="A168" s="685"/>
      <c r="B168" s="686">
        <v>2133</v>
      </c>
      <c r="C168" s="687">
        <v>21224</v>
      </c>
      <c r="D168" s="688" t="s">
        <v>68</v>
      </c>
      <c r="E168" s="689">
        <v>0.01</v>
      </c>
      <c r="F168" s="687">
        <f t="shared" si="2"/>
        <v>212.24</v>
      </c>
    </row>
    <row r="169" spans="1:6">
      <c r="A169" s="685"/>
      <c r="B169" s="686">
        <v>894</v>
      </c>
      <c r="C169" s="687">
        <v>3472450</v>
      </c>
      <c r="D169" s="688" t="s">
        <v>68</v>
      </c>
      <c r="E169" s="689">
        <v>0.05</v>
      </c>
      <c r="F169" s="687">
        <f t="shared" si="2"/>
        <v>173622.5</v>
      </c>
    </row>
    <row r="170" spans="1:6">
      <c r="A170" s="685"/>
      <c r="B170" s="686">
        <v>1106</v>
      </c>
      <c r="C170" s="687">
        <v>75500</v>
      </c>
      <c r="D170" s="688" t="s">
        <v>68</v>
      </c>
      <c r="E170" s="689">
        <v>0.01</v>
      </c>
      <c r="F170" s="687">
        <f t="shared" si="2"/>
        <v>755</v>
      </c>
    </row>
    <row r="171" spans="1:6">
      <c r="A171" s="685"/>
      <c r="B171" s="686">
        <v>1077</v>
      </c>
      <c r="C171" s="687">
        <v>81750</v>
      </c>
      <c r="D171" s="688" t="s">
        <v>68</v>
      </c>
      <c r="E171" s="689">
        <v>0.05</v>
      </c>
      <c r="F171" s="687">
        <f t="shared" si="2"/>
        <v>4087.5</v>
      </c>
    </row>
    <row r="172" spans="1:6">
      <c r="A172" s="685"/>
      <c r="B172" s="686">
        <v>1061</v>
      </c>
      <c r="C172" s="687">
        <v>869350</v>
      </c>
      <c r="D172" s="688" t="s">
        <v>68</v>
      </c>
      <c r="E172" s="689">
        <v>0.05</v>
      </c>
      <c r="F172" s="687">
        <f t="shared" si="2"/>
        <v>43467.5</v>
      </c>
    </row>
    <row r="173" spans="1:6">
      <c r="A173" s="685"/>
      <c r="B173" s="686">
        <v>1054</v>
      </c>
      <c r="C173" s="687">
        <v>102500</v>
      </c>
      <c r="D173" s="688" t="s">
        <v>68</v>
      </c>
      <c r="E173" s="689">
        <v>0.05</v>
      </c>
      <c r="F173" s="687">
        <f t="shared" si="2"/>
        <v>5125</v>
      </c>
    </row>
    <row r="174" spans="1:6">
      <c r="A174" s="685"/>
      <c r="B174" s="686">
        <v>2258</v>
      </c>
      <c r="C174" s="687">
        <v>438000</v>
      </c>
      <c r="D174" s="688" t="s">
        <v>68</v>
      </c>
      <c r="E174" s="689">
        <v>0.01</v>
      </c>
      <c r="F174" s="687">
        <f t="shared" si="2"/>
        <v>4380</v>
      </c>
    </row>
    <row r="175" spans="1:6">
      <c r="A175" s="685"/>
      <c r="B175" s="686">
        <v>2949</v>
      </c>
      <c r="C175" s="687">
        <v>136259</v>
      </c>
      <c r="D175" s="688" t="s">
        <v>68</v>
      </c>
      <c r="E175" s="689">
        <v>0.01</v>
      </c>
      <c r="F175" s="687">
        <f t="shared" si="2"/>
        <v>1362.59</v>
      </c>
    </row>
    <row r="176" spans="1:6">
      <c r="A176" s="685"/>
      <c r="B176" s="686">
        <v>2926</v>
      </c>
      <c r="C176" s="687">
        <v>95361</v>
      </c>
      <c r="D176" s="688" t="s">
        <v>68</v>
      </c>
      <c r="E176" s="689">
        <v>0.01</v>
      </c>
      <c r="F176" s="687">
        <f t="shared" si="2"/>
        <v>953.61</v>
      </c>
    </row>
    <row r="177" spans="1:6">
      <c r="A177" s="685"/>
      <c r="B177" s="686">
        <v>1948</v>
      </c>
      <c r="C177" s="687">
        <v>24643</v>
      </c>
      <c r="D177" s="688" t="s">
        <v>68</v>
      </c>
      <c r="E177" s="689">
        <v>0.01</v>
      </c>
      <c r="F177" s="687">
        <f t="shared" si="2"/>
        <v>246.43</v>
      </c>
    </row>
    <row r="178" spans="1:6">
      <c r="A178" s="685"/>
      <c r="B178" s="686">
        <v>2531</v>
      </c>
      <c r="C178" s="687">
        <v>152000</v>
      </c>
      <c r="D178" s="688" t="s">
        <v>68</v>
      </c>
      <c r="E178" s="689">
        <v>0.01</v>
      </c>
      <c r="F178" s="687">
        <f t="shared" si="2"/>
        <v>1520</v>
      </c>
    </row>
    <row r="179" spans="1:6">
      <c r="A179" s="685"/>
      <c r="B179" s="686">
        <v>1926</v>
      </c>
      <c r="C179" s="687">
        <v>183000</v>
      </c>
      <c r="D179" s="688" t="s">
        <v>68</v>
      </c>
      <c r="E179" s="689">
        <v>0.01</v>
      </c>
      <c r="F179" s="687">
        <f t="shared" si="2"/>
        <v>1830</v>
      </c>
    </row>
    <row r="180" spans="1:6">
      <c r="A180" s="685"/>
      <c r="B180" s="686">
        <v>1926</v>
      </c>
      <c r="C180" s="687">
        <v>651100</v>
      </c>
      <c r="D180" s="688" t="s">
        <v>68</v>
      </c>
      <c r="E180" s="689">
        <v>0.01</v>
      </c>
      <c r="F180" s="687">
        <f t="shared" si="2"/>
        <v>6511</v>
      </c>
    </row>
    <row r="181" spans="1:6">
      <c r="A181" s="685"/>
      <c r="B181" s="686">
        <v>2843</v>
      </c>
      <c r="C181" s="687">
        <v>1591800</v>
      </c>
      <c r="D181" s="688" t="s">
        <v>68</v>
      </c>
      <c r="E181" s="689">
        <v>0.01</v>
      </c>
      <c r="F181" s="687">
        <f t="shared" si="2"/>
        <v>15918</v>
      </c>
    </row>
    <row r="182" spans="1:6">
      <c r="A182" s="685"/>
      <c r="B182" s="686">
        <v>1906</v>
      </c>
      <c r="C182" s="687">
        <v>59700</v>
      </c>
      <c r="D182" s="688" t="s">
        <v>68</v>
      </c>
      <c r="E182" s="689">
        <v>0.01</v>
      </c>
      <c r="F182" s="687">
        <f t="shared" si="2"/>
        <v>597</v>
      </c>
    </row>
    <row r="183" spans="1:6">
      <c r="A183" s="685"/>
      <c r="B183" s="686">
        <v>1836</v>
      </c>
      <c r="C183" s="687">
        <v>1547000</v>
      </c>
      <c r="D183" s="688" t="s">
        <v>68</v>
      </c>
      <c r="E183" s="689">
        <v>0.01</v>
      </c>
      <c r="F183" s="687">
        <f t="shared" si="2"/>
        <v>15470</v>
      </c>
    </row>
    <row r="184" spans="1:6">
      <c r="A184" s="685"/>
      <c r="B184" s="686">
        <v>1834</v>
      </c>
      <c r="C184" s="687">
        <v>7162000</v>
      </c>
      <c r="D184" s="688" t="s">
        <v>68</v>
      </c>
      <c r="E184" s="689">
        <v>0.01</v>
      </c>
      <c r="F184" s="687">
        <f t="shared" si="2"/>
        <v>71620</v>
      </c>
    </row>
    <row r="185" spans="1:6">
      <c r="A185" s="685"/>
      <c r="B185" s="686">
        <v>1832</v>
      </c>
      <c r="C185" s="687">
        <v>1466350</v>
      </c>
      <c r="D185" s="688" t="s">
        <v>68</v>
      </c>
      <c r="E185" s="689">
        <v>0.01</v>
      </c>
      <c r="F185" s="687">
        <f t="shared" si="2"/>
        <v>14663.5</v>
      </c>
    </row>
    <row r="186" spans="1:6">
      <c r="A186" s="685"/>
      <c r="B186" s="686">
        <v>1832</v>
      </c>
      <c r="C186" s="687">
        <v>2350000</v>
      </c>
      <c r="D186" s="688" t="s">
        <v>68</v>
      </c>
      <c r="E186" s="689">
        <v>0.01</v>
      </c>
      <c r="F186" s="687">
        <f t="shared" si="2"/>
        <v>23500</v>
      </c>
    </row>
    <row r="187" spans="1:6">
      <c r="A187" s="685"/>
      <c r="B187" s="686">
        <v>1831</v>
      </c>
      <c r="C187" s="687">
        <v>23570050</v>
      </c>
      <c r="D187" s="688" t="s">
        <v>68</v>
      </c>
      <c r="E187" s="689">
        <v>0.01</v>
      </c>
      <c r="F187" s="687">
        <f t="shared" si="2"/>
        <v>235700.5</v>
      </c>
    </row>
    <row r="188" spans="1:6">
      <c r="A188" s="685"/>
      <c r="B188" s="686">
        <v>1831</v>
      </c>
      <c r="C188" s="687">
        <v>1430000</v>
      </c>
      <c r="D188" s="688" t="s">
        <v>68</v>
      </c>
      <c r="E188" s="689">
        <v>0.01</v>
      </c>
      <c r="F188" s="687">
        <f t="shared" si="2"/>
        <v>14300</v>
      </c>
    </row>
    <row r="189" spans="1:6">
      <c r="A189" s="685"/>
      <c r="B189" s="686">
        <v>1831</v>
      </c>
      <c r="C189" s="687">
        <v>1560000</v>
      </c>
      <c r="D189" s="688" t="s">
        <v>68</v>
      </c>
      <c r="E189" s="689">
        <v>0.01</v>
      </c>
      <c r="F189" s="687">
        <f t="shared" si="2"/>
        <v>15600</v>
      </c>
    </row>
    <row r="190" spans="1:6">
      <c r="A190" s="685"/>
      <c r="B190" s="686">
        <v>1827</v>
      </c>
      <c r="C190" s="687">
        <v>1560000</v>
      </c>
      <c r="D190" s="688" t="s">
        <v>68</v>
      </c>
      <c r="E190" s="689">
        <v>0.01</v>
      </c>
      <c r="F190" s="687">
        <f t="shared" si="2"/>
        <v>15600</v>
      </c>
    </row>
    <row r="191" spans="1:6">
      <c r="A191" s="685"/>
      <c r="B191" s="686">
        <v>1819</v>
      </c>
      <c r="C191" s="687">
        <v>43700000</v>
      </c>
      <c r="D191" s="688" t="s">
        <v>68</v>
      </c>
      <c r="E191" s="689">
        <v>0.01</v>
      </c>
      <c r="F191" s="687">
        <f t="shared" si="2"/>
        <v>437000</v>
      </c>
    </row>
    <row r="192" spans="1:6">
      <c r="A192" s="685"/>
      <c r="B192" s="686">
        <v>629</v>
      </c>
      <c r="C192" s="687">
        <v>249250</v>
      </c>
      <c r="D192" s="688" t="s">
        <v>68</v>
      </c>
      <c r="E192" s="689">
        <v>0.1</v>
      </c>
      <c r="F192" s="687">
        <f t="shared" si="2"/>
        <v>24925</v>
      </c>
    </row>
    <row r="193" spans="1:6">
      <c r="A193" s="685"/>
      <c r="B193" s="686">
        <v>1246</v>
      </c>
      <c r="C193" s="687">
        <v>1380000</v>
      </c>
      <c r="D193" s="688" t="s">
        <v>68</v>
      </c>
      <c r="E193" s="689">
        <v>0.01</v>
      </c>
      <c r="F193" s="687">
        <f t="shared" si="2"/>
        <v>13800</v>
      </c>
    </row>
    <row r="194" spans="1:6">
      <c r="A194" s="685"/>
      <c r="B194" s="686">
        <v>1241</v>
      </c>
      <c r="C194" s="687">
        <v>1653000</v>
      </c>
      <c r="D194" s="688" t="s">
        <v>68</v>
      </c>
      <c r="E194" s="689">
        <v>0.01</v>
      </c>
      <c r="F194" s="687">
        <f t="shared" si="2"/>
        <v>16530</v>
      </c>
    </row>
    <row r="195" spans="1:6">
      <c r="A195" s="685"/>
      <c r="B195" s="686">
        <v>1500</v>
      </c>
      <c r="C195" s="687">
        <v>2565500</v>
      </c>
      <c r="D195" s="688" t="s">
        <v>68</v>
      </c>
      <c r="E195" s="689">
        <v>0.01</v>
      </c>
      <c r="F195" s="687">
        <f t="shared" ref="F195:F258" si="3">+C195*E195</f>
        <v>25655</v>
      </c>
    </row>
    <row r="196" spans="1:6">
      <c r="A196" s="685"/>
      <c r="B196" s="686">
        <v>1785</v>
      </c>
      <c r="C196" s="687">
        <v>2533680</v>
      </c>
      <c r="D196" s="688" t="s">
        <v>68</v>
      </c>
      <c r="E196" s="689">
        <v>0.01</v>
      </c>
      <c r="F196" s="687">
        <f t="shared" si="3"/>
        <v>25336.799999999999</v>
      </c>
    </row>
    <row r="197" spans="1:6">
      <c r="A197" s="685"/>
      <c r="B197" s="686">
        <v>1390</v>
      </c>
      <c r="C197" s="687">
        <v>25684</v>
      </c>
      <c r="D197" s="688" t="s">
        <v>68</v>
      </c>
      <c r="E197" s="689">
        <v>0.01</v>
      </c>
      <c r="F197" s="687">
        <f t="shared" si="3"/>
        <v>256.84000000000003</v>
      </c>
    </row>
    <row r="198" spans="1:6">
      <c r="A198" s="685"/>
      <c r="B198" s="686">
        <v>1381</v>
      </c>
      <c r="C198" s="687">
        <v>76600</v>
      </c>
      <c r="D198" s="688" t="s">
        <v>68</v>
      </c>
      <c r="E198" s="689">
        <v>0.01</v>
      </c>
      <c r="F198" s="687">
        <f t="shared" si="3"/>
        <v>766</v>
      </c>
    </row>
    <row r="199" spans="1:6">
      <c r="A199" s="685"/>
      <c r="B199" s="686">
        <v>1230</v>
      </c>
      <c r="C199" s="687">
        <v>9688000</v>
      </c>
      <c r="D199" s="688" t="s">
        <v>68</v>
      </c>
      <c r="E199" s="689">
        <v>0.01</v>
      </c>
      <c r="F199" s="687">
        <f t="shared" si="3"/>
        <v>96880</v>
      </c>
    </row>
    <row r="200" spans="1:6">
      <c r="A200" s="685"/>
      <c r="B200" s="686">
        <v>1228</v>
      </c>
      <c r="C200" s="687">
        <v>807700</v>
      </c>
      <c r="D200" s="688" t="s">
        <v>68</v>
      </c>
      <c r="E200" s="689">
        <v>0.01</v>
      </c>
      <c r="F200" s="687">
        <f t="shared" si="3"/>
        <v>8077</v>
      </c>
    </row>
    <row r="201" spans="1:6">
      <c r="A201" s="685"/>
      <c r="B201" s="686">
        <v>1220</v>
      </c>
      <c r="C201" s="687">
        <v>1254650</v>
      </c>
      <c r="D201" s="688" t="s">
        <v>68</v>
      </c>
      <c r="E201" s="689">
        <v>0.01</v>
      </c>
      <c r="F201" s="687">
        <f t="shared" si="3"/>
        <v>12546.5</v>
      </c>
    </row>
    <row r="202" spans="1:6">
      <c r="A202" s="685"/>
      <c r="B202" s="686">
        <v>1154</v>
      </c>
      <c r="C202" s="687">
        <v>277800</v>
      </c>
      <c r="D202" s="688" t="s">
        <v>68</v>
      </c>
      <c r="E202" s="689">
        <v>0.01</v>
      </c>
      <c r="F202" s="687">
        <f t="shared" si="3"/>
        <v>2778</v>
      </c>
    </row>
    <row r="203" spans="1:6">
      <c r="A203" s="685"/>
      <c r="B203" s="686">
        <v>1418</v>
      </c>
      <c r="C203" s="687">
        <v>242400</v>
      </c>
      <c r="D203" s="688" t="s">
        <v>68</v>
      </c>
      <c r="E203" s="689">
        <v>0.01</v>
      </c>
      <c r="F203" s="687">
        <f t="shared" si="3"/>
        <v>2424</v>
      </c>
    </row>
    <row r="204" spans="1:6">
      <c r="A204" s="685"/>
      <c r="B204" s="686">
        <v>602</v>
      </c>
      <c r="C204" s="687">
        <v>945000</v>
      </c>
      <c r="D204" s="688" t="s">
        <v>68</v>
      </c>
      <c r="E204" s="689">
        <v>0.1</v>
      </c>
      <c r="F204" s="687">
        <f t="shared" si="3"/>
        <v>94500</v>
      </c>
    </row>
    <row r="205" spans="1:6">
      <c r="A205" s="685"/>
      <c r="B205" s="686">
        <v>582</v>
      </c>
      <c r="C205" s="687">
        <v>4021654</v>
      </c>
      <c r="D205" s="688" t="s">
        <v>68</v>
      </c>
      <c r="E205" s="689">
        <v>0.1</v>
      </c>
      <c r="F205" s="687">
        <f t="shared" si="3"/>
        <v>402165.4</v>
      </c>
    </row>
    <row r="206" spans="1:6">
      <c r="A206" s="685"/>
      <c r="B206" s="686">
        <v>594</v>
      </c>
      <c r="C206" s="687">
        <v>180500</v>
      </c>
      <c r="D206" s="688" t="s">
        <v>68</v>
      </c>
      <c r="E206" s="689">
        <v>0.1</v>
      </c>
      <c r="F206" s="687">
        <f t="shared" si="3"/>
        <v>18050</v>
      </c>
    </row>
    <row r="207" spans="1:6">
      <c r="A207" s="685"/>
      <c r="B207" s="686">
        <v>2594</v>
      </c>
      <c r="C207" s="687">
        <v>672708</v>
      </c>
      <c r="D207" s="688" t="s">
        <v>68</v>
      </c>
      <c r="E207" s="689">
        <v>0.01</v>
      </c>
      <c r="F207" s="687">
        <f t="shared" si="3"/>
        <v>6727.08</v>
      </c>
    </row>
    <row r="208" spans="1:6">
      <c r="A208" s="685"/>
      <c r="B208" s="686">
        <v>1196</v>
      </c>
      <c r="C208" s="687">
        <v>320000</v>
      </c>
      <c r="D208" s="688" t="s">
        <v>68</v>
      </c>
      <c r="E208" s="689">
        <v>0.01</v>
      </c>
      <c r="F208" s="687">
        <f t="shared" si="3"/>
        <v>3200</v>
      </c>
    </row>
    <row r="209" spans="1:6">
      <c r="A209" s="685"/>
      <c r="B209" s="686">
        <v>575</v>
      </c>
      <c r="C209" s="687">
        <v>1991554</v>
      </c>
      <c r="D209" s="688" t="s">
        <v>68</v>
      </c>
      <c r="E209" s="689">
        <v>0.1</v>
      </c>
      <c r="F209" s="687">
        <f t="shared" si="3"/>
        <v>199155.40000000002</v>
      </c>
    </row>
    <row r="210" spans="1:6">
      <c r="A210" s="685"/>
      <c r="B210" s="686">
        <v>1351</v>
      </c>
      <c r="C210" s="687">
        <v>3007800</v>
      </c>
      <c r="D210" s="688" t="s">
        <v>68</v>
      </c>
      <c r="E210" s="689">
        <v>0.01</v>
      </c>
      <c r="F210" s="687">
        <f t="shared" si="3"/>
        <v>30078</v>
      </c>
    </row>
    <row r="211" spans="1:6">
      <c r="A211" s="685"/>
      <c r="B211" s="686">
        <v>1765</v>
      </c>
      <c r="C211" s="687">
        <v>277000</v>
      </c>
      <c r="D211" s="688" t="s">
        <v>68</v>
      </c>
      <c r="E211" s="689">
        <v>0.01</v>
      </c>
      <c r="F211" s="687">
        <f t="shared" si="3"/>
        <v>2770</v>
      </c>
    </row>
    <row r="212" spans="1:6">
      <c r="A212" s="685"/>
      <c r="B212" s="686">
        <v>1435</v>
      </c>
      <c r="C212" s="687">
        <v>1002000</v>
      </c>
      <c r="D212" s="688" t="s">
        <v>68</v>
      </c>
      <c r="E212" s="689">
        <v>0.01</v>
      </c>
      <c r="F212" s="687">
        <f t="shared" si="3"/>
        <v>10020</v>
      </c>
    </row>
    <row r="213" spans="1:6">
      <c r="A213" s="685"/>
      <c r="B213" s="686">
        <v>3006</v>
      </c>
      <c r="C213" s="687">
        <v>35537</v>
      </c>
      <c r="D213" s="688" t="s">
        <v>68</v>
      </c>
      <c r="E213" s="689">
        <v>0.01</v>
      </c>
      <c r="F213" s="687">
        <f t="shared" si="3"/>
        <v>355.37</v>
      </c>
    </row>
    <row r="214" spans="1:6">
      <c r="A214" s="685"/>
      <c r="B214" s="686">
        <v>573</v>
      </c>
      <c r="C214" s="687">
        <v>228200</v>
      </c>
      <c r="D214" s="688" t="s">
        <v>68</v>
      </c>
      <c r="E214" s="689">
        <v>0.1</v>
      </c>
      <c r="F214" s="687">
        <f t="shared" si="3"/>
        <v>22820</v>
      </c>
    </row>
    <row r="215" spans="1:6">
      <c r="A215" s="685"/>
      <c r="B215" s="686">
        <v>567</v>
      </c>
      <c r="C215" s="687">
        <v>749600</v>
      </c>
      <c r="D215" s="688" t="s">
        <v>68</v>
      </c>
      <c r="E215" s="689">
        <v>0.1</v>
      </c>
      <c r="F215" s="687">
        <f t="shared" si="3"/>
        <v>74960</v>
      </c>
    </row>
    <row r="216" spans="1:6">
      <c r="A216" s="685"/>
      <c r="B216" s="686">
        <v>589</v>
      </c>
      <c r="C216" s="687">
        <v>577700</v>
      </c>
      <c r="D216" s="688" t="s">
        <v>68</v>
      </c>
      <c r="E216" s="689">
        <v>0.1</v>
      </c>
      <c r="F216" s="687">
        <f t="shared" si="3"/>
        <v>57770</v>
      </c>
    </row>
    <row r="217" spans="1:6">
      <c r="A217" s="685"/>
      <c r="B217" s="686">
        <v>2060</v>
      </c>
      <c r="C217" s="687">
        <v>247293</v>
      </c>
      <c r="D217" s="688" t="s">
        <v>68</v>
      </c>
      <c r="E217" s="689">
        <v>0.01</v>
      </c>
      <c r="F217" s="687">
        <f t="shared" si="3"/>
        <v>2472.9299999999998</v>
      </c>
    </row>
    <row r="218" spans="1:6">
      <c r="A218" s="685"/>
      <c r="B218" s="686">
        <v>2043</v>
      </c>
      <c r="C218" s="687">
        <v>124000</v>
      </c>
      <c r="D218" s="688" t="s">
        <v>68</v>
      </c>
      <c r="E218" s="689">
        <v>0.01</v>
      </c>
      <c r="F218" s="687">
        <f t="shared" si="3"/>
        <v>1240</v>
      </c>
    </row>
    <row r="219" spans="1:6">
      <c r="A219" s="685"/>
      <c r="B219" s="686">
        <v>2043</v>
      </c>
      <c r="C219" s="687">
        <v>922350</v>
      </c>
      <c r="D219" s="688" t="s">
        <v>68</v>
      </c>
      <c r="E219" s="689">
        <v>0.01</v>
      </c>
      <c r="F219" s="687">
        <f t="shared" si="3"/>
        <v>9223.5</v>
      </c>
    </row>
    <row r="220" spans="1:6">
      <c r="A220" s="685"/>
      <c r="B220" s="686">
        <v>2009</v>
      </c>
      <c r="C220" s="687">
        <v>52253</v>
      </c>
      <c r="D220" s="688" t="s">
        <v>68</v>
      </c>
      <c r="E220" s="689">
        <v>0.01</v>
      </c>
      <c r="F220" s="687">
        <f t="shared" si="3"/>
        <v>522.53</v>
      </c>
    </row>
    <row r="221" spans="1:6">
      <c r="A221" s="685"/>
      <c r="B221" s="686">
        <v>574</v>
      </c>
      <c r="C221" s="687">
        <v>304650</v>
      </c>
      <c r="D221" s="688" t="s">
        <v>68</v>
      </c>
      <c r="E221" s="689">
        <v>0.1</v>
      </c>
      <c r="F221" s="687">
        <f t="shared" si="3"/>
        <v>30465</v>
      </c>
    </row>
    <row r="222" spans="1:6">
      <c r="A222" s="685"/>
      <c r="B222" s="686">
        <v>3680</v>
      </c>
      <c r="C222" s="687">
        <v>367505</v>
      </c>
      <c r="D222" s="688" t="s">
        <v>68</v>
      </c>
      <c r="E222" s="689">
        <v>0.01</v>
      </c>
      <c r="F222" s="687">
        <f t="shared" si="3"/>
        <v>3675.05</v>
      </c>
    </row>
    <row r="223" spans="1:6">
      <c r="A223" s="685"/>
      <c r="B223" s="686">
        <v>3669</v>
      </c>
      <c r="C223" s="687">
        <v>271386</v>
      </c>
      <c r="D223" s="688" t="s">
        <v>68</v>
      </c>
      <c r="E223" s="689">
        <v>0.01</v>
      </c>
      <c r="F223" s="687">
        <f t="shared" si="3"/>
        <v>2713.86</v>
      </c>
    </row>
    <row r="224" spans="1:6">
      <c r="A224" s="685"/>
      <c r="B224" s="686">
        <v>3669</v>
      </c>
      <c r="C224" s="687">
        <v>122508</v>
      </c>
      <c r="D224" s="688" t="s">
        <v>68</v>
      </c>
      <c r="E224" s="689">
        <v>0.01</v>
      </c>
      <c r="F224" s="687">
        <f t="shared" si="3"/>
        <v>1225.08</v>
      </c>
    </row>
    <row r="225" spans="1:6">
      <c r="A225" s="685"/>
      <c r="B225" s="686">
        <v>3650</v>
      </c>
      <c r="C225" s="687">
        <v>299736</v>
      </c>
      <c r="D225" s="688" t="s">
        <v>68</v>
      </c>
      <c r="E225" s="689">
        <v>0.01</v>
      </c>
      <c r="F225" s="687">
        <f t="shared" si="3"/>
        <v>2997.36</v>
      </c>
    </row>
    <row r="226" spans="1:6">
      <c r="A226" s="685"/>
      <c r="B226" s="686">
        <v>3649</v>
      </c>
      <c r="C226" s="687">
        <v>71490</v>
      </c>
      <c r="D226" s="688" t="s">
        <v>68</v>
      </c>
      <c r="E226" s="689">
        <v>0.01</v>
      </c>
      <c r="F226" s="687">
        <f t="shared" si="3"/>
        <v>714.9</v>
      </c>
    </row>
    <row r="227" spans="1:6">
      <c r="A227" s="685"/>
      <c r="B227" s="686">
        <v>3647</v>
      </c>
      <c r="C227" s="687">
        <v>101059</v>
      </c>
      <c r="D227" s="688" t="s">
        <v>68</v>
      </c>
      <c r="E227" s="689">
        <v>0.01</v>
      </c>
      <c r="F227" s="687">
        <f t="shared" si="3"/>
        <v>1010.59</v>
      </c>
    </row>
    <row r="228" spans="1:6">
      <c r="A228" s="685"/>
      <c r="B228" s="686">
        <v>3646</v>
      </c>
      <c r="C228" s="687">
        <v>189759</v>
      </c>
      <c r="D228" s="688" t="s">
        <v>68</v>
      </c>
      <c r="E228" s="689">
        <v>0.01</v>
      </c>
      <c r="F228" s="687">
        <f t="shared" si="3"/>
        <v>1897.5900000000001</v>
      </c>
    </row>
    <row r="229" spans="1:6">
      <c r="A229" s="685"/>
      <c r="B229" s="686">
        <v>3643</v>
      </c>
      <c r="C229" s="687">
        <v>191421</v>
      </c>
      <c r="D229" s="688" t="s">
        <v>68</v>
      </c>
      <c r="E229" s="689">
        <v>0.01</v>
      </c>
      <c r="F229" s="687">
        <f t="shared" si="3"/>
        <v>1914.21</v>
      </c>
    </row>
    <row r="230" spans="1:6">
      <c r="A230" s="685"/>
      <c r="B230" s="686">
        <v>3643</v>
      </c>
      <c r="C230" s="687">
        <v>121116</v>
      </c>
      <c r="D230" s="688" t="s">
        <v>68</v>
      </c>
      <c r="E230" s="689">
        <v>0.01</v>
      </c>
      <c r="F230" s="687">
        <f t="shared" si="3"/>
        <v>1211.1600000000001</v>
      </c>
    </row>
    <row r="231" spans="1:6">
      <c r="A231" s="685"/>
      <c r="B231" s="686">
        <v>3643</v>
      </c>
      <c r="C231" s="687">
        <v>25020</v>
      </c>
      <c r="D231" s="688" t="s">
        <v>68</v>
      </c>
      <c r="E231" s="689">
        <v>0.01</v>
      </c>
      <c r="F231" s="687">
        <f t="shared" si="3"/>
        <v>250.20000000000002</v>
      </c>
    </row>
    <row r="232" spans="1:6">
      <c r="A232" s="685"/>
      <c r="B232" s="686">
        <v>3642</v>
      </c>
      <c r="C232" s="687">
        <v>5200</v>
      </c>
      <c r="D232" s="688" t="s">
        <v>68</v>
      </c>
      <c r="E232" s="689">
        <v>0.01</v>
      </c>
      <c r="F232" s="687">
        <f t="shared" si="3"/>
        <v>52</v>
      </c>
    </row>
    <row r="233" spans="1:6">
      <c r="A233" s="685"/>
      <c r="B233" s="686">
        <v>3633</v>
      </c>
      <c r="C233" s="687">
        <v>428947</v>
      </c>
      <c r="D233" s="688" t="s">
        <v>68</v>
      </c>
      <c r="E233" s="689">
        <v>0.01</v>
      </c>
      <c r="F233" s="687">
        <f t="shared" si="3"/>
        <v>4289.47</v>
      </c>
    </row>
    <row r="234" spans="1:6">
      <c r="A234" s="685"/>
      <c r="B234" s="686">
        <v>3633</v>
      </c>
      <c r="C234" s="687">
        <v>168240</v>
      </c>
      <c r="D234" s="688" t="s">
        <v>68</v>
      </c>
      <c r="E234" s="689">
        <v>0.01</v>
      </c>
      <c r="F234" s="687">
        <f t="shared" si="3"/>
        <v>1682.4</v>
      </c>
    </row>
    <row r="235" spans="1:6">
      <c r="A235" s="685"/>
      <c r="B235" s="686">
        <v>3633</v>
      </c>
      <c r="C235" s="687">
        <v>14713</v>
      </c>
      <c r="D235" s="688" t="s">
        <v>68</v>
      </c>
      <c r="E235" s="689">
        <v>0.01</v>
      </c>
      <c r="F235" s="687">
        <f t="shared" si="3"/>
        <v>147.13</v>
      </c>
    </row>
    <row r="236" spans="1:6">
      <c r="A236" s="685"/>
      <c r="B236" s="686">
        <v>3628</v>
      </c>
      <c r="C236" s="687">
        <v>334100</v>
      </c>
      <c r="D236" s="688" t="s">
        <v>68</v>
      </c>
      <c r="E236" s="689">
        <v>0.01</v>
      </c>
      <c r="F236" s="687">
        <f t="shared" si="3"/>
        <v>3341</v>
      </c>
    </row>
    <row r="237" spans="1:6">
      <c r="A237" s="685"/>
      <c r="B237" s="686">
        <v>3596</v>
      </c>
      <c r="C237" s="687">
        <v>456135</v>
      </c>
      <c r="D237" s="688" t="s">
        <v>68</v>
      </c>
      <c r="E237" s="689">
        <v>0.01</v>
      </c>
      <c r="F237" s="687">
        <f t="shared" si="3"/>
        <v>4561.3500000000004</v>
      </c>
    </row>
    <row r="238" spans="1:6">
      <c r="A238" s="685"/>
      <c r="B238" s="686">
        <v>3596</v>
      </c>
      <c r="C238" s="687">
        <v>366950</v>
      </c>
      <c r="D238" s="688" t="s">
        <v>68</v>
      </c>
      <c r="E238" s="689">
        <v>0.01</v>
      </c>
      <c r="F238" s="687">
        <f t="shared" si="3"/>
        <v>3669.5</v>
      </c>
    </row>
    <row r="239" spans="1:6">
      <c r="A239" s="685"/>
      <c r="B239" s="686">
        <v>3572</v>
      </c>
      <c r="C239" s="687">
        <v>368627</v>
      </c>
      <c r="D239" s="688" t="s">
        <v>68</v>
      </c>
      <c r="E239" s="689">
        <v>0.01</v>
      </c>
      <c r="F239" s="687">
        <f t="shared" si="3"/>
        <v>3686.27</v>
      </c>
    </row>
    <row r="240" spans="1:6">
      <c r="A240" s="685"/>
      <c r="B240" s="686">
        <v>3572</v>
      </c>
      <c r="C240" s="687">
        <v>364329</v>
      </c>
      <c r="D240" s="688" t="s">
        <v>68</v>
      </c>
      <c r="E240" s="689">
        <v>0.01</v>
      </c>
      <c r="F240" s="687">
        <f t="shared" si="3"/>
        <v>3643.29</v>
      </c>
    </row>
    <row r="241" spans="1:6">
      <c r="A241" s="685"/>
      <c r="B241" s="686">
        <v>3572</v>
      </c>
      <c r="C241" s="687">
        <v>258900</v>
      </c>
      <c r="D241" s="688" t="s">
        <v>68</v>
      </c>
      <c r="E241" s="689">
        <v>0.01</v>
      </c>
      <c r="F241" s="687">
        <f t="shared" si="3"/>
        <v>2589</v>
      </c>
    </row>
    <row r="242" spans="1:6">
      <c r="A242" s="685"/>
      <c r="B242" s="686">
        <v>3572</v>
      </c>
      <c r="C242" s="687">
        <v>33446</v>
      </c>
      <c r="D242" s="688" t="s">
        <v>68</v>
      </c>
      <c r="E242" s="689">
        <v>0.01</v>
      </c>
      <c r="F242" s="687">
        <f t="shared" si="3"/>
        <v>334.46</v>
      </c>
    </row>
    <row r="243" spans="1:6">
      <c r="A243" s="685"/>
      <c r="B243" s="686">
        <v>3460</v>
      </c>
      <c r="C243" s="687">
        <v>101480</v>
      </c>
      <c r="D243" s="688" t="s">
        <v>68</v>
      </c>
      <c r="E243" s="689">
        <v>0.01</v>
      </c>
      <c r="F243" s="687">
        <f t="shared" si="3"/>
        <v>1014.8000000000001</v>
      </c>
    </row>
    <row r="244" spans="1:6">
      <c r="A244" s="685"/>
      <c r="B244" s="686">
        <v>623</v>
      </c>
      <c r="C244" s="687">
        <v>107400</v>
      </c>
      <c r="D244" s="688" t="s">
        <v>68</v>
      </c>
      <c r="E244" s="689">
        <v>0.1</v>
      </c>
      <c r="F244" s="687">
        <f t="shared" si="3"/>
        <v>10740</v>
      </c>
    </row>
    <row r="245" spans="1:6">
      <c r="A245" s="685"/>
      <c r="B245" s="686">
        <v>595</v>
      </c>
      <c r="C245" s="687">
        <v>46350</v>
      </c>
      <c r="D245" s="688" t="s">
        <v>68</v>
      </c>
      <c r="E245" s="689">
        <v>0.1</v>
      </c>
      <c r="F245" s="687">
        <f t="shared" si="3"/>
        <v>4635</v>
      </c>
    </row>
    <row r="246" spans="1:6">
      <c r="A246" s="685"/>
      <c r="B246" s="686">
        <v>1726</v>
      </c>
      <c r="C246" s="687">
        <v>114600</v>
      </c>
      <c r="D246" s="688" t="s">
        <v>68</v>
      </c>
      <c r="E246" s="689">
        <v>0.01</v>
      </c>
      <c r="F246" s="687">
        <f t="shared" si="3"/>
        <v>1146</v>
      </c>
    </row>
    <row r="247" spans="1:6">
      <c r="A247" s="685"/>
      <c r="B247" s="686">
        <v>1707</v>
      </c>
      <c r="C247" s="687">
        <v>29300</v>
      </c>
      <c r="D247" s="688" t="s">
        <v>68</v>
      </c>
      <c r="E247" s="689">
        <v>0.01</v>
      </c>
      <c r="F247" s="687">
        <f t="shared" si="3"/>
        <v>293</v>
      </c>
    </row>
    <row r="248" spans="1:6">
      <c r="A248" s="685"/>
      <c r="B248" s="686">
        <v>1684</v>
      </c>
      <c r="C248" s="687">
        <v>66390</v>
      </c>
      <c r="D248" s="688" t="s">
        <v>68</v>
      </c>
      <c r="E248" s="689">
        <v>0.01</v>
      </c>
      <c r="F248" s="687">
        <f t="shared" si="3"/>
        <v>663.9</v>
      </c>
    </row>
    <row r="249" spans="1:6">
      <c r="A249" s="685"/>
      <c r="B249" s="686">
        <v>1717</v>
      </c>
      <c r="C249" s="687">
        <v>87064</v>
      </c>
      <c r="D249" s="688" t="s">
        <v>68</v>
      </c>
      <c r="E249" s="689">
        <v>0.01</v>
      </c>
      <c r="F249" s="687">
        <f t="shared" si="3"/>
        <v>870.64</v>
      </c>
    </row>
    <row r="250" spans="1:6">
      <c r="A250" s="685"/>
      <c r="B250" s="686">
        <v>1640</v>
      </c>
      <c r="C250" s="687">
        <v>250450</v>
      </c>
      <c r="D250" s="688" t="s">
        <v>68</v>
      </c>
      <c r="E250" s="689">
        <v>0.01</v>
      </c>
      <c r="F250" s="687">
        <f t="shared" si="3"/>
        <v>2504.5</v>
      </c>
    </row>
    <row r="251" spans="1:6">
      <c r="A251" s="685"/>
      <c r="B251" s="686">
        <v>1568</v>
      </c>
      <c r="C251" s="687">
        <v>111450</v>
      </c>
      <c r="D251" s="688" t="s">
        <v>68</v>
      </c>
      <c r="E251" s="689">
        <v>0.01</v>
      </c>
      <c r="F251" s="687">
        <f t="shared" si="3"/>
        <v>1114.5</v>
      </c>
    </row>
    <row r="252" spans="1:6">
      <c r="A252" s="685"/>
      <c r="B252" s="686">
        <v>1568</v>
      </c>
      <c r="C252" s="687">
        <v>271050</v>
      </c>
      <c r="D252" s="688" t="s">
        <v>68</v>
      </c>
      <c r="E252" s="689">
        <v>0.01</v>
      </c>
      <c r="F252" s="687">
        <f t="shared" si="3"/>
        <v>2710.5</v>
      </c>
    </row>
    <row r="253" spans="1:6">
      <c r="A253" s="685"/>
      <c r="B253" s="686">
        <v>1567</v>
      </c>
      <c r="C253" s="687">
        <v>71490</v>
      </c>
      <c r="D253" s="688" t="s">
        <v>68</v>
      </c>
      <c r="E253" s="689">
        <v>0.01</v>
      </c>
      <c r="F253" s="687">
        <f t="shared" si="3"/>
        <v>714.9</v>
      </c>
    </row>
    <row r="254" spans="1:6">
      <c r="A254" s="685"/>
      <c r="B254" s="686">
        <v>1556</v>
      </c>
      <c r="C254" s="687">
        <v>169450</v>
      </c>
      <c r="D254" s="688" t="s">
        <v>68</v>
      </c>
      <c r="E254" s="689">
        <v>0.01</v>
      </c>
      <c r="F254" s="687">
        <f t="shared" si="3"/>
        <v>1694.5</v>
      </c>
    </row>
    <row r="255" spans="1:6">
      <c r="A255" s="685"/>
      <c r="B255" s="686">
        <v>1554</v>
      </c>
      <c r="C255" s="687">
        <v>13800</v>
      </c>
      <c r="D255" s="688" t="s">
        <v>68</v>
      </c>
      <c r="E255" s="689">
        <v>0.01</v>
      </c>
      <c r="F255" s="687">
        <f t="shared" si="3"/>
        <v>138</v>
      </c>
    </row>
    <row r="256" spans="1:6">
      <c r="A256" s="685"/>
      <c r="B256" s="686">
        <v>1548</v>
      </c>
      <c r="C256" s="687">
        <v>69750</v>
      </c>
      <c r="D256" s="688" t="s">
        <v>68</v>
      </c>
      <c r="E256" s="689">
        <v>0.01</v>
      </c>
      <c r="F256" s="687">
        <f t="shared" si="3"/>
        <v>697.5</v>
      </c>
    </row>
    <row r="257" spans="1:6">
      <c r="A257" s="685"/>
      <c r="B257" s="686">
        <v>1615</v>
      </c>
      <c r="C257" s="687">
        <v>24010</v>
      </c>
      <c r="D257" s="688" t="s">
        <v>68</v>
      </c>
      <c r="E257" s="689">
        <v>0.01</v>
      </c>
      <c r="F257" s="687">
        <f t="shared" si="3"/>
        <v>240.1</v>
      </c>
    </row>
    <row r="258" spans="1:6">
      <c r="A258" s="685"/>
      <c r="B258" s="686">
        <v>1532</v>
      </c>
      <c r="C258" s="687">
        <v>102540</v>
      </c>
      <c r="D258" s="688" t="s">
        <v>68</v>
      </c>
      <c r="E258" s="689">
        <v>0.01</v>
      </c>
      <c r="F258" s="687">
        <f t="shared" si="3"/>
        <v>1025.4000000000001</v>
      </c>
    </row>
    <row r="259" spans="1:6">
      <c r="A259" s="685"/>
      <c r="B259" s="686">
        <v>1512</v>
      </c>
      <c r="C259" s="687">
        <v>91640</v>
      </c>
      <c r="D259" s="688" t="s">
        <v>68</v>
      </c>
      <c r="E259" s="689">
        <v>0.01</v>
      </c>
      <c r="F259" s="687">
        <f t="shared" ref="F259:F322" si="4">+C259*E259</f>
        <v>916.4</v>
      </c>
    </row>
    <row r="260" spans="1:6">
      <c r="A260" s="685"/>
      <c r="B260" s="686">
        <v>1739</v>
      </c>
      <c r="C260" s="687">
        <v>129400</v>
      </c>
      <c r="D260" s="688" t="s">
        <v>68</v>
      </c>
      <c r="E260" s="689">
        <v>0.01</v>
      </c>
      <c r="F260" s="687">
        <f t="shared" si="4"/>
        <v>1294</v>
      </c>
    </row>
    <row r="261" spans="1:6">
      <c r="A261" s="685"/>
      <c r="B261" s="686">
        <v>1737</v>
      </c>
      <c r="C261" s="687">
        <v>29350</v>
      </c>
      <c r="D261" s="688" t="s">
        <v>68</v>
      </c>
      <c r="E261" s="689">
        <v>0.01</v>
      </c>
      <c r="F261" s="687">
        <f t="shared" si="4"/>
        <v>293.5</v>
      </c>
    </row>
    <row r="262" spans="1:6">
      <c r="A262" s="685"/>
      <c r="B262" s="686">
        <v>1736</v>
      </c>
      <c r="C262" s="687">
        <v>110280</v>
      </c>
      <c r="D262" s="688" t="s">
        <v>68</v>
      </c>
      <c r="E262" s="689">
        <v>0.01</v>
      </c>
      <c r="F262" s="687">
        <f t="shared" si="4"/>
        <v>1102.8</v>
      </c>
    </row>
    <row r="263" spans="1:6">
      <c r="A263" s="685"/>
      <c r="B263" s="686">
        <v>1528</v>
      </c>
      <c r="C263" s="687">
        <v>35200</v>
      </c>
      <c r="D263" s="688" t="s">
        <v>68</v>
      </c>
      <c r="E263" s="689">
        <v>0.01</v>
      </c>
      <c r="F263" s="687">
        <f t="shared" si="4"/>
        <v>352</v>
      </c>
    </row>
    <row r="264" spans="1:6">
      <c r="A264" s="685"/>
      <c r="B264" s="686">
        <v>1532</v>
      </c>
      <c r="C264" s="687">
        <v>5068800</v>
      </c>
      <c r="D264" s="688" t="s">
        <v>68</v>
      </c>
      <c r="E264" s="689">
        <v>0.01</v>
      </c>
      <c r="F264" s="687">
        <f t="shared" si="4"/>
        <v>50688</v>
      </c>
    </row>
    <row r="265" spans="1:6">
      <c r="A265" s="685"/>
      <c r="B265" s="686">
        <v>1498</v>
      </c>
      <c r="C265" s="687">
        <v>11400000</v>
      </c>
      <c r="D265" s="688" t="s">
        <v>68</v>
      </c>
      <c r="E265" s="689">
        <v>0.01</v>
      </c>
      <c r="F265" s="687">
        <f t="shared" si="4"/>
        <v>114000</v>
      </c>
    </row>
    <row r="266" spans="1:6">
      <c r="A266" s="685"/>
      <c r="B266" s="686">
        <v>1513</v>
      </c>
      <c r="C266" s="687">
        <v>3196000</v>
      </c>
      <c r="D266" s="688" t="s">
        <v>68</v>
      </c>
      <c r="E266" s="689">
        <v>0.01</v>
      </c>
      <c r="F266" s="687">
        <f t="shared" si="4"/>
        <v>31960</v>
      </c>
    </row>
    <row r="267" spans="1:6">
      <c r="A267" s="685"/>
      <c r="B267" s="686">
        <v>1513</v>
      </c>
      <c r="C267" s="687">
        <v>2397000</v>
      </c>
      <c r="D267" s="688" t="s">
        <v>68</v>
      </c>
      <c r="E267" s="689">
        <v>0.01</v>
      </c>
      <c r="F267" s="687">
        <f t="shared" si="4"/>
        <v>23970</v>
      </c>
    </row>
    <row r="268" spans="1:6">
      <c r="A268" s="685"/>
      <c r="B268" s="686">
        <v>1515</v>
      </c>
      <c r="C268" s="687">
        <v>4680000</v>
      </c>
      <c r="D268" s="688" t="s">
        <v>68</v>
      </c>
      <c r="E268" s="689">
        <v>0.01</v>
      </c>
      <c r="F268" s="687">
        <f t="shared" si="4"/>
        <v>46800</v>
      </c>
    </row>
    <row r="269" spans="1:6">
      <c r="A269" s="685"/>
      <c r="B269" s="686">
        <v>1527</v>
      </c>
      <c r="C269" s="687">
        <v>15000000</v>
      </c>
      <c r="D269" s="688" t="s">
        <v>68</v>
      </c>
      <c r="E269" s="689">
        <v>0.01</v>
      </c>
      <c r="F269" s="687">
        <f t="shared" si="4"/>
        <v>150000</v>
      </c>
    </row>
    <row r="270" spans="1:6">
      <c r="A270" s="685"/>
      <c r="B270" s="686">
        <v>1523</v>
      </c>
      <c r="C270" s="687">
        <v>6309400</v>
      </c>
      <c r="D270" s="688" t="s">
        <v>68</v>
      </c>
      <c r="E270" s="689">
        <v>0.01</v>
      </c>
      <c r="F270" s="687">
        <f t="shared" si="4"/>
        <v>63094</v>
      </c>
    </row>
    <row r="271" spans="1:6">
      <c r="A271" s="685"/>
      <c r="B271" s="686">
        <v>1523</v>
      </c>
      <c r="C271" s="687">
        <v>1509000</v>
      </c>
      <c r="D271" s="688" t="s">
        <v>68</v>
      </c>
      <c r="E271" s="689">
        <v>0.01</v>
      </c>
      <c r="F271" s="687">
        <f t="shared" si="4"/>
        <v>15090</v>
      </c>
    </row>
    <row r="272" spans="1:6">
      <c r="A272" s="685"/>
      <c r="B272" s="686">
        <v>1523</v>
      </c>
      <c r="C272" s="687">
        <v>7230000</v>
      </c>
      <c r="D272" s="688" t="s">
        <v>68</v>
      </c>
      <c r="E272" s="689">
        <v>0.01</v>
      </c>
      <c r="F272" s="687">
        <f t="shared" si="4"/>
        <v>72300</v>
      </c>
    </row>
    <row r="273" spans="1:6">
      <c r="A273" s="685"/>
      <c r="B273" s="686">
        <v>1516</v>
      </c>
      <c r="C273" s="687">
        <v>1274700</v>
      </c>
      <c r="D273" s="688" t="s">
        <v>68</v>
      </c>
      <c r="E273" s="689">
        <v>0.01</v>
      </c>
      <c r="F273" s="687">
        <f t="shared" si="4"/>
        <v>12747</v>
      </c>
    </row>
    <row r="274" spans="1:6">
      <c r="A274" s="685"/>
      <c r="B274" s="686">
        <v>2020</v>
      </c>
      <c r="C274" s="687">
        <v>964320</v>
      </c>
      <c r="D274" s="688" t="s">
        <v>68</v>
      </c>
      <c r="E274" s="689">
        <v>0.01</v>
      </c>
      <c r="F274" s="687">
        <f t="shared" si="4"/>
        <v>9643.2000000000007</v>
      </c>
    </row>
    <row r="275" spans="1:6">
      <c r="A275" s="685"/>
      <c r="B275" s="686">
        <v>2139</v>
      </c>
      <c r="C275" s="687">
        <v>307200</v>
      </c>
      <c r="D275" s="688" t="s">
        <v>68</v>
      </c>
      <c r="E275" s="689">
        <v>0.01</v>
      </c>
      <c r="F275" s="687">
        <f t="shared" si="4"/>
        <v>3072</v>
      </c>
    </row>
    <row r="276" spans="1:6">
      <c r="A276" s="685"/>
      <c r="B276" s="686">
        <v>2037</v>
      </c>
      <c r="C276" s="687">
        <v>189200</v>
      </c>
      <c r="D276" s="688" t="s">
        <v>68</v>
      </c>
      <c r="E276" s="689">
        <v>0.01</v>
      </c>
      <c r="F276" s="687">
        <f t="shared" si="4"/>
        <v>1892</v>
      </c>
    </row>
    <row r="277" spans="1:6">
      <c r="A277" s="685"/>
      <c r="B277" s="686">
        <v>2735</v>
      </c>
      <c r="C277" s="687">
        <v>84653</v>
      </c>
      <c r="D277" s="688" t="s">
        <v>68</v>
      </c>
      <c r="E277" s="689">
        <v>0.01</v>
      </c>
      <c r="F277" s="687">
        <f t="shared" si="4"/>
        <v>846.53</v>
      </c>
    </row>
    <row r="278" spans="1:6">
      <c r="A278" s="685"/>
      <c r="B278" s="686">
        <v>3354</v>
      </c>
      <c r="C278" s="687">
        <v>24520</v>
      </c>
      <c r="D278" s="688" t="s">
        <v>68</v>
      </c>
      <c r="E278" s="689">
        <v>0.01</v>
      </c>
      <c r="F278" s="687">
        <f t="shared" si="4"/>
        <v>245.20000000000002</v>
      </c>
    </row>
    <row r="279" spans="1:6">
      <c r="A279" s="685"/>
      <c r="B279" s="686">
        <v>3524</v>
      </c>
      <c r="C279" s="687">
        <v>201000</v>
      </c>
      <c r="D279" s="688" t="s">
        <v>68</v>
      </c>
      <c r="E279" s="689">
        <v>0.01</v>
      </c>
      <c r="F279" s="687">
        <f t="shared" si="4"/>
        <v>2010</v>
      </c>
    </row>
    <row r="280" spans="1:6">
      <c r="A280" s="685"/>
      <c r="B280" s="686">
        <v>3347</v>
      </c>
      <c r="C280" s="687">
        <v>664796</v>
      </c>
      <c r="D280" s="688" t="s">
        <v>68</v>
      </c>
      <c r="E280" s="689">
        <v>0.01</v>
      </c>
      <c r="F280" s="687">
        <f t="shared" si="4"/>
        <v>6647.96</v>
      </c>
    </row>
    <row r="281" spans="1:6">
      <c r="A281" s="685"/>
      <c r="B281" s="686">
        <v>3347</v>
      </c>
      <c r="C281" s="687">
        <v>7862</v>
      </c>
      <c r="D281" s="688" t="s">
        <v>68</v>
      </c>
      <c r="E281" s="689">
        <v>0.01</v>
      </c>
      <c r="F281" s="687">
        <f t="shared" si="4"/>
        <v>78.62</v>
      </c>
    </row>
    <row r="282" spans="1:6">
      <c r="A282" s="685"/>
      <c r="B282" s="686">
        <v>3347</v>
      </c>
      <c r="C282" s="687">
        <v>51628</v>
      </c>
      <c r="D282" s="688" t="s">
        <v>68</v>
      </c>
      <c r="E282" s="689">
        <v>0.01</v>
      </c>
      <c r="F282" s="687">
        <f t="shared" si="4"/>
        <v>516.28</v>
      </c>
    </row>
    <row r="283" spans="1:6">
      <c r="A283" s="685"/>
      <c r="B283" s="686">
        <v>3069</v>
      </c>
      <c r="C283" s="687">
        <v>3944000</v>
      </c>
      <c r="D283" s="688" t="s">
        <v>68</v>
      </c>
      <c r="E283" s="689">
        <v>0.01</v>
      </c>
      <c r="F283" s="687">
        <f t="shared" si="4"/>
        <v>39440</v>
      </c>
    </row>
    <row r="284" spans="1:6">
      <c r="A284" s="685"/>
      <c r="B284" s="686">
        <v>3066</v>
      </c>
      <c r="C284" s="687">
        <v>557294</v>
      </c>
      <c r="D284" s="688" t="s">
        <v>68</v>
      </c>
      <c r="E284" s="689">
        <v>0.01</v>
      </c>
      <c r="F284" s="687">
        <f t="shared" si="4"/>
        <v>5572.9400000000005</v>
      </c>
    </row>
    <row r="285" spans="1:6">
      <c r="A285" s="685"/>
      <c r="B285" s="686">
        <v>3062</v>
      </c>
      <c r="C285" s="687">
        <v>614444</v>
      </c>
      <c r="D285" s="688" t="s">
        <v>68</v>
      </c>
      <c r="E285" s="689">
        <v>0.01</v>
      </c>
      <c r="F285" s="687">
        <f t="shared" si="4"/>
        <v>6144.4400000000005</v>
      </c>
    </row>
    <row r="286" spans="1:6">
      <c r="A286" s="685"/>
      <c r="B286" s="686">
        <v>3085</v>
      </c>
      <c r="C286" s="687">
        <v>65167</v>
      </c>
      <c r="D286" s="688" t="s">
        <v>68</v>
      </c>
      <c r="E286" s="689">
        <v>0.01</v>
      </c>
      <c r="F286" s="687">
        <f t="shared" si="4"/>
        <v>651.66999999999996</v>
      </c>
    </row>
    <row r="287" spans="1:6">
      <c r="A287" s="685"/>
      <c r="B287" s="686">
        <v>833</v>
      </c>
      <c r="C287" s="687">
        <v>936827</v>
      </c>
      <c r="D287" s="688" t="s">
        <v>68</v>
      </c>
      <c r="E287" s="689">
        <v>0.05</v>
      </c>
      <c r="F287" s="687">
        <f t="shared" si="4"/>
        <v>46841.350000000006</v>
      </c>
    </row>
    <row r="288" spans="1:6">
      <c r="A288" s="685"/>
      <c r="B288" s="686">
        <v>1597</v>
      </c>
      <c r="C288" s="687">
        <v>23750</v>
      </c>
      <c r="D288" s="688" t="s">
        <v>68</v>
      </c>
      <c r="E288" s="689">
        <v>0.01</v>
      </c>
      <c r="F288" s="687">
        <f t="shared" si="4"/>
        <v>237.5</v>
      </c>
    </row>
    <row r="289" spans="1:6">
      <c r="A289" s="685"/>
      <c r="B289" s="686">
        <v>1576</v>
      </c>
      <c r="C289" s="687">
        <v>165840</v>
      </c>
      <c r="D289" s="688" t="s">
        <v>68</v>
      </c>
      <c r="E289" s="689">
        <v>0.01</v>
      </c>
      <c r="F289" s="687">
        <f t="shared" si="4"/>
        <v>1658.4</v>
      </c>
    </row>
    <row r="290" spans="1:6">
      <c r="A290" s="685"/>
      <c r="B290" s="686">
        <v>3131</v>
      </c>
      <c r="C290" s="687">
        <v>334720</v>
      </c>
      <c r="D290" s="688" t="s">
        <v>68</v>
      </c>
      <c r="E290" s="689">
        <v>0.01</v>
      </c>
      <c r="F290" s="687">
        <f t="shared" si="4"/>
        <v>3347.2000000000003</v>
      </c>
    </row>
    <row r="291" spans="1:6">
      <c r="A291" s="685"/>
      <c r="B291" s="686">
        <v>3096</v>
      </c>
      <c r="C291" s="687">
        <v>673541</v>
      </c>
      <c r="D291" s="688" t="s">
        <v>68</v>
      </c>
      <c r="E291" s="689">
        <v>0.01</v>
      </c>
      <c r="F291" s="687">
        <f t="shared" si="4"/>
        <v>6735.41</v>
      </c>
    </row>
    <row r="292" spans="1:6">
      <c r="A292" s="685"/>
      <c r="B292" s="686">
        <v>3126</v>
      </c>
      <c r="C292" s="687">
        <v>85100</v>
      </c>
      <c r="D292" s="688" t="s">
        <v>68</v>
      </c>
      <c r="E292" s="689">
        <v>0.01</v>
      </c>
      <c r="F292" s="687">
        <f t="shared" si="4"/>
        <v>851</v>
      </c>
    </row>
    <row r="293" spans="1:6">
      <c r="A293" s="685"/>
      <c r="B293" s="686">
        <v>3122</v>
      </c>
      <c r="C293" s="687">
        <v>345954</v>
      </c>
      <c r="D293" s="688" t="s">
        <v>68</v>
      </c>
      <c r="E293" s="689">
        <v>0.01</v>
      </c>
      <c r="F293" s="687">
        <f t="shared" si="4"/>
        <v>3459.54</v>
      </c>
    </row>
    <row r="294" spans="1:6">
      <c r="A294" s="685"/>
      <c r="B294" s="686">
        <v>3122</v>
      </c>
      <c r="C294" s="687">
        <v>238060</v>
      </c>
      <c r="D294" s="688" t="s">
        <v>68</v>
      </c>
      <c r="E294" s="689">
        <v>0.01</v>
      </c>
      <c r="F294" s="687">
        <f t="shared" si="4"/>
        <v>2380.6</v>
      </c>
    </row>
    <row r="295" spans="1:6">
      <c r="A295" s="685"/>
      <c r="B295" s="686">
        <v>3121</v>
      </c>
      <c r="C295" s="687">
        <v>110561</v>
      </c>
      <c r="D295" s="688" t="s">
        <v>68</v>
      </c>
      <c r="E295" s="689">
        <v>0.01</v>
      </c>
      <c r="F295" s="687">
        <f t="shared" si="4"/>
        <v>1105.6100000000001</v>
      </c>
    </row>
    <row r="296" spans="1:6">
      <c r="A296" s="685"/>
      <c r="B296" s="686">
        <v>3112</v>
      </c>
      <c r="C296" s="687">
        <v>69956</v>
      </c>
      <c r="D296" s="688" t="s">
        <v>68</v>
      </c>
      <c r="E296" s="689">
        <v>0.01</v>
      </c>
      <c r="F296" s="687">
        <f t="shared" si="4"/>
        <v>699.56000000000006</v>
      </c>
    </row>
    <row r="297" spans="1:6">
      <c r="A297" s="685"/>
      <c r="B297" s="686">
        <v>3108</v>
      </c>
      <c r="C297" s="687">
        <v>225990</v>
      </c>
      <c r="D297" s="688" t="s">
        <v>68</v>
      </c>
      <c r="E297" s="689">
        <v>0.01</v>
      </c>
      <c r="F297" s="687">
        <f t="shared" si="4"/>
        <v>2259.9</v>
      </c>
    </row>
    <row r="298" spans="1:6">
      <c r="A298" s="685"/>
      <c r="B298" s="686">
        <v>3107</v>
      </c>
      <c r="C298" s="687">
        <v>20488</v>
      </c>
      <c r="D298" s="688" t="s">
        <v>68</v>
      </c>
      <c r="E298" s="689">
        <v>0.01</v>
      </c>
      <c r="F298" s="687">
        <f t="shared" si="4"/>
        <v>204.88</v>
      </c>
    </row>
    <row r="299" spans="1:6">
      <c r="A299" s="685"/>
      <c r="B299" s="686">
        <v>3103</v>
      </c>
      <c r="C299" s="687">
        <v>41950</v>
      </c>
      <c r="D299" s="688" t="s">
        <v>68</v>
      </c>
      <c r="E299" s="689">
        <v>0.01</v>
      </c>
      <c r="F299" s="687">
        <f t="shared" si="4"/>
        <v>419.5</v>
      </c>
    </row>
    <row r="300" spans="1:6">
      <c r="A300" s="685"/>
      <c r="B300" s="686">
        <v>3069</v>
      </c>
      <c r="C300" s="687">
        <v>341040</v>
      </c>
      <c r="D300" s="688" t="s">
        <v>68</v>
      </c>
      <c r="E300" s="689">
        <v>0.01</v>
      </c>
      <c r="F300" s="687">
        <f t="shared" si="4"/>
        <v>3410.4</v>
      </c>
    </row>
    <row r="301" spans="1:6">
      <c r="A301" s="685"/>
      <c r="B301" s="686">
        <v>3096</v>
      </c>
      <c r="C301" s="687">
        <v>11073</v>
      </c>
      <c r="D301" s="688" t="s">
        <v>68</v>
      </c>
      <c r="E301" s="689">
        <v>0.01</v>
      </c>
      <c r="F301" s="687">
        <f t="shared" si="4"/>
        <v>110.73</v>
      </c>
    </row>
    <row r="302" spans="1:6">
      <c r="A302" s="685"/>
      <c r="B302" s="686">
        <v>3093</v>
      </c>
      <c r="C302" s="687">
        <v>163400</v>
      </c>
      <c r="D302" s="688" t="s">
        <v>68</v>
      </c>
      <c r="E302" s="689">
        <v>0.01</v>
      </c>
      <c r="F302" s="687">
        <f t="shared" si="4"/>
        <v>1634</v>
      </c>
    </row>
    <row r="303" spans="1:6">
      <c r="A303" s="685"/>
      <c r="B303" s="686">
        <v>3093</v>
      </c>
      <c r="C303" s="687">
        <v>310500</v>
      </c>
      <c r="D303" s="688" t="s">
        <v>68</v>
      </c>
      <c r="E303" s="689">
        <v>0.01</v>
      </c>
      <c r="F303" s="687">
        <f t="shared" si="4"/>
        <v>3105</v>
      </c>
    </row>
    <row r="304" spans="1:6">
      <c r="A304" s="685"/>
      <c r="B304" s="686">
        <v>3056</v>
      </c>
      <c r="C304" s="687">
        <v>555408</v>
      </c>
      <c r="D304" s="688" t="s">
        <v>68</v>
      </c>
      <c r="E304" s="689">
        <v>0.01</v>
      </c>
      <c r="F304" s="687">
        <f t="shared" si="4"/>
        <v>5554.08</v>
      </c>
    </row>
    <row r="305" spans="1:6">
      <c r="A305" s="685"/>
      <c r="B305" s="686">
        <v>3056</v>
      </c>
      <c r="C305" s="687">
        <v>51618</v>
      </c>
      <c r="D305" s="688" t="s">
        <v>68</v>
      </c>
      <c r="E305" s="689">
        <v>0.01</v>
      </c>
      <c r="F305" s="687">
        <f t="shared" si="4"/>
        <v>516.18000000000006</v>
      </c>
    </row>
    <row r="306" spans="1:6">
      <c r="A306" s="685"/>
      <c r="B306" s="686">
        <v>3081</v>
      </c>
      <c r="C306" s="687">
        <v>427191</v>
      </c>
      <c r="D306" s="688" t="s">
        <v>68</v>
      </c>
      <c r="E306" s="689">
        <v>0.01</v>
      </c>
      <c r="F306" s="687">
        <f t="shared" si="4"/>
        <v>4271.91</v>
      </c>
    </row>
    <row r="307" spans="1:6">
      <c r="A307" s="685"/>
      <c r="B307" s="686">
        <v>3068</v>
      </c>
      <c r="C307" s="687">
        <v>163400</v>
      </c>
      <c r="D307" s="688" t="s">
        <v>68</v>
      </c>
      <c r="E307" s="689">
        <v>0.01</v>
      </c>
      <c r="F307" s="687">
        <f t="shared" si="4"/>
        <v>1634</v>
      </c>
    </row>
    <row r="308" spans="1:6">
      <c r="A308" s="685"/>
      <c r="B308" s="686">
        <v>3040</v>
      </c>
      <c r="C308" s="687">
        <v>34900</v>
      </c>
      <c r="D308" s="688" t="s">
        <v>68</v>
      </c>
      <c r="E308" s="689">
        <v>0.01</v>
      </c>
      <c r="F308" s="687">
        <f t="shared" si="4"/>
        <v>349</v>
      </c>
    </row>
    <row r="309" spans="1:6">
      <c r="A309" s="685"/>
      <c r="B309" s="686">
        <v>3030</v>
      </c>
      <c r="C309" s="687">
        <v>354400</v>
      </c>
      <c r="D309" s="688" t="s">
        <v>68</v>
      </c>
      <c r="E309" s="689">
        <v>0.01</v>
      </c>
      <c r="F309" s="687">
        <f t="shared" si="4"/>
        <v>3544</v>
      </c>
    </row>
    <row r="310" spans="1:6">
      <c r="A310" s="685"/>
      <c r="B310" s="686">
        <v>1718</v>
      </c>
      <c r="C310" s="687">
        <v>765048</v>
      </c>
      <c r="D310" s="688" t="s">
        <v>68</v>
      </c>
      <c r="E310" s="689">
        <v>0.01</v>
      </c>
      <c r="F310" s="687">
        <f t="shared" si="4"/>
        <v>7650.4800000000005</v>
      </c>
    </row>
    <row r="311" spans="1:6">
      <c r="A311" s="685"/>
      <c r="B311" s="686">
        <v>1692</v>
      </c>
      <c r="C311" s="687">
        <v>97000</v>
      </c>
      <c r="D311" s="688" t="s">
        <v>68</v>
      </c>
      <c r="E311" s="689">
        <v>0.01</v>
      </c>
      <c r="F311" s="687">
        <f t="shared" si="4"/>
        <v>970</v>
      </c>
    </row>
    <row r="312" spans="1:6">
      <c r="A312" s="685"/>
      <c r="B312" s="686">
        <v>1687</v>
      </c>
      <c r="C312" s="687">
        <v>843000</v>
      </c>
      <c r="D312" s="688" t="s">
        <v>68</v>
      </c>
      <c r="E312" s="689">
        <v>0.01</v>
      </c>
      <c r="F312" s="687">
        <f t="shared" si="4"/>
        <v>8430</v>
      </c>
    </row>
    <row r="313" spans="1:6">
      <c r="A313" s="685"/>
      <c r="B313" s="686">
        <v>1676</v>
      </c>
      <c r="C313" s="687">
        <v>117000</v>
      </c>
      <c r="D313" s="688" t="s">
        <v>68</v>
      </c>
      <c r="E313" s="689">
        <v>0.01</v>
      </c>
      <c r="F313" s="687">
        <f t="shared" si="4"/>
        <v>1170</v>
      </c>
    </row>
    <row r="314" spans="1:6">
      <c r="A314" s="685"/>
      <c r="B314" s="686">
        <v>1514</v>
      </c>
      <c r="C314" s="687">
        <v>3945000</v>
      </c>
      <c r="D314" s="688" t="s">
        <v>68</v>
      </c>
      <c r="E314" s="689">
        <v>0.01</v>
      </c>
      <c r="F314" s="687">
        <f t="shared" si="4"/>
        <v>39450</v>
      </c>
    </row>
    <row r="315" spans="1:6">
      <c r="A315" s="685"/>
      <c r="B315" s="686">
        <v>1630</v>
      </c>
      <c r="C315" s="687">
        <v>116500</v>
      </c>
      <c r="D315" s="688" t="s">
        <v>68</v>
      </c>
      <c r="E315" s="689">
        <v>0.01</v>
      </c>
      <c r="F315" s="687">
        <f t="shared" si="4"/>
        <v>1165</v>
      </c>
    </row>
    <row r="316" spans="1:6">
      <c r="A316" s="685"/>
      <c r="B316" s="686">
        <v>1610</v>
      </c>
      <c r="C316" s="687">
        <v>196650</v>
      </c>
      <c r="D316" s="688" t="s">
        <v>68</v>
      </c>
      <c r="E316" s="689">
        <v>0.01</v>
      </c>
      <c r="F316" s="687">
        <f t="shared" si="4"/>
        <v>1966.5</v>
      </c>
    </row>
    <row r="317" spans="1:6">
      <c r="A317" s="685"/>
      <c r="B317" s="686">
        <v>626</v>
      </c>
      <c r="C317" s="687">
        <v>388000</v>
      </c>
      <c r="D317" s="688" t="s">
        <v>68</v>
      </c>
      <c r="E317" s="689">
        <v>0.1</v>
      </c>
      <c r="F317" s="687">
        <f t="shared" si="4"/>
        <v>38800</v>
      </c>
    </row>
    <row r="318" spans="1:6">
      <c r="A318" s="685"/>
      <c r="B318" s="686">
        <v>2365</v>
      </c>
      <c r="C318" s="687">
        <v>2402372</v>
      </c>
      <c r="D318" s="688" t="s">
        <v>68</v>
      </c>
      <c r="E318" s="689">
        <v>0.01</v>
      </c>
      <c r="F318" s="687">
        <f t="shared" si="4"/>
        <v>24023.72</v>
      </c>
    </row>
    <row r="319" spans="1:6">
      <c r="A319" s="685"/>
      <c r="B319" s="686">
        <v>1588</v>
      </c>
      <c r="C319" s="687">
        <v>988450</v>
      </c>
      <c r="D319" s="688" t="s">
        <v>68</v>
      </c>
      <c r="E319" s="689">
        <v>0.01</v>
      </c>
      <c r="F319" s="687">
        <f t="shared" si="4"/>
        <v>9884.5</v>
      </c>
    </row>
    <row r="320" spans="1:6">
      <c r="A320" s="685"/>
      <c r="B320" s="686">
        <v>1581</v>
      </c>
      <c r="C320" s="687">
        <v>985000</v>
      </c>
      <c r="D320" s="688" t="s">
        <v>68</v>
      </c>
      <c r="E320" s="689">
        <v>0.01</v>
      </c>
      <c r="F320" s="687">
        <f t="shared" si="4"/>
        <v>9850</v>
      </c>
    </row>
    <row r="321" spans="1:6">
      <c r="A321" s="685"/>
      <c r="B321" s="686">
        <v>589</v>
      </c>
      <c r="C321" s="687">
        <v>710000</v>
      </c>
      <c r="D321" s="688" t="s">
        <v>68</v>
      </c>
      <c r="E321" s="689">
        <v>0.1</v>
      </c>
      <c r="F321" s="687">
        <f t="shared" si="4"/>
        <v>71000</v>
      </c>
    </row>
    <row r="322" spans="1:6">
      <c r="A322" s="685"/>
      <c r="B322" s="686">
        <v>620</v>
      </c>
      <c r="C322" s="687">
        <v>314000</v>
      </c>
      <c r="D322" s="688" t="s">
        <v>68</v>
      </c>
      <c r="E322" s="689">
        <v>0.1</v>
      </c>
      <c r="F322" s="687">
        <f t="shared" si="4"/>
        <v>31400</v>
      </c>
    </row>
    <row r="323" spans="1:6">
      <c r="A323" s="685"/>
      <c r="B323" s="686">
        <v>1738</v>
      </c>
      <c r="C323" s="687">
        <v>1378607</v>
      </c>
      <c r="D323" s="688" t="s">
        <v>68</v>
      </c>
      <c r="E323" s="689">
        <v>0.01</v>
      </c>
      <c r="F323" s="687">
        <f t="shared" ref="F323:F386" si="5">+C323*E323</f>
        <v>13786.07</v>
      </c>
    </row>
    <row r="324" spans="1:6">
      <c r="A324" s="685"/>
      <c r="B324" s="686">
        <v>1715</v>
      </c>
      <c r="C324" s="687">
        <v>12150000</v>
      </c>
      <c r="D324" s="688" t="s">
        <v>68</v>
      </c>
      <c r="E324" s="689">
        <v>0.01</v>
      </c>
      <c r="F324" s="687">
        <f t="shared" si="5"/>
        <v>121500</v>
      </c>
    </row>
    <row r="325" spans="1:6">
      <c r="A325" s="685"/>
      <c r="B325" s="686">
        <v>1576</v>
      </c>
      <c r="C325" s="687">
        <v>357800</v>
      </c>
      <c r="D325" s="688" t="s">
        <v>68</v>
      </c>
      <c r="E325" s="689">
        <v>0.01</v>
      </c>
      <c r="F325" s="687">
        <f t="shared" si="5"/>
        <v>3578</v>
      </c>
    </row>
    <row r="326" spans="1:6">
      <c r="A326" s="685"/>
      <c r="B326" s="686">
        <v>612</v>
      </c>
      <c r="C326" s="687">
        <v>34000</v>
      </c>
      <c r="D326" s="688" t="s">
        <v>68</v>
      </c>
      <c r="E326" s="689">
        <v>0.1</v>
      </c>
      <c r="F326" s="687">
        <f t="shared" si="5"/>
        <v>3400</v>
      </c>
    </row>
    <row r="327" spans="1:6">
      <c r="A327" s="685"/>
      <c r="B327" s="686">
        <v>1950</v>
      </c>
      <c r="C327" s="687">
        <v>365000</v>
      </c>
      <c r="D327" s="688" t="s">
        <v>68</v>
      </c>
      <c r="E327" s="689">
        <v>0.01</v>
      </c>
      <c r="F327" s="687">
        <f t="shared" si="5"/>
        <v>3650</v>
      </c>
    </row>
    <row r="328" spans="1:6">
      <c r="A328" s="685"/>
      <c r="B328" s="686">
        <v>1947</v>
      </c>
      <c r="C328" s="687">
        <v>150000</v>
      </c>
      <c r="D328" s="688" t="s">
        <v>68</v>
      </c>
      <c r="E328" s="689">
        <v>0.01</v>
      </c>
      <c r="F328" s="687">
        <f t="shared" si="5"/>
        <v>1500</v>
      </c>
    </row>
    <row r="329" spans="1:6">
      <c r="A329" s="685"/>
      <c r="B329" s="686">
        <v>704</v>
      </c>
      <c r="C329" s="687">
        <v>120133</v>
      </c>
      <c r="D329" s="688" t="s">
        <v>68</v>
      </c>
      <c r="E329" s="689">
        <v>0.1</v>
      </c>
      <c r="F329" s="687">
        <f t="shared" si="5"/>
        <v>12013.300000000001</v>
      </c>
    </row>
    <row r="330" spans="1:6">
      <c r="A330" s="685"/>
      <c r="B330" s="686">
        <v>1936</v>
      </c>
      <c r="C330" s="687">
        <v>3564999</v>
      </c>
      <c r="D330" s="688" t="s">
        <v>68</v>
      </c>
      <c r="E330" s="689">
        <v>0.01</v>
      </c>
      <c r="F330" s="687">
        <f t="shared" si="5"/>
        <v>35649.99</v>
      </c>
    </row>
    <row r="331" spans="1:6">
      <c r="A331" s="685"/>
      <c r="B331" s="686">
        <v>932</v>
      </c>
      <c r="C331" s="687">
        <v>6241000</v>
      </c>
      <c r="D331" s="688" t="s">
        <v>68</v>
      </c>
      <c r="E331" s="689">
        <v>0.05</v>
      </c>
      <c r="F331" s="687">
        <f t="shared" si="5"/>
        <v>312050</v>
      </c>
    </row>
    <row r="332" spans="1:6">
      <c r="A332" s="685"/>
      <c r="B332" s="686">
        <v>912</v>
      </c>
      <c r="C332" s="687">
        <v>3703000</v>
      </c>
      <c r="D332" s="688" t="s">
        <v>68</v>
      </c>
      <c r="E332" s="689">
        <v>0.05</v>
      </c>
      <c r="F332" s="687">
        <f t="shared" si="5"/>
        <v>185150</v>
      </c>
    </row>
    <row r="333" spans="1:6">
      <c r="A333" s="685"/>
      <c r="B333" s="686">
        <v>2607</v>
      </c>
      <c r="C333" s="687">
        <v>1684800</v>
      </c>
      <c r="D333" s="688" t="s">
        <v>68</v>
      </c>
      <c r="E333" s="689">
        <v>0.01</v>
      </c>
      <c r="F333" s="687">
        <f t="shared" si="5"/>
        <v>16848</v>
      </c>
    </row>
    <row r="334" spans="1:6">
      <c r="A334" s="685"/>
      <c r="B334" s="686">
        <v>2174</v>
      </c>
      <c r="C334" s="687">
        <v>167249</v>
      </c>
      <c r="D334" s="688" t="s">
        <v>68</v>
      </c>
      <c r="E334" s="689">
        <v>0.01</v>
      </c>
      <c r="F334" s="687">
        <f t="shared" si="5"/>
        <v>1672.49</v>
      </c>
    </row>
    <row r="335" spans="1:6">
      <c r="A335" s="685"/>
      <c r="B335" s="686">
        <v>2250</v>
      </c>
      <c r="C335" s="687">
        <v>159681</v>
      </c>
      <c r="D335" s="688" t="s">
        <v>68</v>
      </c>
      <c r="E335" s="689">
        <v>0.01</v>
      </c>
      <c r="F335" s="687">
        <f t="shared" si="5"/>
        <v>1596.81</v>
      </c>
    </row>
    <row r="336" spans="1:6">
      <c r="A336" s="685"/>
      <c r="B336" s="686">
        <v>2986</v>
      </c>
      <c r="C336" s="687">
        <v>400000</v>
      </c>
      <c r="D336" s="688" t="s">
        <v>68</v>
      </c>
      <c r="E336" s="689">
        <v>0.01</v>
      </c>
      <c r="F336" s="687">
        <f t="shared" si="5"/>
        <v>4000</v>
      </c>
    </row>
    <row r="337" spans="1:6">
      <c r="A337" s="685"/>
      <c r="B337" s="686">
        <v>830</v>
      </c>
      <c r="C337" s="687">
        <v>457800</v>
      </c>
      <c r="D337" s="688" t="s">
        <v>68</v>
      </c>
      <c r="E337" s="689">
        <v>0.05</v>
      </c>
      <c r="F337" s="687">
        <f t="shared" si="5"/>
        <v>22890</v>
      </c>
    </row>
    <row r="338" spans="1:6">
      <c r="A338" s="685"/>
      <c r="B338" s="686">
        <v>814</v>
      </c>
      <c r="C338" s="687">
        <v>6528000</v>
      </c>
      <c r="D338" s="688" t="s">
        <v>68</v>
      </c>
      <c r="E338" s="689">
        <v>0.05</v>
      </c>
      <c r="F338" s="687">
        <f t="shared" si="5"/>
        <v>326400</v>
      </c>
    </row>
    <row r="339" spans="1:6">
      <c r="A339" s="685"/>
      <c r="B339" s="686">
        <v>811</v>
      </c>
      <c r="C339" s="687">
        <v>284000</v>
      </c>
      <c r="D339" s="688" t="s">
        <v>68</v>
      </c>
      <c r="E339" s="689">
        <v>0.05</v>
      </c>
      <c r="F339" s="687">
        <f t="shared" si="5"/>
        <v>14200</v>
      </c>
    </row>
    <row r="340" spans="1:6">
      <c r="A340" s="685"/>
      <c r="B340" s="686">
        <v>805</v>
      </c>
      <c r="C340" s="687">
        <v>649300</v>
      </c>
      <c r="D340" s="688" t="s">
        <v>68</v>
      </c>
      <c r="E340" s="689">
        <v>0.05</v>
      </c>
      <c r="F340" s="687">
        <f t="shared" si="5"/>
        <v>32465</v>
      </c>
    </row>
    <row r="341" spans="1:6">
      <c r="A341" s="685"/>
      <c r="B341" s="686">
        <v>795</v>
      </c>
      <c r="C341" s="687">
        <v>136350</v>
      </c>
      <c r="D341" s="688" t="s">
        <v>68</v>
      </c>
      <c r="E341" s="689">
        <v>0.05</v>
      </c>
      <c r="F341" s="687">
        <f t="shared" si="5"/>
        <v>6817.5</v>
      </c>
    </row>
    <row r="342" spans="1:6">
      <c r="A342" s="685"/>
      <c r="B342" s="686">
        <v>795</v>
      </c>
      <c r="C342" s="687">
        <v>1064800</v>
      </c>
      <c r="D342" s="688" t="s">
        <v>68</v>
      </c>
      <c r="E342" s="689">
        <v>0.05</v>
      </c>
      <c r="F342" s="687">
        <f t="shared" si="5"/>
        <v>53240</v>
      </c>
    </row>
    <row r="343" spans="1:6">
      <c r="A343" s="685"/>
      <c r="B343" s="686">
        <v>788</v>
      </c>
      <c r="C343" s="687">
        <v>448000</v>
      </c>
      <c r="D343" s="688" t="s">
        <v>68</v>
      </c>
      <c r="E343" s="689">
        <v>0.05</v>
      </c>
      <c r="F343" s="687">
        <f t="shared" si="5"/>
        <v>22400</v>
      </c>
    </row>
    <row r="344" spans="1:6">
      <c r="A344" s="685"/>
      <c r="B344" s="686">
        <v>770</v>
      </c>
      <c r="C344" s="687">
        <v>11900000</v>
      </c>
      <c r="D344" s="688" t="s">
        <v>68</v>
      </c>
      <c r="E344" s="689">
        <v>0.05</v>
      </c>
      <c r="F344" s="687">
        <f t="shared" si="5"/>
        <v>595000</v>
      </c>
    </row>
    <row r="345" spans="1:6">
      <c r="A345" s="685"/>
      <c r="B345" s="686">
        <v>2275</v>
      </c>
      <c r="C345" s="687">
        <v>1515500</v>
      </c>
      <c r="D345" s="688" t="s">
        <v>68</v>
      </c>
      <c r="E345" s="689">
        <v>0.01</v>
      </c>
      <c r="F345" s="687">
        <f t="shared" si="5"/>
        <v>15155</v>
      </c>
    </row>
    <row r="346" spans="1:6">
      <c r="A346" s="685"/>
      <c r="B346" s="686">
        <v>2266</v>
      </c>
      <c r="C346" s="687">
        <v>484000</v>
      </c>
      <c r="D346" s="688" t="s">
        <v>68</v>
      </c>
      <c r="E346" s="689">
        <v>0.01</v>
      </c>
      <c r="F346" s="687">
        <f t="shared" si="5"/>
        <v>4840</v>
      </c>
    </row>
    <row r="347" spans="1:6">
      <c r="A347" s="685"/>
      <c r="B347" s="686">
        <v>2265</v>
      </c>
      <c r="C347" s="687">
        <v>484000</v>
      </c>
      <c r="D347" s="688" t="s">
        <v>68</v>
      </c>
      <c r="E347" s="689">
        <v>0.01</v>
      </c>
      <c r="F347" s="687">
        <f t="shared" si="5"/>
        <v>4840</v>
      </c>
    </row>
    <row r="348" spans="1:6">
      <c r="A348" s="685"/>
      <c r="B348" s="686">
        <v>2264</v>
      </c>
      <c r="C348" s="687">
        <v>484000</v>
      </c>
      <c r="D348" s="688" t="s">
        <v>68</v>
      </c>
      <c r="E348" s="689">
        <v>0.01</v>
      </c>
      <c r="F348" s="687">
        <f t="shared" si="5"/>
        <v>4840</v>
      </c>
    </row>
    <row r="349" spans="1:6">
      <c r="A349" s="685"/>
      <c r="B349" s="686">
        <v>2353</v>
      </c>
      <c r="C349" s="687">
        <v>37540</v>
      </c>
      <c r="D349" s="688" t="s">
        <v>68</v>
      </c>
      <c r="E349" s="689">
        <v>0.01</v>
      </c>
      <c r="F349" s="687">
        <f t="shared" si="5"/>
        <v>375.40000000000003</v>
      </c>
    </row>
    <row r="350" spans="1:6">
      <c r="A350" s="685"/>
      <c r="B350" s="686">
        <v>2335</v>
      </c>
      <c r="C350" s="687">
        <v>126265</v>
      </c>
      <c r="D350" s="688" t="s">
        <v>68</v>
      </c>
      <c r="E350" s="689">
        <v>0.01</v>
      </c>
      <c r="F350" s="687">
        <f t="shared" si="5"/>
        <v>1262.6500000000001</v>
      </c>
    </row>
    <row r="351" spans="1:6">
      <c r="A351" s="685"/>
      <c r="B351" s="686">
        <v>2332</v>
      </c>
      <c r="C351" s="687">
        <v>329723</v>
      </c>
      <c r="D351" s="688" t="s">
        <v>68</v>
      </c>
      <c r="E351" s="689">
        <v>0.01</v>
      </c>
      <c r="F351" s="687">
        <f t="shared" si="5"/>
        <v>3297.23</v>
      </c>
    </row>
    <row r="352" spans="1:6">
      <c r="A352" s="685"/>
      <c r="B352" s="686">
        <v>2272</v>
      </c>
      <c r="C352" s="687">
        <v>102200000</v>
      </c>
      <c r="D352" s="688" t="s">
        <v>68</v>
      </c>
      <c r="E352" s="689">
        <v>0.01</v>
      </c>
      <c r="F352" s="687">
        <f t="shared" si="5"/>
        <v>1022000</v>
      </c>
    </row>
    <row r="353" spans="1:6">
      <c r="A353" s="685"/>
      <c r="B353" s="686">
        <v>2321</v>
      </c>
      <c r="C353" s="687">
        <v>217927</v>
      </c>
      <c r="D353" s="688" t="s">
        <v>68</v>
      </c>
      <c r="E353" s="689">
        <v>0.01</v>
      </c>
      <c r="F353" s="687">
        <f t="shared" si="5"/>
        <v>2179.27</v>
      </c>
    </row>
    <row r="354" spans="1:6">
      <c r="A354" s="685"/>
      <c r="B354" s="686">
        <v>2311</v>
      </c>
      <c r="C354" s="687">
        <v>103318</v>
      </c>
      <c r="D354" s="688" t="s">
        <v>68</v>
      </c>
      <c r="E354" s="689">
        <v>0.01</v>
      </c>
      <c r="F354" s="687">
        <f t="shared" si="5"/>
        <v>1033.18</v>
      </c>
    </row>
    <row r="355" spans="1:6">
      <c r="A355" s="685"/>
      <c r="B355" s="686">
        <v>2311</v>
      </c>
      <c r="C355" s="687">
        <v>269942</v>
      </c>
      <c r="D355" s="688" t="s">
        <v>68</v>
      </c>
      <c r="E355" s="689">
        <v>0.01</v>
      </c>
      <c r="F355" s="687">
        <f t="shared" si="5"/>
        <v>2699.42</v>
      </c>
    </row>
    <row r="356" spans="1:6">
      <c r="A356" s="685"/>
      <c r="B356" s="686">
        <v>2307</v>
      </c>
      <c r="C356" s="687">
        <v>206846</v>
      </c>
      <c r="D356" s="688" t="s">
        <v>68</v>
      </c>
      <c r="E356" s="689">
        <v>0.01</v>
      </c>
      <c r="F356" s="687">
        <f t="shared" si="5"/>
        <v>2068.46</v>
      </c>
    </row>
    <row r="357" spans="1:6">
      <c r="A357" s="685"/>
      <c r="B357" s="686">
        <v>2302</v>
      </c>
      <c r="C357" s="687">
        <v>190185</v>
      </c>
      <c r="D357" s="688" t="s">
        <v>68</v>
      </c>
      <c r="E357" s="689">
        <v>0.01</v>
      </c>
      <c r="F357" s="687">
        <f t="shared" si="5"/>
        <v>1901.8500000000001</v>
      </c>
    </row>
    <row r="358" spans="1:6">
      <c r="A358" s="685"/>
      <c r="B358" s="686">
        <v>2301</v>
      </c>
      <c r="C358" s="687">
        <v>76448</v>
      </c>
      <c r="D358" s="688" t="s">
        <v>68</v>
      </c>
      <c r="E358" s="689">
        <v>0.01</v>
      </c>
      <c r="F358" s="687">
        <f t="shared" si="5"/>
        <v>764.48</v>
      </c>
    </row>
    <row r="359" spans="1:6">
      <c r="A359" s="685"/>
      <c r="B359" s="686">
        <v>2295</v>
      </c>
      <c r="C359" s="687">
        <v>156255</v>
      </c>
      <c r="D359" s="688" t="s">
        <v>68</v>
      </c>
      <c r="E359" s="689">
        <v>0.01</v>
      </c>
      <c r="F359" s="687">
        <f t="shared" si="5"/>
        <v>1562.55</v>
      </c>
    </row>
    <row r="360" spans="1:6">
      <c r="A360" s="685"/>
      <c r="B360" s="686">
        <v>2294</v>
      </c>
      <c r="C360" s="687">
        <v>299674</v>
      </c>
      <c r="D360" s="688" t="s">
        <v>68</v>
      </c>
      <c r="E360" s="689">
        <v>0.01</v>
      </c>
      <c r="F360" s="687">
        <f t="shared" si="5"/>
        <v>2996.7400000000002</v>
      </c>
    </row>
    <row r="361" spans="1:6">
      <c r="A361" s="685"/>
      <c r="B361" s="686">
        <v>2291</v>
      </c>
      <c r="C361" s="687">
        <v>34961</v>
      </c>
      <c r="D361" s="688" t="s">
        <v>68</v>
      </c>
      <c r="E361" s="689">
        <v>0.01</v>
      </c>
      <c r="F361" s="687">
        <f t="shared" si="5"/>
        <v>349.61</v>
      </c>
    </row>
    <row r="362" spans="1:6">
      <c r="A362" s="685"/>
      <c r="B362" s="686">
        <v>2290</v>
      </c>
      <c r="C362" s="687">
        <v>302173</v>
      </c>
      <c r="D362" s="688" t="s">
        <v>68</v>
      </c>
      <c r="E362" s="689">
        <v>0.01</v>
      </c>
      <c r="F362" s="687">
        <f t="shared" si="5"/>
        <v>3021.73</v>
      </c>
    </row>
    <row r="363" spans="1:6">
      <c r="A363" s="685"/>
      <c r="B363" s="686">
        <v>2290</v>
      </c>
      <c r="C363" s="687">
        <v>205028</v>
      </c>
      <c r="D363" s="688" t="s">
        <v>68</v>
      </c>
      <c r="E363" s="689">
        <v>0.01</v>
      </c>
      <c r="F363" s="687">
        <f t="shared" si="5"/>
        <v>2050.2800000000002</v>
      </c>
    </row>
    <row r="364" spans="1:6">
      <c r="A364" s="685"/>
      <c r="B364" s="686">
        <v>2284</v>
      </c>
      <c r="C364" s="687">
        <v>278312</v>
      </c>
      <c r="D364" s="688" t="s">
        <v>68</v>
      </c>
      <c r="E364" s="689">
        <v>0.01</v>
      </c>
      <c r="F364" s="687">
        <f t="shared" si="5"/>
        <v>2783.12</v>
      </c>
    </row>
    <row r="365" spans="1:6">
      <c r="A365" s="685"/>
      <c r="B365" s="686">
        <v>2272</v>
      </c>
      <c r="C365" s="687">
        <v>985226</v>
      </c>
      <c r="D365" s="688" t="s">
        <v>68</v>
      </c>
      <c r="E365" s="689">
        <v>0.01</v>
      </c>
      <c r="F365" s="687">
        <f t="shared" si="5"/>
        <v>9852.26</v>
      </c>
    </row>
    <row r="366" spans="1:6">
      <c r="A366" s="685"/>
      <c r="B366" s="686">
        <v>2269</v>
      </c>
      <c r="C366" s="687">
        <v>89048</v>
      </c>
      <c r="D366" s="688" t="s">
        <v>68</v>
      </c>
      <c r="E366" s="689">
        <v>0.01</v>
      </c>
      <c r="F366" s="687">
        <f t="shared" si="5"/>
        <v>890.48</v>
      </c>
    </row>
    <row r="367" spans="1:6">
      <c r="A367" s="685"/>
      <c r="B367" s="686">
        <v>2268</v>
      </c>
      <c r="C367" s="687">
        <v>390030</v>
      </c>
      <c r="D367" s="688" t="s">
        <v>68</v>
      </c>
      <c r="E367" s="689">
        <v>0.01</v>
      </c>
      <c r="F367" s="687">
        <f t="shared" si="5"/>
        <v>3900.3</v>
      </c>
    </row>
    <row r="368" spans="1:6">
      <c r="A368" s="685"/>
      <c r="B368" s="686">
        <v>2239</v>
      </c>
      <c r="C368" s="687">
        <v>305379</v>
      </c>
      <c r="D368" s="688" t="s">
        <v>68</v>
      </c>
      <c r="E368" s="689">
        <v>0.01</v>
      </c>
      <c r="F368" s="687">
        <f t="shared" si="5"/>
        <v>3053.79</v>
      </c>
    </row>
    <row r="369" spans="1:6">
      <c r="A369" s="685"/>
      <c r="B369" s="686">
        <v>2239</v>
      </c>
      <c r="C369" s="687">
        <v>277000</v>
      </c>
      <c r="D369" s="688" t="s">
        <v>68</v>
      </c>
      <c r="E369" s="689">
        <v>0.01</v>
      </c>
      <c r="F369" s="687">
        <f t="shared" si="5"/>
        <v>2770</v>
      </c>
    </row>
    <row r="370" spans="1:6">
      <c r="A370" s="685"/>
      <c r="B370" s="686">
        <v>2237</v>
      </c>
      <c r="C370" s="687">
        <v>241749</v>
      </c>
      <c r="D370" s="688" t="s">
        <v>68</v>
      </c>
      <c r="E370" s="689">
        <v>0.01</v>
      </c>
      <c r="F370" s="687">
        <f t="shared" si="5"/>
        <v>2417.4900000000002</v>
      </c>
    </row>
    <row r="371" spans="1:6">
      <c r="A371" s="685"/>
      <c r="B371" s="686">
        <v>2206</v>
      </c>
      <c r="C371" s="687">
        <v>23448</v>
      </c>
      <c r="D371" s="688" t="s">
        <v>68</v>
      </c>
      <c r="E371" s="689">
        <v>0.01</v>
      </c>
      <c r="F371" s="687">
        <f t="shared" si="5"/>
        <v>234.48000000000002</v>
      </c>
    </row>
    <row r="372" spans="1:6">
      <c r="A372" s="685"/>
      <c r="B372" s="686">
        <v>2230</v>
      </c>
      <c r="C372" s="687">
        <v>38640</v>
      </c>
      <c r="D372" s="688" t="s">
        <v>68</v>
      </c>
      <c r="E372" s="689">
        <v>0.01</v>
      </c>
      <c r="F372" s="687">
        <f t="shared" si="5"/>
        <v>386.40000000000003</v>
      </c>
    </row>
    <row r="373" spans="1:6">
      <c r="A373" s="685"/>
      <c r="B373" s="686">
        <v>2199</v>
      </c>
      <c r="C373" s="687">
        <v>77099</v>
      </c>
      <c r="D373" s="688" t="s">
        <v>68</v>
      </c>
      <c r="E373" s="689">
        <v>0.01</v>
      </c>
      <c r="F373" s="687">
        <f t="shared" si="5"/>
        <v>770.99</v>
      </c>
    </row>
    <row r="374" spans="1:6">
      <c r="A374" s="685"/>
      <c r="B374" s="686">
        <v>2199</v>
      </c>
      <c r="C374" s="687">
        <v>16397</v>
      </c>
      <c r="D374" s="688" t="s">
        <v>68</v>
      </c>
      <c r="E374" s="689">
        <v>0.01</v>
      </c>
      <c r="F374" s="687">
        <f t="shared" si="5"/>
        <v>163.97</v>
      </c>
    </row>
    <row r="375" spans="1:6">
      <c r="A375" s="685"/>
      <c r="B375" s="686">
        <v>2227</v>
      </c>
      <c r="C375" s="687">
        <v>551700</v>
      </c>
      <c r="D375" s="688" t="s">
        <v>68</v>
      </c>
      <c r="E375" s="689">
        <v>0.01</v>
      </c>
      <c r="F375" s="687">
        <f t="shared" si="5"/>
        <v>5517</v>
      </c>
    </row>
    <row r="376" spans="1:6">
      <c r="A376" s="685"/>
      <c r="B376" s="686">
        <v>2188</v>
      </c>
      <c r="C376" s="687">
        <v>145288</v>
      </c>
      <c r="D376" s="688" t="s">
        <v>68</v>
      </c>
      <c r="E376" s="689">
        <v>0.01</v>
      </c>
      <c r="F376" s="687">
        <f t="shared" si="5"/>
        <v>1452.88</v>
      </c>
    </row>
    <row r="377" spans="1:6">
      <c r="A377" s="685"/>
      <c r="B377" s="686">
        <v>2185</v>
      </c>
      <c r="C377" s="687">
        <v>234444</v>
      </c>
      <c r="D377" s="688" t="s">
        <v>68</v>
      </c>
      <c r="E377" s="689">
        <v>0.01</v>
      </c>
      <c r="F377" s="687">
        <f t="shared" si="5"/>
        <v>2344.44</v>
      </c>
    </row>
    <row r="378" spans="1:6">
      <c r="A378" s="685"/>
      <c r="B378" s="686">
        <v>2201</v>
      </c>
      <c r="C378" s="687">
        <v>83476</v>
      </c>
      <c r="D378" s="688" t="s">
        <v>68</v>
      </c>
      <c r="E378" s="689">
        <v>0.01</v>
      </c>
      <c r="F378" s="687">
        <f t="shared" si="5"/>
        <v>834.76</v>
      </c>
    </row>
    <row r="379" spans="1:6">
      <c r="A379" s="685"/>
      <c r="B379" s="686">
        <v>2164</v>
      </c>
      <c r="C379" s="687">
        <v>10602</v>
      </c>
      <c r="D379" s="688" t="s">
        <v>68</v>
      </c>
      <c r="E379" s="689">
        <v>0.01</v>
      </c>
      <c r="F379" s="687">
        <f t="shared" si="5"/>
        <v>106.02</v>
      </c>
    </row>
    <row r="380" spans="1:6">
      <c r="A380" s="685"/>
      <c r="B380" s="686">
        <v>2157</v>
      </c>
      <c r="C380" s="687">
        <v>123900</v>
      </c>
      <c r="D380" s="688" t="s">
        <v>68</v>
      </c>
      <c r="E380" s="689">
        <v>0.01</v>
      </c>
      <c r="F380" s="687">
        <f t="shared" si="5"/>
        <v>1239</v>
      </c>
    </row>
    <row r="381" spans="1:6">
      <c r="A381" s="685"/>
      <c r="B381" s="686">
        <v>2174</v>
      </c>
      <c r="C381" s="687">
        <v>117242</v>
      </c>
      <c r="D381" s="688" t="s">
        <v>68</v>
      </c>
      <c r="E381" s="689">
        <v>0.01</v>
      </c>
      <c r="F381" s="687">
        <f t="shared" si="5"/>
        <v>1172.42</v>
      </c>
    </row>
    <row r="382" spans="1:6">
      <c r="A382" s="685"/>
      <c r="B382" s="686">
        <v>2134</v>
      </c>
      <c r="C382" s="687">
        <v>41792</v>
      </c>
      <c r="D382" s="688" t="s">
        <v>68</v>
      </c>
      <c r="E382" s="689">
        <v>0.01</v>
      </c>
      <c r="F382" s="687">
        <f t="shared" si="5"/>
        <v>417.92</v>
      </c>
    </row>
    <row r="383" spans="1:6">
      <c r="A383" s="685"/>
      <c r="B383" s="686">
        <v>2115</v>
      </c>
      <c r="C383" s="687">
        <v>76065</v>
      </c>
      <c r="D383" s="688" t="s">
        <v>68</v>
      </c>
      <c r="E383" s="689">
        <v>0.01</v>
      </c>
      <c r="F383" s="687">
        <f t="shared" si="5"/>
        <v>760.65</v>
      </c>
    </row>
    <row r="384" spans="1:6">
      <c r="A384" s="685"/>
      <c r="B384" s="686">
        <v>2109</v>
      </c>
      <c r="C384" s="687">
        <v>91939</v>
      </c>
      <c r="D384" s="688" t="s">
        <v>68</v>
      </c>
      <c r="E384" s="689">
        <v>0.01</v>
      </c>
      <c r="F384" s="687">
        <f t="shared" si="5"/>
        <v>919.39</v>
      </c>
    </row>
    <row r="385" spans="1:6">
      <c r="A385" s="685"/>
      <c r="B385" s="686">
        <v>1454</v>
      </c>
      <c r="C385" s="687">
        <v>52420</v>
      </c>
      <c r="D385" s="688" t="s">
        <v>68</v>
      </c>
      <c r="E385" s="689">
        <v>0.01</v>
      </c>
      <c r="F385" s="687">
        <f t="shared" si="5"/>
        <v>524.20000000000005</v>
      </c>
    </row>
    <row r="386" spans="1:6">
      <c r="A386" s="685"/>
      <c r="B386" s="686">
        <v>1437</v>
      </c>
      <c r="C386" s="687">
        <v>82017</v>
      </c>
      <c r="D386" s="688" t="s">
        <v>68</v>
      </c>
      <c r="E386" s="689">
        <v>0.01</v>
      </c>
      <c r="F386" s="687">
        <f t="shared" si="5"/>
        <v>820.17000000000007</v>
      </c>
    </row>
    <row r="387" spans="1:6">
      <c r="A387" s="685"/>
      <c r="B387" s="686">
        <v>1427</v>
      </c>
      <c r="C387" s="687">
        <v>6750</v>
      </c>
      <c r="D387" s="688" t="s">
        <v>68</v>
      </c>
      <c r="E387" s="689">
        <v>0.01</v>
      </c>
      <c r="F387" s="687">
        <f t="shared" ref="F387:F450" si="6">+C387*E387</f>
        <v>67.5</v>
      </c>
    </row>
    <row r="388" spans="1:6">
      <c r="A388" s="685"/>
      <c r="B388" s="686">
        <v>1414</v>
      </c>
      <c r="C388" s="687">
        <v>28600</v>
      </c>
      <c r="D388" s="688" t="s">
        <v>68</v>
      </c>
      <c r="E388" s="689">
        <v>0.01</v>
      </c>
      <c r="F388" s="687">
        <f t="shared" si="6"/>
        <v>286</v>
      </c>
    </row>
    <row r="389" spans="1:6">
      <c r="A389" s="685"/>
      <c r="B389" s="686">
        <v>654</v>
      </c>
      <c r="C389" s="687">
        <v>135150</v>
      </c>
      <c r="D389" s="688" t="s">
        <v>68</v>
      </c>
      <c r="E389" s="689">
        <v>0.1</v>
      </c>
      <c r="F389" s="687">
        <f t="shared" si="6"/>
        <v>13515</v>
      </c>
    </row>
    <row r="390" spans="1:6">
      <c r="A390" s="685"/>
      <c r="B390" s="686">
        <v>947</v>
      </c>
      <c r="C390" s="687">
        <v>931150</v>
      </c>
      <c r="D390" s="688" t="s">
        <v>68</v>
      </c>
      <c r="E390" s="689">
        <v>0.05</v>
      </c>
      <c r="F390" s="687">
        <f t="shared" si="6"/>
        <v>46557.5</v>
      </c>
    </row>
    <row r="391" spans="1:6">
      <c r="A391" s="685"/>
      <c r="B391" s="686">
        <v>1640</v>
      </c>
      <c r="C391" s="687">
        <v>430050</v>
      </c>
      <c r="D391" s="688" t="s">
        <v>68</v>
      </c>
      <c r="E391" s="689">
        <v>0.01</v>
      </c>
      <c r="F391" s="687">
        <f t="shared" si="6"/>
        <v>4300.5</v>
      </c>
    </row>
    <row r="392" spans="1:6">
      <c r="A392" s="685"/>
      <c r="B392" s="686">
        <v>1618</v>
      </c>
      <c r="C392" s="687">
        <v>100000</v>
      </c>
      <c r="D392" s="688" t="s">
        <v>68</v>
      </c>
      <c r="E392" s="689">
        <v>0.01</v>
      </c>
      <c r="F392" s="687">
        <f t="shared" si="6"/>
        <v>1000</v>
      </c>
    </row>
    <row r="393" spans="1:6">
      <c r="A393" s="685"/>
      <c r="B393" s="686">
        <v>1618</v>
      </c>
      <c r="C393" s="687">
        <v>36000</v>
      </c>
      <c r="D393" s="688" t="s">
        <v>68</v>
      </c>
      <c r="E393" s="689">
        <v>0.01</v>
      </c>
      <c r="F393" s="687">
        <f t="shared" si="6"/>
        <v>360</v>
      </c>
    </row>
    <row r="394" spans="1:6">
      <c r="A394" s="685"/>
      <c r="B394" s="686">
        <v>1603</v>
      </c>
      <c r="C394" s="687">
        <v>2265000</v>
      </c>
      <c r="D394" s="688" t="s">
        <v>68</v>
      </c>
      <c r="E394" s="689">
        <v>0.01</v>
      </c>
      <c r="F394" s="687">
        <f t="shared" si="6"/>
        <v>22650</v>
      </c>
    </row>
    <row r="395" spans="1:6">
      <c r="A395" s="685"/>
      <c r="B395" s="686">
        <v>1533</v>
      </c>
      <c r="C395" s="687">
        <v>46700</v>
      </c>
      <c r="D395" s="688" t="s">
        <v>68</v>
      </c>
      <c r="E395" s="689">
        <v>0.01</v>
      </c>
      <c r="F395" s="687">
        <f t="shared" si="6"/>
        <v>467</v>
      </c>
    </row>
    <row r="396" spans="1:6">
      <c r="A396" s="685"/>
      <c r="B396" s="686">
        <v>986</v>
      </c>
      <c r="C396" s="687">
        <v>259350</v>
      </c>
      <c r="D396" s="688" t="s">
        <v>68</v>
      </c>
      <c r="E396" s="689">
        <v>0.05</v>
      </c>
      <c r="F396" s="687">
        <f t="shared" si="6"/>
        <v>12967.5</v>
      </c>
    </row>
    <row r="397" spans="1:6">
      <c r="A397" s="685"/>
      <c r="B397" s="686">
        <v>986</v>
      </c>
      <c r="C397" s="687">
        <v>4055000</v>
      </c>
      <c r="D397" s="688" t="s">
        <v>68</v>
      </c>
      <c r="E397" s="689">
        <v>0.05</v>
      </c>
      <c r="F397" s="687">
        <f t="shared" si="6"/>
        <v>202750</v>
      </c>
    </row>
    <row r="398" spans="1:6">
      <c r="A398" s="685"/>
      <c r="B398" s="686">
        <v>975</v>
      </c>
      <c r="C398" s="687">
        <v>901700</v>
      </c>
      <c r="D398" s="688" t="s">
        <v>68</v>
      </c>
      <c r="E398" s="689">
        <v>0.05</v>
      </c>
      <c r="F398" s="687">
        <f t="shared" si="6"/>
        <v>45085</v>
      </c>
    </row>
    <row r="399" spans="1:6">
      <c r="A399" s="685"/>
      <c r="B399" s="686">
        <v>2160</v>
      </c>
      <c r="C399" s="687">
        <v>213900</v>
      </c>
      <c r="D399" s="688" t="s">
        <v>68</v>
      </c>
      <c r="E399" s="689">
        <v>0.01</v>
      </c>
      <c r="F399" s="687">
        <f t="shared" si="6"/>
        <v>2139</v>
      </c>
    </row>
    <row r="400" spans="1:6">
      <c r="A400" s="685"/>
      <c r="B400" s="686">
        <v>3198</v>
      </c>
      <c r="C400" s="687">
        <v>463169</v>
      </c>
      <c r="D400" s="688" t="s">
        <v>68</v>
      </c>
      <c r="E400" s="689">
        <v>0.01</v>
      </c>
      <c r="F400" s="687">
        <f t="shared" si="6"/>
        <v>4631.6900000000005</v>
      </c>
    </row>
    <row r="401" spans="1:6">
      <c r="A401" s="685"/>
      <c r="B401" s="686">
        <v>3228</v>
      </c>
      <c r="C401" s="687">
        <v>1959339</v>
      </c>
      <c r="D401" s="688" t="s">
        <v>68</v>
      </c>
      <c r="E401" s="689">
        <v>0.01</v>
      </c>
      <c r="F401" s="687">
        <f t="shared" si="6"/>
        <v>19593.39</v>
      </c>
    </row>
    <row r="402" spans="1:6">
      <c r="A402" s="685"/>
      <c r="B402" s="686">
        <v>3146</v>
      </c>
      <c r="C402" s="687">
        <v>150162</v>
      </c>
      <c r="D402" s="688" t="s">
        <v>68</v>
      </c>
      <c r="E402" s="689">
        <v>0.01</v>
      </c>
      <c r="F402" s="687">
        <f t="shared" si="6"/>
        <v>1501.6200000000001</v>
      </c>
    </row>
    <row r="403" spans="1:6">
      <c r="A403" s="685"/>
      <c r="B403" s="686">
        <v>3340</v>
      </c>
      <c r="C403" s="687">
        <v>52742</v>
      </c>
      <c r="D403" s="688" t="s">
        <v>68</v>
      </c>
      <c r="E403" s="689">
        <v>0.01</v>
      </c>
      <c r="F403" s="687">
        <f t="shared" si="6"/>
        <v>527.41999999999996</v>
      </c>
    </row>
    <row r="404" spans="1:6">
      <c r="A404" s="685"/>
      <c r="B404" s="686">
        <v>3340</v>
      </c>
      <c r="C404" s="687">
        <v>434404</v>
      </c>
      <c r="D404" s="688" t="s">
        <v>68</v>
      </c>
      <c r="E404" s="689">
        <v>0.01</v>
      </c>
      <c r="F404" s="687">
        <f t="shared" si="6"/>
        <v>4344.04</v>
      </c>
    </row>
    <row r="405" spans="1:6">
      <c r="A405" s="685"/>
      <c r="B405" s="686">
        <v>3340</v>
      </c>
      <c r="C405" s="687">
        <v>93097</v>
      </c>
      <c r="D405" s="688" t="s">
        <v>68</v>
      </c>
      <c r="E405" s="689">
        <v>0.01</v>
      </c>
      <c r="F405" s="687">
        <f t="shared" si="6"/>
        <v>930.97</v>
      </c>
    </row>
    <row r="406" spans="1:6">
      <c r="A406" s="685"/>
      <c r="B406" s="686">
        <v>3282</v>
      </c>
      <c r="C406" s="687">
        <v>106490</v>
      </c>
      <c r="D406" s="688" t="s">
        <v>68</v>
      </c>
      <c r="E406" s="689">
        <v>0.01</v>
      </c>
      <c r="F406" s="687">
        <f t="shared" si="6"/>
        <v>1064.9000000000001</v>
      </c>
    </row>
    <row r="407" spans="1:6">
      <c r="A407" s="685"/>
      <c r="B407" s="686">
        <v>3312</v>
      </c>
      <c r="C407" s="687">
        <v>1624</v>
      </c>
      <c r="D407" s="688" t="s">
        <v>68</v>
      </c>
      <c r="E407" s="689">
        <v>0.01</v>
      </c>
      <c r="F407" s="687">
        <f t="shared" si="6"/>
        <v>16.240000000000002</v>
      </c>
    </row>
    <row r="408" spans="1:6">
      <c r="A408" s="685"/>
      <c r="B408" s="686">
        <v>3245</v>
      </c>
      <c r="C408" s="687">
        <v>68383</v>
      </c>
      <c r="D408" s="688" t="s">
        <v>68</v>
      </c>
      <c r="E408" s="689">
        <v>0.01</v>
      </c>
      <c r="F408" s="687">
        <f t="shared" si="6"/>
        <v>683.83</v>
      </c>
    </row>
    <row r="409" spans="1:6">
      <c r="A409" s="685"/>
      <c r="B409" s="686">
        <v>3245</v>
      </c>
      <c r="C409" s="687">
        <v>246229</v>
      </c>
      <c r="D409" s="688" t="s">
        <v>68</v>
      </c>
      <c r="E409" s="689">
        <v>0.01</v>
      </c>
      <c r="F409" s="687">
        <f t="shared" si="6"/>
        <v>2462.29</v>
      </c>
    </row>
    <row r="410" spans="1:6">
      <c r="A410" s="685"/>
      <c r="B410" s="686">
        <v>3240</v>
      </c>
      <c r="C410" s="687">
        <v>193054</v>
      </c>
      <c r="D410" s="688" t="s">
        <v>68</v>
      </c>
      <c r="E410" s="689">
        <v>0.01</v>
      </c>
      <c r="F410" s="687">
        <f t="shared" si="6"/>
        <v>1930.54</v>
      </c>
    </row>
    <row r="411" spans="1:6">
      <c r="A411" s="685"/>
      <c r="B411" s="686">
        <v>3240</v>
      </c>
      <c r="C411" s="687">
        <v>135906</v>
      </c>
      <c r="D411" s="688" t="s">
        <v>68</v>
      </c>
      <c r="E411" s="689">
        <v>0.01</v>
      </c>
      <c r="F411" s="687">
        <f t="shared" si="6"/>
        <v>1359.06</v>
      </c>
    </row>
    <row r="412" spans="1:6">
      <c r="A412" s="685"/>
      <c r="B412" s="686">
        <v>3240</v>
      </c>
      <c r="C412" s="687">
        <v>97662</v>
      </c>
      <c r="D412" s="688" t="s">
        <v>68</v>
      </c>
      <c r="E412" s="689">
        <v>0.01</v>
      </c>
      <c r="F412" s="687">
        <f t="shared" si="6"/>
        <v>976.62</v>
      </c>
    </row>
    <row r="413" spans="1:6">
      <c r="A413" s="685"/>
      <c r="B413" s="686">
        <v>3237</v>
      </c>
      <c r="C413" s="687">
        <v>192402</v>
      </c>
      <c r="D413" s="688" t="s">
        <v>68</v>
      </c>
      <c r="E413" s="689">
        <v>0.01</v>
      </c>
      <c r="F413" s="687">
        <f t="shared" si="6"/>
        <v>1924.02</v>
      </c>
    </row>
    <row r="414" spans="1:6">
      <c r="A414" s="685"/>
      <c r="B414" s="686">
        <v>3350</v>
      </c>
      <c r="C414" s="687">
        <v>79396</v>
      </c>
      <c r="D414" s="688" t="s">
        <v>68</v>
      </c>
      <c r="E414" s="689">
        <v>0.01</v>
      </c>
      <c r="F414" s="687">
        <f t="shared" si="6"/>
        <v>793.96</v>
      </c>
    </row>
    <row r="415" spans="1:6">
      <c r="A415" s="685"/>
      <c r="B415" s="686">
        <v>3293</v>
      </c>
      <c r="C415" s="687">
        <v>185225</v>
      </c>
      <c r="D415" s="688" t="s">
        <v>68</v>
      </c>
      <c r="E415" s="689">
        <v>0.01</v>
      </c>
      <c r="F415" s="687">
        <f t="shared" si="6"/>
        <v>1852.25</v>
      </c>
    </row>
    <row r="416" spans="1:6">
      <c r="A416" s="685"/>
      <c r="B416" s="686">
        <v>3355</v>
      </c>
      <c r="C416" s="687">
        <v>7259</v>
      </c>
      <c r="D416" s="688" t="s">
        <v>68</v>
      </c>
      <c r="E416" s="689">
        <v>0.01</v>
      </c>
      <c r="F416" s="687">
        <f t="shared" si="6"/>
        <v>72.59</v>
      </c>
    </row>
    <row r="417" spans="1:6">
      <c r="A417" s="685"/>
      <c r="B417" s="686">
        <v>3350</v>
      </c>
      <c r="C417" s="687">
        <v>446217</v>
      </c>
      <c r="D417" s="688" t="s">
        <v>68</v>
      </c>
      <c r="E417" s="689">
        <v>0.01</v>
      </c>
      <c r="F417" s="687">
        <f t="shared" si="6"/>
        <v>4462.17</v>
      </c>
    </row>
    <row r="418" spans="1:6">
      <c r="A418" s="685"/>
      <c r="B418" s="686">
        <v>3347</v>
      </c>
      <c r="C418" s="687">
        <v>86490</v>
      </c>
      <c r="D418" s="688" t="s">
        <v>68</v>
      </c>
      <c r="E418" s="689">
        <v>0.01</v>
      </c>
      <c r="F418" s="687">
        <f t="shared" si="6"/>
        <v>864.9</v>
      </c>
    </row>
    <row r="419" spans="1:6">
      <c r="A419" s="685"/>
      <c r="B419" s="686">
        <v>3313</v>
      </c>
      <c r="C419" s="687">
        <v>241782</v>
      </c>
      <c r="D419" s="688" t="s">
        <v>68</v>
      </c>
      <c r="E419" s="689">
        <v>0.01</v>
      </c>
      <c r="F419" s="687">
        <f t="shared" si="6"/>
        <v>2417.8200000000002</v>
      </c>
    </row>
    <row r="420" spans="1:6">
      <c r="A420" s="685"/>
      <c r="B420" s="686">
        <v>3328</v>
      </c>
      <c r="C420" s="687">
        <v>51207</v>
      </c>
      <c r="D420" s="688" t="s">
        <v>68</v>
      </c>
      <c r="E420" s="689">
        <v>0.01</v>
      </c>
      <c r="F420" s="687">
        <f t="shared" si="6"/>
        <v>512.07000000000005</v>
      </c>
    </row>
    <row r="421" spans="1:6">
      <c r="A421" s="685"/>
      <c r="B421" s="686">
        <v>3293</v>
      </c>
      <c r="C421" s="687">
        <v>8412</v>
      </c>
      <c r="D421" s="688" t="s">
        <v>68</v>
      </c>
      <c r="E421" s="689">
        <v>0.01</v>
      </c>
      <c r="F421" s="687">
        <f t="shared" si="6"/>
        <v>84.12</v>
      </c>
    </row>
    <row r="422" spans="1:6">
      <c r="A422" s="685"/>
      <c r="B422" s="686">
        <v>3320</v>
      </c>
      <c r="C422" s="687">
        <v>9789</v>
      </c>
      <c r="D422" s="688" t="s">
        <v>68</v>
      </c>
      <c r="E422" s="689">
        <v>0.01</v>
      </c>
      <c r="F422" s="687">
        <f t="shared" si="6"/>
        <v>97.89</v>
      </c>
    </row>
    <row r="423" spans="1:6">
      <c r="A423" s="685"/>
      <c r="B423" s="686">
        <v>1625</v>
      </c>
      <c r="C423" s="687">
        <v>100000</v>
      </c>
      <c r="D423" s="688" t="s">
        <v>68</v>
      </c>
      <c r="E423" s="689">
        <v>0.01</v>
      </c>
      <c r="F423" s="687">
        <f t="shared" si="6"/>
        <v>1000</v>
      </c>
    </row>
    <row r="424" spans="1:6">
      <c r="A424" s="685"/>
      <c r="B424" s="686">
        <v>1569</v>
      </c>
      <c r="C424" s="687">
        <v>185630</v>
      </c>
      <c r="D424" s="688" t="s">
        <v>68</v>
      </c>
      <c r="E424" s="689">
        <v>0.01</v>
      </c>
      <c r="F424" s="687">
        <f t="shared" si="6"/>
        <v>1856.3</v>
      </c>
    </row>
    <row r="425" spans="1:6">
      <c r="A425" s="685"/>
      <c r="B425" s="686">
        <v>1485</v>
      </c>
      <c r="C425" s="687">
        <v>86830</v>
      </c>
      <c r="D425" s="688" t="s">
        <v>68</v>
      </c>
      <c r="E425" s="689">
        <v>0.01</v>
      </c>
      <c r="F425" s="687">
        <f t="shared" si="6"/>
        <v>868.30000000000007</v>
      </c>
    </row>
    <row r="426" spans="1:6">
      <c r="A426" s="685"/>
      <c r="B426" s="686">
        <v>1464</v>
      </c>
      <c r="C426" s="687">
        <v>122440</v>
      </c>
      <c r="D426" s="688" t="s">
        <v>68</v>
      </c>
      <c r="E426" s="689">
        <v>0.01</v>
      </c>
      <c r="F426" s="687">
        <f t="shared" si="6"/>
        <v>1224.4000000000001</v>
      </c>
    </row>
    <row r="427" spans="1:6">
      <c r="A427" s="685"/>
      <c r="B427" s="686">
        <v>3177</v>
      </c>
      <c r="C427" s="687">
        <v>148109</v>
      </c>
      <c r="D427" s="688" t="s">
        <v>68</v>
      </c>
      <c r="E427" s="689">
        <v>0.01</v>
      </c>
      <c r="F427" s="687">
        <f t="shared" si="6"/>
        <v>1481.09</v>
      </c>
    </row>
    <row r="428" spans="1:6">
      <c r="A428" s="685"/>
      <c r="B428" s="686">
        <v>3172</v>
      </c>
      <c r="C428" s="687">
        <v>98744</v>
      </c>
      <c r="D428" s="688" t="s">
        <v>68</v>
      </c>
      <c r="E428" s="689">
        <v>0.01</v>
      </c>
      <c r="F428" s="687">
        <f t="shared" si="6"/>
        <v>987.44</v>
      </c>
    </row>
    <row r="429" spans="1:6">
      <c r="A429" s="685"/>
      <c r="B429" s="686">
        <v>3202</v>
      </c>
      <c r="C429" s="687">
        <v>185000</v>
      </c>
      <c r="D429" s="688" t="s">
        <v>68</v>
      </c>
      <c r="E429" s="689">
        <v>0.01</v>
      </c>
      <c r="F429" s="687">
        <f t="shared" si="6"/>
        <v>1850</v>
      </c>
    </row>
    <row r="430" spans="1:6">
      <c r="A430" s="685"/>
      <c r="B430" s="686">
        <v>3171</v>
      </c>
      <c r="C430" s="687">
        <v>24607</v>
      </c>
      <c r="D430" s="688" t="s">
        <v>68</v>
      </c>
      <c r="E430" s="689">
        <v>0.01</v>
      </c>
      <c r="F430" s="687">
        <f t="shared" si="6"/>
        <v>246.07</v>
      </c>
    </row>
    <row r="431" spans="1:6">
      <c r="A431" s="685"/>
      <c r="B431" s="686">
        <v>3166</v>
      </c>
      <c r="C431" s="687">
        <v>165892</v>
      </c>
      <c r="D431" s="688" t="s">
        <v>68</v>
      </c>
      <c r="E431" s="689">
        <v>0.01</v>
      </c>
      <c r="F431" s="687">
        <f t="shared" si="6"/>
        <v>1658.92</v>
      </c>
    </row>
    <row r="432" spans="1:6">
      <c r="A432" s="685"/>
      <c r="B432" s="686">
        <v>3160</v>
      </c>
      <c r="C432" s="687">
        <v>73709</v>
      </c>
      <c r="D432" s="688" t="s">
        <v>68</v>
      </c>
      <c r="E432" s="689">
        <v>0.01</v>
      </c>
      <c r="F432" s="687">
        <f t="shared" si="6"/>
        <v>737.09</v>
      </c>
    </row>
    <row r="433" spans="1:6">
      <c r="A433" s="685"/>
      <c r="B433" s="686">
        <v>3160</v>
      </c>
      <c r="C433" s="687">
        <v>99331</v>
      </c>
      <c r="D433" s="688" t="s">
        <v>68</v>
      </c>
      <c r="E433" s="689">
        <v>0.01</v>
      </c>
      <c r="F433" s="687">
        <f t="shared" si="6"/>
        <v>993.31000000000006</v>
      </c>
    </row>
    <row r="434" spans="1:6">
      <c r="A434" s="685"/>
      <c r="B434" s="686">
        <v>3159</v>
      </c>
      <c r="C434" s="687">
        <v>114847</v>
      </c>
      <c r="D434" s="688" t="s">
        <v>68</v>
      </c>
      <c r="E434" s="689">
        <v>0.01</v>
      </c>
      <c r="F434" s="687">
        <f t="shared" si="6"/>
        <v>1148.47</v>
      </c>
    </row>
    <row r="435" spans="1:6">
      <c r="A435" s="685"/>
      <c r="B435" s="686">
        <v>3138</v>
      </c>
      <c r="C435" s="687">
        <v>101614</v>
      </c>
      <c r="D435" s="688" t="s">
        <v>68</v>
      </c>
      <c r="E435" s="689">
        <v>0.01</v>
      </c>
      <c r="F435" s="687">
        <f t="shared" si="6"/>
        <v>1016.14</v>
      </c>
    </row>
    <row r="436" spans="1:6">
      <c r="A436" s="685"/>
      <c r="B436" s="686">
        <v>3138</v>
      </c>
      <c r="C436" s="687">
        <v>18867</v>
      </c>
      <c r="D436" s="688" t="s">
        <v>68</v>
      </c>
      <c r="E436" s="689">
        <v>0.01</v>
      </c>
      <c r="F436" s="687">
        <f t="shared" si="6"/>
        <v>188.67000000000002</v>
      </c>
    </row>
    <row r="437" spans="1:6">
      <c r="A437" s="685"/>
      <c r="B437" s="686">
        <v>3121</v>
      </c>
      <c r="C437" s="687">
        <v>8775681</v>
      </c>
      <c r="D437" s="688" t="s">
        <v>68</v>
      </c>
      <c r="E437" s="689">
        <v>0.01</v>
      </c>
      <c r="F437" s="687">
        <f t="shared" si="6"/>
        <v>87756.81</v>
      </c>
    </row>
    <row r="438" spans="1:6">
      <c r="A438" s="685"/>
      <c r="B438" s="686">
        <v>3243</v>
      </c>
      <c r="C438" s="687">
        <v>41962</v>
      </c>
      <c r="D438" s="688" t="s">
        <v>68</v>
      </c>
      <c r="E438" s="689">
        <v>0.01</v>
      </c>
      <c r="F438" s="687">
        <f t="shared" si="6"/>
        <v>419.62</v>
      </c>
    </row>
    <row r="439" spans="1:6">
      <c r="A439" s="685"/>
      <c r="B439" s="686">
        <v>3215</v>
      </c>
      <c r="C439" s="687">
        <v>17992</v>
      </c>
      <c r="D439" s="688" t="s">
        <v>68</v>
      </c>
      <c r="E439" s="689">
        <v>0.01</v>
      </c>
      <c r="F439" s="687">
        <f t="shared" si="6"/>
        <v>179.92000000000002</v>
      </c>
    </row>
    <row r="440" spans="1:6">
      <c r="A440" s="685"/>
      <c r="B440" s="686">
        <v>3245</v>
      </c>
      <c r="C440" s="687">
        <v>169921</v>
      </c>
      <c r="D440" s="688" t="s">
        <v>68</v>
      </c>
      <c r="E440" s="689">
        <v>0.01</v>
      </c>
      <c r="F440" s="687">
        <f t="shared" si="6"/>
        <v>1699.21</v>
      </c>
    </row>
    <row r="441" spans="1:6">
      <c r="A441" s="685"/>
      <c r="B441" s="686">
        <v>3245</v>
      </c>
      <c r="C441" s="687">
        <v>53833</v>
      </c>
      <c r="D441" s="688" t="s">
        <v>68</v>
      </c>
      <c r="E441" s="689">
        <v>0.01</v>
      </c>
      <c r="F441" s="687">
        <f t="shared" si="6"/>
        <v>538.33000000000004</v>
      </c>
    </row>
    <row r="442" spans="1:6">
      <c r="A442" s="685"/>
      <c r="B442" s="686">
        <v>3245</v>
      </c>
      <c r="C442" s="687">
        <v>18857</v>
      </c>
      <c r="D442" s="688" t="s">
        <v>68</v>
      </c>
      <c r="E442" s="689">
        <v>0.01</v>
      </c>
      <c r="F442" s="687">
        <f t="shared" si="6"/>
        <v>188.57</v>
      </c>
    </row>
    <row r="443" spans="1:6">
      <c r="A443" s="685"/>
      <c r="B443" s="686">
        <v>3240</v>
      </c>
      <c r="C443" s="687">
        <v>5829</v>
      </c>
      <c r="D443" s="688" t="s">
        <v>68</v>
      </c>
      <c r="E443" s="689">
        <v>0.01</v>
      </c>
      <c r="F443" s="687">
        <f t="shared" si="6"/>
        <v>58.29</v>
      </c>
    </row>
    <row r="444" spans="1:6">
      <c r="A444" s="685"/>
      <c r="B444" s="686">
        <v>3397</v>
      </c>
      <c r="C444" s="687">
        <v>11088</v>
      </c>
      <c r="D444" s="688" t="s">
        <v>68</v>
      </c>
      <c r="E444" s="689">
        <v>0.01</v>
      </c>
      <c r="F444" s="687">
        <f t="shared" si="6"/>
        <v>110.88</v>
      </c>
    </row>
    <row r="445" spans="1:6">
      <c r="A445" s="685"/>
      <c r="B445" s="686">
        <v>3396</v>
      </c>
      <c r="C445" s="687">
        <v>72702</v>
      </c>
      <c r="D445" s="688" t="s">
        <v>68</v>
      </c>
      <c r="E445" s="689">
        <v>0.01</v>
      </c>
      <c r="F445" s="687">
        <f t="shared" si="6"/>
        <v>727.02</v>
      </c>
    </row>
    <row r="446" spans="1:6">
      <c r="A446" s="685"/>
      <c r="B446" s="686">
        <v>3395</v>
      </c>
      <c r="C446" s="687">
        <v>51387</v>
      </c>
      <c r="D446" s="688" t="s">
        <v>68</v>
      </c>
      <c r="E446" s="689">
        <v>0.01</v>
      </c>
      <c r="F446" s="687">
        <f t="shared" si="6"/>
        <v>513.87</v>
      </c>
    </row>
    <row r="447" spans="1:6">
      <c r="A447" s="685"/>
      <c r="B447" s="686">
        <v>3347</v>
      </c>
      <c r="C447" s="687">
        <v>1314589</v>
      </c>
      <c r="D447" s="688" t="s">
        <v>68</v>
      </c>
      <c r="E447" s="689">
        <v>0.01</v>
      </c>
      <c r="F447" s="687">
        <f t="shared" si="6"/>
        <v>13145.89</v>
      </c>
    </row>
    <row r="448" spans="1:6">
      <c r="A448" s="685"/>
      <c r="B448" s="686">
        <v>2166</v>
      </c>
      <c r="C448" s="687">
        <v>6964780</v>
      </c>
      <c r="D448" s="688" t="s">
        <v>68</v>
      </c>
      <c r="E448" s="689">
        <v>0.01</v>
      </c>
      <c r="F448" s="687">
        <f t="shared" si="6"/>
        <v>69647.8</v>
      </c>
    </row>
    <row r="449" spans="1:6">
      <c r="A449" s="685"/>
      <c r="B449" s="686">
        <v>2195</v>
      </c>
      <c r="C449" s="687">
        <v>235001</v>
      </c>
      <c r="D449" s="688" t="s">
        <v>68</v>
      </c>
      <c r="E449" s="689">
        <v>0.01</v>
      </c>
      <c r="F449" s="687">
        <f t="shared" si="6"/>
        <v>2350.0100000000002</v>
      </c>
    </row>
    <row r="450" spans="1:6">
      <c r="A450" s="685"/>
      <c r="B450" s="686">
        <v>2164</v>
      </c>
      <c r="C450" s="687">
        <v>468928</v>
      </c>
      <c r="D450" s="688" t="s">
        <v>68</v>
      </c>
      <c r="E450" s="689">
        <v>0.01</v>
      </c>
      <c r="F450" s="687">
        <f t="shared" si="6"/>
        <v>4689.28</v>
      </c>
    </row>
    <row r="451" spans="1:6">
      <c r="A451" s="685"/>
      <c r="B451" s="686">
        <v>2181</v>
      </c>
      <c r="C451" s="687">
        <v>466885</v>
      </c>
      <c r="D451" s="688" t="s">
        <v>68</v>
      </c>
      <c r="E451" s="689">
        <v>0.01</v>
      </c>
      <c r="F451" s="687">
        <f t="shared" ref="F451:F514" si="7">+C451*E451</f>
        <v>4668.8500000000004</v>
      </c>
    </row>
    <row r="452" spans="1:6">
      <c r="A452" s="685"/>
      <c r="B452" s="686">
        <v>2178</v>
      </c>
      <c r="C452" s="687">
        <v>105738</v>
      </c>
      <c r="D452" s="688" t="s">
        <v>68</v>
      </c>
      <c r="E452" s="689">
        <v>0.01</v>
      </c>
      <c r="F452" s="687">
        <f t="shared" si="7"/>
        <v>1057.3800000000001</v>
      </c>
    </row>
    <row r="453" spans="1:6">
      <c r="A453" s="685"/>
      <c r="B453" s="686">
        <v>2172</v>
      </c>
      <c r="C453" s="687">
        <v>251401</v>
      </c>
      <c r="D453" s="688" t="s">
        <v>68</v>
      </c>
      <c r="E453" s="689">
        <v>0.01</v>
      </c>
      <c r="F453" s="687">
        <f t="shared" si="7"/>
        <v>2514.0100000000002</v>
      </c>
    </row>
    <row r="454" spans="1:6">
      <c r="A454" s="685"/>
      <c r="B454" s="686">
        <v>2181</v>
      </c>
      <c r="C454" s="687">
        <v>558472</v>
      </c>
      <c r="D454" s="688" t="s">
        <v>68</v>
      </c>
      <c r="E454" s="689">
        <v>0.01</v>
      </c>
      <c r="F454" s="687">
        <f t="shared" si="7"/>
        <v>5584.72</v>
      </c>
    </row>
    <row r="455" spans="1:6">
      <c r="A455" s="685"/>
      <c r="B455" s="686">
        <v>1435</v>
      </c>
      <c r="C455" s="687">
        <v>783000</v>
      </c>
      <c r="D455" s="688" t="s">
        <v>68</v>
      </c>
      <c r="E455" s="689">
        <v>0.01</v>
      </c>
      <c r="F455" s="687">
        <f t="shared" si="7"/>
        <v>7830</v>
      </c>
    </row>
    <row r="456" spans="1:6">
      <c r="A456" s="685"/>
      <c r="B456" s="686">
        <v>1718</v>
      </c>
      <c r="C456" s="687">
        <v>270406</v>
      </c>
      <c r="D456" s="688" t="s">
        <v>68</v>
      </c>
      <c r="E456" s="689">
        <v>0.01</v>
      </c>
      <c r="F456" s="687">
        <f t="shared" si="7"/>
        <v>2704.06</v>
      </c>
    </row>
    <row r="457" spans="1:6">
      <c r="A457" s="685"/>
      <c r="B457" s="686">
        <v>1710</v>
      </c>
      <c r="C457" s="687">
        <v>538900</v>
      </c>
      <c r="D457" s="688" t="s">
        <v>68</v>
      </c>
      <c r="E457" s="689">
        <v>0.01</v>
      </c>
      <c r="F457" s="687">
        <f t="shared" si="7"/>
        <v>5389</v>
      </c>
    </row>
    <row r="458" spans="1:6">
      <c r="A458" s="685"/>
      <c r="B458" s="686">
        <v>2108</v>
      </c>
      <c r="C458" s="687">
        <v>25000</v>
      </c>
      <c r="D458" s="688" t="s">
        <v>68</v>
      </c>
      <c r="E458" s="689">
        <v>0.01</v>
      </c>
      <c r="F458" s="687">
        <f t="shared" si="7"/>
        <v>250</v>
      </c>
    </row>
    <row r="459" spans="1:6">
      <c r="A459" s="685"/>
      <c r="B459" s="686">
        <v>1218</v>
      </c>
      <c r="C459" s="687">
        <v>1641734</v>
      </c>
      <c r="D459" s="688" t="s">
        <v>68</v>
      </c>
      <c r="E459" s="689">
        <v>0.01</v>
      </c>
      <c r="F459" s="687">
        <f t="shared" si="7"/>
        <v>16417.34</v>
      </c>
    </row>
    <row r="460" spans="1:6">
      <c r="A460" s="685"/>
      <c r="B460" s="686">
        <v>622</v>
      </c>
      <c r="C460" s="687">
        <v>473500</v>
      </c>
      <c r="D460" s="688" t="s">
        <v>68</v>
      </c>
      <c r="E460" s="689">
        <v>0.1</v>
      </c>
      <c r="F460" s="687">
        <f t="shared" si="7"/>
        <v>47350</v>
      </c>
    </row>
    <row r="461" spans="1:6">
      <c r="A461" s="685"/>
      <c r="B461" s="686">
        <v>610</v>
      </c>
      <c r="C461" s="687">
        <v>16100</v>
      </c>
      <c r="D461" s="688" t="s">
        <v>68</v>
      </c>
      <c r="E461" s="689">
        <v>0.1</v>
      </c>
      <c r="F461" s="687">
        <f t="shared" si="7"/>
        <v>1610</v>
      </c>
    </row>
    <row r="462" spans="1:6">
      <c r="A462" s="685"/>
      <c r="B462" s="686">
        <v>629</v>
      </c>
      <c r="C462" s="687">
        <v>5939800</v>
      </c>
      <c r="D462" s="688" t="s">
        <v>68</v>
      </c>
      <c r="E462" s="689">
        <v>0.1</v>
      </c>
      <c r="F462" s="687">
        <f t="shared" si="7"/>
        <v>593980</v>
      </c>
    </row>
    <row r="463" spans="1:6">
      <c r="A463" s="685"/>
      <c r="B463" s="686">
        <v>679</v>
      </c>
      <c r="C463" s="687">
        <v>4050000</v>
      </c>
      <c r="D463" s="688" t="s">
        <v>68</v>
      </c>
      <c r="E463" s="689">
        <v>0.1</v>
      </c>
      <c r="F463" s="687">
        <f t="shared" si="7"/>
        <v>405000</v>
      </c>
    </row>
    <row r="464" spans="1:6">
      <c r="A464" s="685"/>
      <c r="B464" s="686">
        <v>879</v>
      </c>
      <c r="C464" s="687">
        <v>48590</v>
      </c>
      <c r="D464" s="688" t="s">
        <v>68</v>
      </c>
      <c r="E464" s="689">
        <v>0.05</v>
      </c>
      <c r="F464" s="687">
        <f t="shared" si="7"/>
        <v>2429.5</v>
      </c>
    </row>
    <row r="465" spans="1:6">
      <c r="A465" s="685"/>
      <c r="B465" s="686">
        <v>1520</v>
      </c>
      <c r="C465" s="687">
        <v>498962</v>
      </c>
      <c r="D465" s="688" t="s">
        <v>68</v>
      </c>
      <c r="E465" s="689">
        <v>0.01</v>
      </c>
      <c r="F465" s="687">
        <f t="shared" si="7"/>
        <v>4989.62</v>
      </c>
    </row>
    <row r="466" spans="1:6">
      <c r="A466" s="685"/>
      <c r="B466" s="686">
        <v>1617</v>
      </c>
      <c r="C466" s="687">
        <v>437950</v>
      </c>
      <c r="D466" s="688" t="s">
        <v>68</v>
      </c>
      <c r="E466" s="689">
        <v>0.01</v>
      </c>
      <c r="F466" s="687">
        <f t="shared" si="7"/>
        <v>4379.5</v>
      </c>
    </row>
    <row r="467" spans="1:6">
      <c r="A467" s="685"/>
      <c r="B467" s="686">
        <v>1600</v>
      </c>
      <c r="C467" s="687">
        <v>191100</v>
      </c>
      <c r="D467" s="688" t="s">
        <v>68</v>
      </c>
      <c r="E467" s="689">
        <v>0.01</v>
      </c>
      <c r="F467" s="687">
        <f t="shared" si="7"/>
        <v>1911</v>
      </c>
    </row>
    <row r="468" spans="1:6">
      <c r="A468" s="685"/>
      <c r="B468" s="686">
        <v>1570</v>
      </c>
      <c r="C468" s="687">
        <v>123200</v>
      </c>
      <c r="D468" s="688" t="s">
        <v>68</v>
      </c>
      <c r="E468" s="689">
        <v>0.01</v>
      </c>
      <c r="F468" s="687">
        <f t="shared" si="7"/>
        <v>1232</v>
      </c>
    </row>
    <row r="469" spans="1:6">
      <c r="A469" s="685"/>
      <c r="B469" s="686">
        <v>1570</v>
      </c>
      <c r="C469" s="687">
        <v>25450</v>
      </c>
      <c r="D469" s="688" t="s">
        <v>68</v>
      </c>
      <c r="E469" s="689">
        <v>0.01</v>
      </c>
      <c r="F469" s="687">
        <f t="shared" si="7"/>
        <v>254.5</v>
      </c>
    </row>
    <row r="470" spans="1:6">
      <c r="A470" s="685"/>
      <c r="B470" s="686">
        <v>1558</v>
      </c>
      <c r="C470" s="687">
        <v>52600</v>
      </c>
      <c r="D470" s="688" t="s">
        <v>68</v>
      </c>
      <c r="E470" s="689">
        <v>0.01</v>
      </c>
      <c r="F470" s="687">
        <f t="shared" si="7"/>
        <v>526</v>
      </c>
    </row>
    <row r="471" spans="1:6">
      <c r="A471" s="685"/>
      <c r="B471" s="686">
        <v>1843</v>
      </c>
      <c r="C471" s="687">
        <v>20800</v>
      </c>
      <c r="D471" s="688" t="s">
        <v>68</v>
      </c>
      <c r="E471" s="689">
        <v>0.01</v>
      </c>
      <c r="F471" s="687">
        <f t="shared" si="7"/>
        <v>208</v>
      </c>
    </row>
    <row r="472" spans="1:6">
      <c r="A472" s="685"/>
      <c r="B472" s="686">
        <v>2065</v>
      </c>
      <c r="C472" s="687">
        <v>510000</v>
      </c>
      <c r="D472" s="688" t="s">
        <v>68</v>
      </c>
      <c r="E472" s="689">
        <v>0.01</v>
      </c>
      <c r="F472" s="687">
        <f t="shared" si="7"/>
        <v>5100</v>
      </c>
    </row>
    <row r="473" spans="1:6">
      <c r="A473" s="685"/>
      <c r="B473" s="686">
        <v>624</v>
      </c>
      <c r="C473" s="687">
        <v>2056500</v>
      </c>
      <c r="D473" s="688" t="s">
        <v>68</v>
      </c>
      <c r="E473" s="689">
        <v>0.1</v>
      </c>
      <c r="F473" s="687">
        <f t="shared" si="7"/>
        <v>205650</v>
      </c>
    </row>
    <row r="474" spans="1:6">
      <c r="A474" s="685"/>
      <c r="B474" s="686">
        <v>2790</v>
      </c>
      <c r="C474" s="687">
        <v>38394</v>
      </c>
      <c r="D474" s="688" t="s">
        <v>68</v>
      </c>
      <c r="E474" s="689">
        <v>0.01</v>
      </c>
      <c r="F474" s="687">
        <f t="shared" si="7"/>
        <v>383.94</v>
      </c>
    </row>
    <row r="475" spans="1:6">
      <c r="A475" s="685"/>
      <c r="B475" s="686">
        <v>1787</v>
      </c>
      <c r="C475" s="687">
        <v>1238000</v>
      </c>
      <c r="D475" s="688" t="s">
        <v>68</v>
      </c>
      <c r="E475" s="689">
        <v>0.01</v>
      </c>
      <c r="F475" s="687">
        <f t="shared" si="7"/>
        <v>12380</v>
      </c>
    </row>
    <row r="476" spans="1:6">
      <c r="A476" s="685"/>
      <c r="B476" s="686">
        <v>1938</v>
      </c>
      <c r="C476" s="687">
        <v>389850</v>
      </c>
      <c r="D476" s="688" t="s">
        <v>68</v>
      </c>
      <c r="E476" s="689">
        <v>0.01</v>
      </c>
      <c r="F476" s="687">
        <f t="shared" si="7"/>
        <v>3898.5</v>
      </c>
    </row>
    <row r="477" spans="1:6">
      <c r="A477" s="685"/>
      <c r="B477" s="686">
        <v>1938</v>
      </c>
      <c r="C477" s="687">
        <v>379100</v>
      </c>
      <c r="D477" s="688" t="s">
        <v>68</v>
      </c>
      <c r="E477" s="689">
        <v>0.01</v>
      </c>
      <c r="F477" s="687">
        <f t="shared" si="7"/>
        <v>3791</v>
      </c>
    </row>
    <row r="478" spans="1:6">
      <c r="A478" s="685"/>
      <c r="B478" s="686">
        <v>577</v>
      </c>
      <c r="C478" s="687">
        <v>3459500</v>
      </c>
      <c r="D478" s="688" t="s">
        <v>68</v>
      </c>
      <c r="E478" s="689">
        <v>0.1</v>
      </c>
      <c r="F478" s="687">
        <f t="shared" si="7"/>
        <v>345950</v>
      </c>
    </row>
    <row r="479" spans="1:6">
      <c r="A479" s="685"/>
      <c r="B479" s="686">
        <v>2327</v>
      </c>
      <c r="C479" s="687">
        <v>134119</v>
      </c>
      <c r="D479" s="688" t="s">
        <v>68</v>
      </c>
      <c r="E479" s="689">
        <v>0.01</v>
      </c>
      <c r="F479" s="687">
        <f t="shared" si="7"/>
        <v>1341.19</v>
      </c>
    </row>
    <row r="480" spans="1:6">
      <c r="A480" s="685"/>
      <c r="B480" s="686">
        <v>2239</v>
      </c>
      <c r="C480" s="687">
        <v>189051</v>
      </c>
      <c r="D480" s="688" t="s">
        <v>68</v>
      </c>
      <c r="E480" s="689">
        <v>0.01</v>
      </c>
      <c r="F480" s="687">
        <f t="shared" si="7"/>
        <v>1890.51</v>
      </c>
    </row>
    <row r="481" spans="1:6">
      <c r="A481" s="685"/>
      <c r="B481" s="686">
        <v>653</v>
      </c>
      <c r="C481" s="687">
        <v>747300</v>
      </c>
      <c r="D481" s="688" t="s">
        <v>68</v>
      </c>
      <c r="E481" s="689">
        <v>0.1</v>
      </c>
      <c r="F481" s="687">
        <f t="shared" si="7"/>
        <v>74730</v>
      </c>
    </row>
    <row r="482" spans="1:6">
      <c r="A482" s="685"/>
      <c r="B482" s="686">
        <v>720</v>
      </c>
      <c r="C482" s="687">
        <v>404400</v>
      </c>
      <c r="D482" s="688" t="s">
        <v>68</v>
      </c>
      <c r="E482" s="689">
        <v>0.1</v>
      </c>
      <c r="F482" s="687">
        <f t="shared" si="7"/>
        <v>40440</v>
      </c>
    </row>
    <row r="483" spans="1:6">
      <c r="A483" s="685"/>
      <c r="B483" s="686">
        <v>702</v>
      </c>
      <c r="C483" s="687">
        <v>485700</v>
      </c>
      <c r="D483" s="688" t="s">
        <v>68</v>
      </c>
      <c r="E483" s="689">
        <v>0.1</v>
      </c>
      <c r="F483" s="687">
        <f t="shared" si="7"/>
        <v>48570</v>
      </c>
    </row>
    <row r="484" spans="1:6">
      <c r="A484" s="685"/>
      <c r="B484" s="686">
        <v>673</v>
      </c>
      <c r="C484" s="687">
        <v>25801</v>
      </c>
      <c r="D484" s="688" t="s">
        <v>68</v>
      </c>
      <c r="E484" s="689">
        <v>0.1</v>
      </c>
      <c r="F484" s="687">
        <f t="shared" si="7"/>
        <v>2580.1000000000004</v>
      </c>
    </row>
    <row r="485" spans="1:6">
      <c r="A485" s="685"/>
      <c r="B485" s="686">
        <v>669</v>
      </c>
      <c r="C485" s="687">
        <v>46701</v>
      </c>
      <c r="D485" s="688" t="s">
        <v>68</v>
      </c>
      <c r="E485" s="689">
        <v>0.1</v>
      </c>
      <c r="F485" s="687">
        <f t="shared" si="7"/>
        <v>4670.1000000000004</v>
      </c>
    </row>
    <row r="486" spans="1:6">
      <c r="A486" s="685"/>
      <c r="B486" s="686">
        <v>2146</v>
      </c>
      <c r="C486" s="687">
        <v>539570</v>
      </c>
      <c r="D486" s="688" t="s">
        <v>68</v>
      </c>
      <c r="E486" s="689">
        <v>0.01</v>
      </c>
      <c r="F486" s="687">
        <f t="shared" si="7"/>
        <v>5395.7</v>
      </c>
    </row>
    <row r="487" spans="1:6">
      <c r="A487" s="685"/>
      <c r="B487" s="686">
        <v>641</v>
      </c>
      <c r="C487" s="687">
        <v>69600</v>
      </c>
      <c r="D487" s="688" t="s">
        <v>68</v>
      </c>
      <c r="E487" s="689">
        <v>0.1</v>
      </c>
      <c r="F487" s="687">
        <f t="shared" si="7"/>
        <v>6960</v>
      </c>
    </row>
    <row r="488" spans="1:6">
      <c r="A488" s="685"/>
      <c r="B488" s="686">
        <v>1589</v>
      </c>
      <c r="C488" s="687">
        <v>433350</v>
      </c>
      <c r="D488" s="688" t="s">
        <v>68</v>
      </c>
      <c r="E488" s="689">
        <v>0.01</v>
      </c>
      <c r="F488" s="687">
        <f t="shared" si="7"/>
        <v>4333.5</v>
      </c>
    </row>
    <row r="489" spans="1:6">
      <c r="A489" s="685"/>
      <c r="B489" s="686">
        <v>1512</v>
      </c>
      <c r="C489" s="687">
        <v>13647000</v>
      </c>
      <c r="D489" s="688" t="s">
        <v>503</v>
      </c>
      <c r="E489" s="689">
        <v>0</v>
      </c>
      <c r="F489" s="687">
        <f t="shared" si="7"/>
        <v>0</v>
      </c>
    </row>
    <row r="490" spans="1:6">
      <c r="A490" s="685"/>
      <c r="B490" s="686">
        <v>1511</v>
      </c>
      <c r="C490" s="687">
        <v>98140</v>
      </c>
      <c r="D490" s="688" t="s">
        <v>503</v>
      </c>
      <c r="E490" s="689">
        <v>0</v>
      </c>
      <c r="F490" s="687">
        <f t="shared" si="7"/>
        <v>0</v>
      </c>
    </row>
    <row r="491" spans="1:6">
      <c r="A491" s="685"/>
      <c r="B491" s="686">
        <v>1500</v>
      </c>
      <c r="C491" s="687">
        <v>101590</v>
      </c>
      <c r="D491" s="688" t="s">
        <v>503</v>
      </c>
      <c r="E491" s="689">
        <v>0</v>
      </c>
      <c r="F491" s="687">
        <f t="shared" si="7"/>
        <v>0</v>
      </c>
    </row>
    <row r="492" spans="1:6">
      <c r="A492" s="685"/>
      <c r="B492" s="686">
        <v>2881</v>
      </c>
      <c r="C492" s="687">
        <v>2125106</v>
      </c>
      <c r="D492" s="688" t="s">
        <v>68</v>
      </c>
      <c r="E492" s="689">
        <v>0.01</v>
      </c>
      <c r="F492" s="687">
        <f t="shared" si="7"/>
        <v>21251.06</v>
      </c>
    </row>
    <row r="493" spans="1:6">
      <c r="A493" s="685"/>
      <c r="B493" s="686">
        <v>2880</v>
      </c>
      <c r="C493" s="687">
        <v>94953</v>
      </c>
      <c r="D493" s="688" t="s">
        <v>68</v>
      </c>
      <c r="E493" s="689">
        <v>0.01</v>
      </c>
      <c r="F493" s="687">
        <f t="shared" si="7"/>
        <v>949.53</v>
      </c>
    </row>
    <row r="494" spans="1:6">
      <c r="A494" s="685"/>
      <c r="B494" s="686">
        <v>2875</v>
      </c>
      <c r="C494" s="687">
        <v>426991</v>
      </c>
      <c r="D494" s="688" t="s">
        <v>68</v>
      </c>
      <c r="E494" s="689">
        <v>0.01</v>
      </c>
      <c r="F494" s="687">
        <f t="shared" si="7"/>
        <v>4269.91</v>
      </c>
    </row>
    <row r="495" spans="1:6">
      <c r="A495" s="685"/>
      <c r="B495" s="686">
        <v>2872</v>
      </c>
      <c r="C495" s="687">
        <v>195400</v>
      </c>
      <c r="D495" s="688" t="s">
        <v>68</v>
      </c>
      <c r="E495" s="689">
        <v>0.01</v>
      </c>
      <c r="F495" s="687">
        <f t="shared" si="7"/>
        <v>1954</v>
      </c>
    </row>
    <row r="496" spans="1:6">
      <c r="A496" s="685"/>
      <c r="B496" s="686">
        <v>2868</v>
      </c>
      <c r="C496" s="687">
        <v>118271</v>
      </c>
      <c r="D496" s="688" t="s">
        <v>68</v>
      </c>
      <c r="E496" s="689">
        <v>0.01</v>
      </c>
      <c r="F496" s="687">
        <f t="shared" si="7"/>
        <v>1182.71</v>
      </c>
    </row>
    <row r="497" spans="1:6">
      <c r="A497" s="685"/>
      <c r="B497" s="686">
        <v>2858</v>
      </c>
      <c r="C497" s="687">
        <v>1027867</v>
      </c>
      <c r="D497" s="688" t="s">
        <v>68</v>
      </c>
      <c r="E497" s="689">
        <v>0.01</v>
      </c>
      <c r="F497" s="687">
        <f t="shared" si="7"/>
        <v>10278.67</v>
      </c>
    </row>
    <row r="498" spans="1:6">
      <c r="A498" s="685"/>
      <c r="B498" s="686">
        <v>2858</v>
      </c>
      <c r="C498" s="687">
        <v>1169183</v>
      </c>
      <c r="D498" s="688" t="s">
        <v>68</v>
      </c>
      <c r="E498" s="689">
        <v>0.01</v>
      </c>
      <c r="F498" s="687">
        <f t="shared" si="7"/>
        <v>11691.83</v>
      </c>
    </row>
    <row r="499" spans="1:6">
      <c r="A499" s="685"/>
      <c r="B499" s="686">
        <v>2713</v>
      </c>
      <c r="C499" s="687">
        <v>813792</v>
      </c>
      <c r="D499" s="688" t="s">
        <v>68</v>
      </c>
      <c r="E499" s="689">
        <v>0.01</v>
      </c>
      <c r="F499" s="687">
        <f t="shared" si="7"/>
        <v>8137.92</v>
      </c>
    </row>
    <row r="500" spans="1:6">
      <c r="A500" s="685"/>
      <c r="B500" s="686">
        <v>1662</v>
      </c>
      <c r="C500" s="687">
        <v>1131598</v>
      </c>
      <c r="D500" s="688" t="s">
        <v>68</v>
      </c>
      <c r="E500" s="689">
        <v>0.01</v>
      </c>
      <c r="F500" s="687">
        <f t="shared" si="7"/>
        <v>11315.98</v>
      </c>
    </row>
    <row r="501" spans="1:6">
      <c r="A501" s="685"/>
      <c r="B501" s="686">
        <v>569</v>
      </c>
      <c r="C501" s="687">
        <v>200000</v>
      </c>
      <c r="D501" s="688" t="s">
        <v>68</v>
      </c>
      <c r="E501" s="689">
        <v>0.1</v>
      </c>
      <c r="F501" s="687">
        <f t="shared" si="7"/>
        <v>20000</v>
      </c>
    </row>
    <row r="502" spans="1:6">
      <c r="A502" s="685"/>
      <c r="B502" s="686">
        <v>1687</v>
      </c>
      <c r="C502" s="687">
        <v>50850</v>
      </c>
      <c r="D502" s="688" t="s">
        <v>503</v>
      </c>
      <c r="E502" s="689">
        <v>0</v>
      </c>
      <c r="F502" s="687">
        <f t="shared" si="7"/>
        <v>0</v>
      </c>
    </row>
    <row r="503" spans="1:6">
      <c r="A503" s="685"/>
      <c r="B503" s="686">
        <v>1686</v>
      </c>
      <c r="C503" s="687">
        <v>1792600</v>
      </c>
      <c r="D503" s="688" t="s">
        <v>503</v>
      </c>
      <c r="E503" s="689">
        <v>0</v>
      </c>
      <c r="F503" s="687">
        <f t="shared" si="7"/>
        <v>0</v>
      </c>
    </row>
    <row r="504" spans="1:6">
      <c r="A504" s="685"/>
      <c r="B504" s="686">
        <v>1685</v>
      </c>
      <c r="C504" s="687">
        <v>100500</v>
      </c>
      <c r="D504" s="688" t="s">
        <v>503</v>
      </c>
      <c r="E504" s="689">
        <v>0</v>
      </c>
      <c r="F504" s="687">
        <f t="shared" si="7"/>
        <v>0</v>
      </c>
    </row>
    <row r="505" spans="1:6">
      <c r="A505" s="685"/>
      <c r="B505" s="686">
        <v>1685</v>
      </c>
      <c r="C505" s="687">
        <v>1740850</v>
      </c>
      <c r="D505" s="688" t="s">
        <v>503</v>
      </c>
      <c r="E505" s="689">
        <v>0</v>
      </c>
      <c r="F505" s="687">
        <f t="shared" si="7"/>
        <v>0</v>
      </c>
    </row>
    <row r="506" spans="1:6">
      <c r="A506" s="685"/>
      <c r="B506" s="686">
        <v>1683</v>
      </c>
      <c r="C506" s="687">
        <v>17840</v>
      </c>
      <c r="D506" s="688" t="s">
        <v>503</v>
      </c>
      <c r="E506" s="689">
        <v>0</v>
      </c>
      <c r="F506" s="687">
        <f t="shared" si="7"/>
        <v>0</v>
      </c>
    </row>
    <row r="507" spans="1:6">
      <c r="A507" s="685"/>
      <c r="B507" s="686">
        <v>1680</v>
      </c>
      <c r="C507" s="687">
        <v>153100</v>
      </c>
      <c r="D507" s="688" t="s">
        <v>503</v>
      </c>
      <c r="E507" s="689">
        <v>0</v>
      </c>
      <c r="F507" s="687">
        <f t="shared" si="7"/>
        <v>0</v>
      </c>
    </row>
    <row r="508" spans="1:6">
      <c r="A508" s="685"/>
      <c r="B508" s="686">
        <v>1679</v>
      </c>
      <c r="C508" s="687">
        <v>40200</v>
      </c>
      <c r="D508" s="688" t="s">
        <v>503</v>
      </c>
      <c r="E508" s="689">
        <v>0</v>
      </c>
      <c r="F508" s="687">
        <f t="shared" si="7"/>
        <v>0</v>
      </c>
    </row>
    <row r="509" spans="1:6">
      <c r="A509" s="685"/>
      <c r="B509" s="686">
        <v>1678</v>
      </c>
      <c r="C509" s="687">
        <v>23350</v>
      </c>
      <c r="D509" s="688" t="s">
        <v>503</v>
      </c>
      <c r="E509" s="689">
        <v>0</v>
      </c>
      <c r="F509" s="687">
        <f t="shared" si="7"/>
        <v>0</v>
      </c>
    </row>
    <row r="510" spans="1:6">
      <c r="A510" s="685"/>
      <c r="B510" s="686">
        <v>1677</v>
      </c>
      <c r="C510" s="687">
        <v>53700</v>
      </c>
      <c r="D510" s="688" t="s">
        <v>503</v>
      </c>
      <c r="E510" s="689">
        <v>0</v>
      </c>
      <c r="F510" s="687">
        <f t="shared" si="7"/>
        <v>0</v>
      </c>
    </row>
    <row r="511" spans="1:6">
      <c r="A511" s="685"/>
      <c r="B511" s="686">
        <v>1675</v>
      </c>
      <c r="C511" s="687">
        <v>83350</v>
      </c>
      <c r="D511" s="688" t="s">
        <v>503</v>
      </c>
      <c r="E511" s="689">
        <v>0</v>
      </c>
      <c r="F511" s="687">
        <f t="shared" si="7"/>
        <v>0</v>
      </c>
    </row>
    <row r="512" spans="1:6">
      <c r="A512" s="685"/>
      <c r="B512" s="686">
        <v>1675</v>
      </c>
      <c r="C512" s="687">
        <v>2292550</v>
      </c>
      <c r="D512" s="688" t="s">
        <v>503</v>
      </c>
      <c r="E512" s="689">
        <v>0</v>
      </c>
      <c r="F512" s="687">
        <f t="shared" si="7"/>
        <v>0</v>
      </c>
    </row>
    <row r="513" spans="1:6">
      <c r="A513" s="685"/>
      <c r="B513" s="686">
        <v>1673</v>
      </c>
      <c r="C513" s="687">
        <v>153200</v>
      </c>
      <c r="D513" s="688" t="s">
        <v>503</v>
      </c>
      <c r="E513" s="689">
        <v>0</v>
      </c>
      <c r="F513" s="687">
        <f t="shared" si="7"/>
        <v>0</v>
      </c>
    </row>
    <row r="514" spans="1:6">
      <c r="A514" s="685"/>
      <c r="B514" s="686">
        <v>1670</v>
      </c>
      <c r="C514" s="687">
        <v>1700000</v>
      </c>
      <c r="D514" s="688" t="s">
        <v>503</v>
      </c>
      <c r="E514" s="689">
        <v>0</v>
      </c>
      <c r="F514" s="687">
        <f t="shared" si="7"/>
        <v>0</v>
      </c>
    </row>
    <row r="515" spans="1:6">
      <c r="A515" s="685"/>
      <c r="B515" s="686">
        <v>1670</v>
      </c>
      <c r="C515" s="687">
        <v>948600</v>
      </c>
      <c r="D515" s="688" t="s">
        <v>503</v>
      </c>
      <c r="E515" s="689">
        <v>0</v>
      </c>
      <c r="F515" s="687">
        <f t="shared" ref="F515:F578" si="8">+C515*E515</f>
        <v>0</v>
      </c>
    </row>
    <row r="516" spans="1:6">
      <c r="A516" s="685"/>
      <c r="B516" s="686">
        <v>1670</v>
      </c>
      <c r="C516" s="687">
        <v>503250</v>
      </c>
      <c r="D516" s="688" t="s">
        <v>503</v>
      </c>
      <c r="E516" s="689">
        <v>0</v>
      </c>
      <c r="F516" s="687">
        <f t="shared" si="8"/>
        <v>0</v>
      </c>
    </row>
    <row r="517" spans="1:6">
      <c r="A517" s="685"/>
      <c r="B517" s="686">
        <v>1668</v>
      </c>
      <c r="C517" s="687">
        <v>78940</v>
      </c>
      <c r="D517" s="688" t="s">
        <v>503</v>
      </c>
      <c r="E517" s="689">
        <v>0</v>
      </c>
      <c r="F517" s="687">
        <f t="shared" si="8"/>
        <v>0</v>
      </c>
    </row>
    <row r="518" spans="1:6">
      <c r="A518" s="685"/>
      <c r="B518" s="686">
        <v>1666</v>
      </c>
      <c r="C518" s="687">
        <v>134500</v>
      </c>
      <c r="D518" s="688" t="s">
        <v>503</v>
      </c>
      <c r="E518" s="689">
        <v>0</v>
      </c>
      <c r="F518" s="687">
        <f t="shared" si="8"/>
        <v>0</v>
      </c>
    </row>
    <row r="519" spans="1:6">
      <c r="A519" s="685"/>
      <c r="B519" s="686">
        <v>1758</v>
      </c>
      <c r="C519" s="687">
        <v>333579600</v>
      </c>
      <c r="D519" s="688" t="s">
        <v>503</v>
      </c>
      <c r="E519" s="689">
        <v>0</v>
      </c>
      <c r="F519" s="687">
        <f t="shared" si="8"/>
        <v>0</v>
      </c>
    </row>
    <row r="520" spans="1:6">
      <c r="A520" s="685"/>
      <c r="B520" s="686">
        <v>1663</v>
      </c>
      <c r="C520" s="687">
        <v>136500</v>
      </c>
      <c r="D520" s="688" t="s">
        <v>503</v>
      </c>
      <c r="E520" s="689">
        <v>0</v>
      </c>
      <c r="F520" s="687">
        <f t="shared" si="8"/>
        <v>0</v>
      </c>
    </row>
    <row r="521" spans="1:6">
      <c r="A521" s="685"/>
      <c r="B521" s="686">
        <v>1662</v>
      </c>
      <c r="C521" s="687">
        <v>135900</v>
      </c>
      <c r="D521" s="688" t="s">
        <v>503</v>
      </c>
      <c r="E521" s="689">
        <v>0</v>
      </c>
      <c r="F521" s="687">
        <f t="shared" si="8"/>
        <v>0</v>
      </c>
    </row>
    <row r="522" spans="1:6">
      <c r="A522" s="685"/>
      <c r="B522" s="686">
        <v>1661</v>
      </c>
      <c r="C522" s="687">
        <v>79800</v>
      </c>
      <c r="D522" s="688" t="s">
        <v>503</v>
      </c>
      <c r="E522" s="689">
        <v>0</v>
      </c>
      <c r="F522" s="687">
        <f t="shared" si="8"/>
        <v>0</v>
      </c>
    </row>
    <row r="523" spans="1:6">
      <c r="A523" s="685"/>
      <c r="B523" s="686">
        <v>1659</v>
      </c>
      <c r="C523" s="687">
        <v>143500</v>
      </c>
      <c r="D523" s="688" t="s">
        <v>503</v>
      </c>
      <c r="E523" s="689">
        <v>0</v>
      </c>
      <c r="F523" s="687">
        <f t="shared" si="8"/>
        <v>0</v>
      </c>
    </row>
    <row r="524" spans="1:6">
      <c r="A524" s="685"/>
      <c r="B524" s="686">
        <v>1658</v>
      </c>
      <c r="C524" s="687">
        <v>81750</v>
      </c>
      <c r="D524" s="688" t="s">
        <v>503</v>
      </c>
      <c r="E524" s="689">
        <v>0</v>
      </c>
      <c r="F524" s="687">
        <f t="shared" si="8"/>
        <v>0</v>
      </c>
    </row>
    <row r="525" spans="1:6">
      <c r="A525" s="685"/>
      <c r="B525" s="686">
        <v>1658</v>
      </c>
      <c r="C525" s="687">
        <v>95690</v>
      </c>
      <c r="D525" s="688" t="s">
        <v>503</v>
      </c>
      <c r="E525" s="689">
        <v>0</v>
      </c>
      <c r="F525" s="687">
        <f t="shared" si="8"/>
        <v>0</v>
      </c>
    </row>
    <row r="526" spans="1:6">
      <c r="A526" s="685"/>
      <c r="B526" s="686">
        <v>1656</v>
      </c>
      <c r="C526" s="687">
        <v>219750</v>
      </c>
      <c r="D526" s="688" t="s">
        <v>503</v>
      </c>
      <c r="E526" s="689">
        <v>0</v>
      </c>
      <c r="F526" s="687">
        <f t="shared" si="8"/>
        <v>0</v>
      </c>
    </row>
    <row r="527" spans="1:6">
      <c r="A527" s="685"/>
      <c r="B527" s="686">
        <v>1653</v>
      </c>
      <c r="C527" s="687">
        <v>2462100</v>
      </c>
      <c r="D527" s="688" t="s">
        <v>503</v>
      </c>
      <c r="E527" s="689">
        <v>0</v>
      </c>
      <c r="F527" s="687">
        <f t="shared" si="8"/>
        <v>0</v>
      </c>
    </row>
    <row r="528" spans="1:6">
      <c r="A528" s="685"/>
      <c r="B528" s="686">
        <v>1652</v>
      </c>
      <c r="C528" s="687">
        <v>1907850</v>
      </c>
      <c r="D528" s="688" t="s">
        <v>503</v>
      </c>
      <c r="E528" s="689">
        <v>0</v>
      </c>
      <c r="F528" s="687">
        <f t="shared" si="8"/>
        <v>0</v>
      </c>
    </row>
    <row r="529" spans="1:6">
      <c r="A529" s="685"/>
      <c r="B529" s="686">
        <v>1651</v>
      </c>
      <c r="C529" s="687">
        <v>1438200</v>
      </c>
      <c r="D529" s="688" t="s">
        <v>503</v>
      </c>
      <c r="E529" s="689">
        <v>0</v>
      </c>
      <c r="F529" s="687">
        <f t="shared" si="8"/>
        <v>0</v>
      </c>
    </row>
    <row r="530" spans="1:6">
      <c r="A530" s="685"/>
      <c r="B530" s="686">
        <v>1645</v>
      </c>
      <c r="C530" s="687">
        <v>2411250</v>
      </c>
      <c r="D530" s="688" t="s">
        <v>503</v>
      </c>
      <c r="E530" s="689">
        <v>0</v>
      </c>
      <c r="F530" s="687">
        <f t="shared" si="8"/>
        <v>0</v>
      </c>
    </row>
    <row r="531" spans="1:6">
      <c r="A531" s="685"/>
      <c r="B531" s="686">
        <v>1644</v>
      </c>
      <c r="C531" s="687">
        <v>1355450</v>
      </c>
      <c r="D531" s="688" t="s">
        <v>503</v>
      </c>
      <c r="E531" s="689">
        <v>0</v>
      </c>
      <c r="F531" s="687">
        <f t="shared" si="8"/>
        <v>0</v>
      </c>
    </row>
    <row r="532" spans="1:6">
      <c r="A532" s="685"/>
      <c r="B532" s="686">
        <v>1641</v>
      </c>
      <c r="C532" s="687">
        <v>1700000</v>
      </c>
      <c r="D532" s="688" t="s">
        <v>503</v>
      </c>
      <c r="E532" s="689">
        <v>0</v>
      </c>
      <c r="F532" s="687">
        <f t="shared" si="8"/>
        <v>0</v>
      </c>
    </row>
    <row r="533" spans="1:6">
      <c r="A533" s="685"/>
      <c r="B533" s="686">
        <v>1640</v>
      </c>
      <c r="C533" s="687">
        <v>23340</v>
      </c>
      <c r="D533" s="688" t="s">
        <v>503</v>
      </c>
      <c r="E533" s="689">
        <v>0</v>
      </c>
      <c r="F533" s="687">
        <f t="shared" si="8"/>
        <v>0</v>
      </c>
    </row>
    <row r="534" spans="1:6">
      <c r="A534" s="685"/>
      <c r="B534" s="686">
        <v>1638</v>
      </c>
      <c r="C534" s="687">
        <v>2705100</v>
      </c>
      <c r="D534" s="688" t="s">
        <v>503</v>
      </c>
      <c r="E534" s="689">
        <v>0</v>
      </c>
      <c r="F534" s="687">
        <f t="shared" si="8"/>
        <v>0</v>
      </c>
    </row>
    <row r="535" spans="1:6">
      <c r="A535" s="685"/>
      <c r="B535" s="686">
        <v>1488</v>
      </c>
      <c r="C535" s="687">
        <v>128967000</v>
      </c>
      <c r="D535" s="688" t="s">
        <v>503</v>
      </c>
      <c r="E535" s="689">
        <v>0</v>
      </c>
      <c r="F535" s="687">
        <f t="shared" si="8"/>
        <v>0</v>
      </c>
    </row>
    <row r="536" spans="1:6">
      <c r="A536" s="685"/>
      <c r="B536" s="686">
        <v>1637</v>
      </c>
      <c r="C536" s="687">
        <v>2249350</v>
      </c>
      <c r="D536" s="688" t="s">
        <v>503</v>
      </c>
      <c r="E536" s="689">
        <v>0</v>
      </c>
      <c r="F536" s="687">
        <f t="shared" si="8"/>
        <v>0</v>
      </c>
    </row>
    <row r="537" spans="1:6">
      <c r="A537" s="685"/>
      <c r="B537" s="686">
        <v>1484</v>
      </c>
      <c r="C537" s="687">
        <v>133350000</v>
      </c>
      <c r="D537" s="688" t="s">
        <v>503</v>
      </c>
      <c r="E537" s="689">
        <v>0</v>
      </c>
      <c r="F537" s="687">
        <f t="shared" si="8"/>
        <v>0</v>
      </c>
    </row>
    <row r="538" spans="1:6">
      <c r="A538" s="685"/>
      <c r="B538" s="686">
        <v>1633</v>
      </c>
      <c r="C538" s="687">
        <v>107000</v>
      </c>
      <c r="D538" s="688" t="s">
        <v>503</v>
      </c>
      <c r="E538" s="689">
        <v>0</v>
      </c>
      <c r="F538" s="687">
        <f t="shared" si="8"/>
        <v>0</v>
      </c>
    </row>
    <row r="539" spans="1:6">
      <c r="A539" s="685"/>
      <c r="B539" s="686">
        <v>1513</v>
      </c>
      <c r="C539" s="687">
        <v>6945000</v>
      </c>
      <c r="D539" s="688" t="s">
        <v>503</v>
      </c>
      <c r="E539" s="689">
        <v>0</v>
      </c>
      <c r="F539" s="687">
        <f t="shared" si="8"/>
        <v>0</v>
      </c>
    </row>
    <row r="540" spans="1:6">
      <c r="A540" s="685"/>
      <c r="B540" s="686">
        <v>1631</v>
      </c>
      <c r="C540" s="687">
        <v>107000</v>
      </c>
      <c r="D540" s="688" t="s">
        <v>503</v>
      </c>
      <c r="E540" s="689">
        <v>0</v>
      </c>
      <c r="F540" s="687">
        <f t="shared" si="8"/>
        <v>0</v>
      </c>
    </row>
    <row r="541" spans="1:6">
      <c r="A541" s="685"/>
      <c r="B541" s="686">
        <v>1630</v>
      </c>
      <c r="C541" s="687">
        <v>120700</v>
      </c>
      <c r="D541" s="688" t="s">
        <v>503</v>
      </c>
      <c r="E541" s="689">
        <v>0</v>
      </c>
      <c r="F541" s="687">
        <f t="shared" si="8"/>
        <v>0</v>
      </c>
    </row>
    <row r="542" spans="1:6">
      <c r="A542" s="685"/>
      <c r="B542" s="686">
        <v>1630</v>
      </c>
      <c r="C542" s="687">
        <v>433350</v>
      </c>
      <c r="D542" s="688" t="s">
        <v>503</v>
      </c>
      <c r="E542" s="689">
        <v>0</v>
      </c>
      <c r="F542" s="687">
        <f t="shared" si="8"/>
        <v>0</v>
      </c>
    </row>
    <row r="543" spans="1:6">
      <c r="A543" s="685"/>
      <c r="B543" s="686">
        <v>1626</v>
      </c>
      <c r="C543" s="687">
        <v>2164650</v>
      </c>
      <c r="D543" s="688" t="s">
        <v>503</v>
      </c>
      <c r="E543" s="689">
        <v>0</v>
      </c>
      <c r="F543" s="687">
        <f t="shared" si="8"/>
        <v>0</v>
      </c>
    </row>
    <row r="544" spans="1:6">
      <c r="A544" s="685"/>
      <c r="B544" s="686">
        <v>1626</v>
      </c>
      <c r="C544" s="687">
        <v>54700</v>
      </c>
      <c r="D544" s="688" t="s">
        <v>503</v>
      </c>
      <c r="E544" s="689">
        <v>0</v>
      </c>
      <c r="F544" s="687">
        <f t="shared" si="8"/>
        <v>0</v>
      </c>
    </row>
    <row r="545" spans="1:6">
      <c r="A545" s="685"/>
      <c r="B545" s="686">
        <v>1625</v>
      </c>
      <c r="C545" s="687">
        <v>866700</v>
      </c>
      <c r="D545" s="688" t="s">
        <v>503</v>
      </c>
      <c r="E545" s="689">
        <v>0</v>
      </c>
      <c r="F545" s="687">
        <f t="shared" si="8"/>
        <v>0</v>
      </c>
    </row>
    <row r="546" spans="1:6">
      <c r="A546" s="685"/>
      <c r="B546" s="686">
        <v>1623</v>
      </c>
      <c r="C546" s="687">
        <v>602000</v>
      </c>
      <c r="D546" s="688" t="s">
        <v>503</v>
      </c>
      <c r="E546" s="689">
        <v>0</v>
      </c>
      <c r="F546" s="687">
        <f t="shared" si="8"/>
        <v>0</v>
      </c>
    </row>
    <row r="547" spans="1:6">
      <c r="A547" s="685"/>
      <c r="B547" s="686">
        <v>1623</v>
      </c>
      <c r="C547" s="687">
        <v>38790</v>
      </c>
      <c r="D547" s="688" t="s">
        <v>503</v>
      </c>
      <c r="E547" s="689">
        <v>0</v>
      </c>
      <c r="F547" s="687">
        <f t="shared" si="8"/>
        <v>0</v>
      </c>
    </row>
    <row r="548" spans="1:6">
      <c r="A548" s="685"/>
      <c r="B548" s="686">
        <v>1620</v>
      </c>
      <c r="C548" s="687">
        <v>205640</v>
      </c>
      <c r="D548" s="688" t="s">
        <v>503</v>
      </c>
      <c r="E548" s="689">
        <v>0</v>
      </c>
      <c r="F548" s="687">
        <f t="shared" si="8"/>
        <v>0</v>
      </c>
    </row>
    <row r="549" spans="1:6">
      <c r="A549" s="685"/>
      <c r="B549" s="686">
        <v>1617</v>
      </c>
      <c r="C549" s="687">
        <v>14590</v>
      </c>
      <c r="D549" s="688" t="s">
        <v>503</v>
      </c>
      <c r="E549" s="689">
        <v>0</v>
      </c>
      <c r="F549" s="687">
        <f t="shared" si="8"/>
        <v>0</v>
      </c>
    </row>
    <row r="550" spans="1:6">
      <c r="A550" s="685"/>
      <c r="B550" s="686">
        <v>1617</v>
      </c>
      <c r="C550" s="687">
        <v>1952100</v>
      </c>
      <c r="D550" s="688" t="s">
        <v>503</v>
      </c>
      <c r="E550" s="689">
        <v>0</v>
      </c>
      <c r="F550" s="687">
        <f t="shared" si="8"/>
        <v>0</v>
      </c>
    </row>
    <row r="551" spans="1:6">
      <c r="A551" s="685"/>
      <c r="B551" s="686">
        <v>1616</v>
      </c>
      <c r="C551" s="687">
        <v>16800</v>
      </c>
      <c r="D551" s="688" t="s">
        <v>503</v>
      </c>
      <c r="E551" s="689">
        <v>0</v>
      </c>
      <c r="F551" s="687">
        <f t="shared" si="8"/>
        <v>0</v>
      </c>
    </row>
    <row r="552" spans="1:6">
      <c r="A552" s="685"/>
      <c r="B552" s="686">
        <v>1610</v>
      </c>
      <c r="C552" s="687">
        <v>1580800</v>
      </c>
      <c r="D552" s="688" t="s">
        <v>503</v>
      </c>
      <c r="E552" s="689">
        <v>0</v>
      </c>
      <c r="F552" s="687">
        <f t="shared" si="8"/>
        <v>0</v>
      </c>
    </row>
    <row r="553" spans="1:6">
      <c r="A553" s="685"/>
      <c r="B553" s="686">
        <v>1607</v>
      </c>
      <c r="C553" s="687">
        <v>2589500</v>
      </c>
      <c r="D553" s="688" t="s">
        <v>503</v>
      </c>
      <c r="E553" s="689">
        <v>0</v>
      </c>
      <c r="F553" s="687">
        <f t="shared" si="8"/>
        <v>0</v>
      </c>
    </row>
    <row r="554" spans="1:6">
      <c r="A554" s="685"/>
      <c r="B554" s="686">
        <v>1602</v>
      </c>
      <c r="C554" s="687">
        <v>73600</v>
      </c>
      <c r="D554" s="688" t="s">
        <v>503</v>
      </c>
      <c r="E554" s="689">
        <v>0</v>
      </c>
      <c r="F554" s="687">
        <f t="shared" si="8"/>
        <v>0</v>
      </c>
    </row>
    <row r="555" spans="1:6">
      <c r="A555" s="685"/>
      <c r="B555" s="686">
        <v>1601</v>
      </c>
      <c r="C555" s="687">
        <v>14750</v>
      </c>
      <c r="D555" s="688" t="s">
        <v>503</v>
      </c>
      <c r="E555" s="689">
        <v>0</v>
      </c>
      <c r="F555" s="687">
        <f t="shared" si="8"/>
        <v>0</v>
      </c>
    </row>
    <row r="556" spans="1:6">
      <c r="A556" s="685"/>
      <c r="B556" s="686">
        <v>1601</v>
      </c>
      <c r="C556" s="687">
        <v>36500</v>
      </c>
      <c r="D556" s="688" t="s">
        <v>503</v>
      </c>
      <c r="E556" s="689">
        <v>0</v>
      </c>
      <c r="F556" s="687">
        <f t="shared" si="8"/>
        <v>0</v>
      </c>
    </row>
    <row r="557" spans="1:6">
      <c r="A557" s="685"/>
      <c r="B557" s="686">
        <v>1601</v>
      </c>
      <c r="C557" s="687">
        <v>73400</v>
      </c>
      <c r="D557" s="688" t="s">
        <v>503</v>
      </c>
      <c r="E557" s="689">
        <v>0</v>
      </c>
      <c r="F557" s="687">
        <f t="shared" si="8"/>
        <v>0</v>
      </c>
    </row>
    <row r="558" spans="1:6">
      <c r="A558" s="685"/>
      <c r="B558" s="686">
        <v>1600</v>
      </c>
      <c r="C558" s="687">
        <v>2006000</v>
      </c>
      <c r="D558" s="688" t="s">
        <v>503</v>
      </c>
      <c r="E558" s="689">
        <v>0</v>
      </c>
      <c r="F558" s="687">
        <f t="shared" si="8"/>
        <v>0</v>
      </c>
    </row>
    <row r="559" spans="1:6">
      <c r="A559" s="685"/>
      <c r="B559" s="686">
        <v>1540</v>
      </c>
      <c r="C559" s="687">
        <v>12080000</v>
      </c>
      <c r="D559" s="688" t="s">
        <v>503</v>
      </c>
      <c r="E559" s="689">
        <v>0</v>
      </c>
      <c r="F559" s="687">
        <f t="shared" si="8"/>
        <v>0</v>
      </c>
    </row>
    <row r="560" spans="1:6">
      <c r="A560" s="685"/>
      <c r="B560" s="686">
        <v>1599</v>
      </c>
      <c r="C560" s="687">
        <v>3433350</v>
      </c>
      <c r="D560" s="688" t="s">
        <v>503</v>
      </c>
      <c r="E560" s="689">
        <v>0</v>
      </c>
      <c r="F560" s="687">
        <f t="shared" si="8"/>
        <v>0</v>
      </c>
    </row>
    <row r="561" spans="1:6">
      <c r="A561" s="685"/>
      <c r="B561" s="686">
        <v>1595</v>
      </c>
      <c r="C561" s="687">
        <v>109800</v>
      </c>
      <c r="D561" s="688" t="s">
        <v>503</v>
      </c>
      <c r="E561" s="689">
        <v>0</v>
      </c>
      <c r="F561" s="687">
        <f t="shared" si="8"/>
        <v>0</v>
      </c>
    </row>
    <row r="562" spans="1:6">
      <c r="A562" s="685"/>
      <c r="B562" s="686">
        <v>1593</v>
      </c>
      <c r="C562" s="687">
        <v>2152000</v>
      </c>
      <c r="D562" s="688" t="s">
        <v>503</v>
      </c>
      <c r="E562" s="689">
        <v>0</v>
      </c>
      <c r="F562" s="687">
        <f t="shared" si="8"/>
        <v>0</v>
      </c>
    </row>
    <row r="563" spans="1:6">
      <c r="A563" s="685"/>
      <c r="B563" s="686">
        <v>1592</v>
      </c>
      <c r="C563" s="687">
        <v>117250</v>
      </c>
      <c r="D563" s="688" t="s">
        <v>503</v>
      </c>
      <c r="E563" s="689">
        <v>0</v>
      </c>
      <c r="F563" s="687">
        <f t="shared" si="8"/>
        <v>0</v>
      </c>
    </row>
    <row r="564" spans="1:6">
      <c r="A564" s="685"/>
      <c r="B564" s="686">
        <v>1501</v>
      </c>
      <c r="C564" s="687">
        <v>59422500</v>
      </c>
      <c r="D564" s="688" t="s">
        <v>503</v>
      </c>
      <c r="E564" s="689">
        <v>0</v>
      </c>
      <c r="F564" s="687">
        <f t="shared" si="8"/>
        <v>0</v>
      </c>
    </row>
    <row r="565" spans="1:6">
      <c r="A565" s="685"/>
      <c r="B565" s="686">
        <v>1589</v>
      </c>
      <c r="C565" s="687">
        <v>76150</v>
      </c>
      <c r="D565" s="688" t="s">
        <v>503</v>
      </c>
      <c r="E565" s="689">
        <v>0</v>
      </c>
      <c r="F565" s="687">
        <f t="shared" si="8"/>
        <v>0</v>
      </c>
    </row>
    <row r="566" spans="1:6">
      <c r="A566" s="685"/>
      <c r="B566" s="686">
        <v>1588</v>
      </c>
      <c r="C566" s="687">
        <v>1956850</v>
      </c>
      <c r="D566" s="688" t="s">
        <v>503</v>
      </c>
      <c r="E566" s="689">
        <v>0</v>
      </c>
      <c r="F566" s="687">
        <f t="shared" si="8"/>
        <v>0</v>
      </c>
    </row>
    <row r="567" spans="1:6">
      <c r="A567" s="685"/>
      <c r="B567" s="686">
        <v>1586</v>
      </c>
      <c r="C567" s="687">
        <v>3768800</v>
      </c>
      <c r="D567" s="688" t="s">
        <v>503</v>
      </c>
      <c r="E567" s="689">
        <v>0</v>
      </c>
      <c r="F567" s="687">
        <f t="shared" si="8"/>
        <v>0</v>
      </c>
    </row>
    <row r="568" spans="1:6">
      <c r="A568" s="685"/>
      <c r="B568" s="686">
        <v>1581</v>
      </c>
      <c r="C568" s="687">
        <v>322540</v>
      </c>
      <c r="D568" s="688" t="s">
        <v>503</v>
      </c>
      <c r="E568" s="689">
        <v>0</v>
      </c>
      <c r="F568" s="687">
        <f t="shared" si="8"/>
        <v>0</v>
      </c>
    </row>
    <row r="569" spans="1:6">
      <c r="A569" s="685"/>
      <c r="B569" s="686">
        <v>1579</v>
      </c>
      <c r="C569" s="687">
        <v>42500</v>
      </c>
      <c r="D569" s="688" t="s">
        <v>503</v>
      </c>
      <c r="E569" s="689">
        <v>0</v>
      </c>
      <c r="F569" s="687">
        <f t="shared" si="8"/>
        <v>0</v>
      </c>
    </row>
    <row r="570" spans="1:6">
      <c r="A570" s="685"/>
      <c r="B570" s="686">
        <v>1575</v>
      </c>
      <c r="C570" s="687">
        <v>538700</v>
      </c>
      <c r="D570" s="688" t="s">
        <v>503</v>
      </c>
      <c r="E570" s="689">
        <v>0</v>
      </c>
      <c r="F570" s="687">
        <f t="shared" si="8"/>
        <v>0</v>
      </c>
    </row>
    <row r="571" spans="1:6">
      <c r="A571" s="685"/>
      <c r="B571" s="686">
        <v>1574</v>
      </c>
      <c r="C571" s="687">
        <v>2603350</v>
      </c>
      <c r="D571" s="688" t="s">
        <v>503</v>
      </c>
      <c r="E571" s="689">
        <v>0</v>
      </c>
      <c r="F571" s="687">
        <f t="shared" si="8"/>
        <v>0</v>
      </c>
    </row>
    <row r="572" spans="1:6">
      <c r="A572" s="685"/>
      <c r="B572" s="686">
        <v>1568</v>
      </c>
      <c r="C572" s="687">
        <v>417100</v>
      </c>
      <c r="D572" s="688" t="s">
        <v>503</v>
      </c>
      <c r="E572" s="689">
        <v>0</v>
      </c>
      <c r="F572" s="687">
        <f t="shared" si="8"/>
        <v>0</v>
      </c>
    </row>
    <row r="573" spans="1:6">
      <c r="A573" s="685"/>
      <c r="B573" s="686">
        <v>1568</v>
      </c>
      <c r="C573" s="687">
        <v>2108800</v>
      </c>
      <c r="D573" s="688" t="s">
        <v>503</v>
      </c>
      <c r="E573" s="689">
        <v>0</v>
      </c>
      <c r="F573" s="687">
        <f t="shared" si="8"/>
        <v>0</v>
      </c>
    </row>
    <row r="574" spans="1:6">
      <c r="A574" s="685"/>
      <c r="B574" s="686">
        <v>1568</v>
      </c>
      <c r="C574" s="687">
        <v>161065</v>
      </c>
      <c r="D574" s="688" t="s">
        <v>503</v>
      </c>
      <c r="E574" s="689">
        <v>0</v>
      </c>
      <c r="F574" s="687">
        <f t="shared" si="8"/>
        <v>0</v>
      </c>
    </row>
    <row r="575" spans="1:6">
      <c r="A575" s="685"/>
      <c r="B575" s="686">
        <v>1567</v>
      </c>
      <c r="C575" s="687">
        <v>21900</v>
      </c>
      <c r="D575" s="688" t="s">
        <v>503</v>
      </c>
      <c r="E575" s="689">
        <v>0</v>
      </c>
      <c r="F575" s="687">
        <f t="shared" si="8"/>
        <v>0</v>
      </c>
    </row>
    <row r="576" spans="1:6">
      <c r="A576" s="685"/>
      <c r="B576" s="686">
        <v>1567</v>
      </c>
      <c r="C576" s="687">
        <v>225600</v>
      </c>
      <c r="D576" s="688" t="s">
        <v>503</v>
      </c>
      <c r="E576" s="689">
        <v>0</v>
      </c>
      <c r="F576" s="687">
        <f t="shared" si="8"/>
        <v>0</v>
      </c>
    </row>
    <row r="577" spans="1:6">
      <c r="A577" s="685"/>
      <c r="B577" s="686">
        <v>1567</v>
      </c>
      <c r="C577" s="687">
        <v>1185800</v>
      </c>
      <c r="D577" s="688" t="s">
        <v>503</v>
      </c>
      <c r="E577" s="689">
        <v>0</v>
      </c>
      <c r="F577" s="687">
        <f t="shared" si="8"/>
        <v>0</v>
      </c>
    </row>
    <row r="578" spans="1:6">
      <c r="A578" s="685"/>
      <c r="B578" s="686">
        <v>1565</v>
      </c>
      <c r="C578" s="687">
        <v>555500</v>
      </c>
      <c r="D578" s="688" t="s">
        <v>503</v>
      </c>
      <c r="E578" s="689">
        <v>0</v>
      </c>
      <c r="F578" s="687">
        <f t="shared" si="8"/>
        <v>0</v>
      </c>
    </row>
    <row r="579" spans="1:6">
      <c r="A579" s="685"/>
      <c r="B579" s="686">
        <v>1565</v>
      </c>
      <c r="C579" s="687">
        <v>1880650</v>
      </c>
      <c r="D579" s="688" t="s">
        <v>503</v>
      </c>
      <c r="E579" s="689">
        <v>0</v>
      </c>
      <c r="F579" s="687">
        <f t="shared" ref="F579:F642" si="9">+C579*E579</f>
        <v>0</v>
      </c>
    </row>
    <row r="580" spans="1:6">
      <c r="A580" s="685"/>
      <c r="B580" s="686">
        <v>1565</v>
      </c>
      <c r="C580" s="687">
        <v>2108800</v>
      </c>
      <c r="D580" s="688" t="s">
        <v>503</v>
      </c>
      <c r="E580" s="689">
        <v>0</v>
      </c>
      <c r="F580" s="687">
        <f t="shared" si="9"/>
        <v>0</v>
      </c>
    </row>
    <row r="581" spans="1:6">
      <c r="A581" s="685"/>
      <c r="B581" s="686">
        <v>1563</v>
      </c>
      <c r="C581" s="687">
        <v>64950</v>
      </c>
      <c r="D581" s="688" t="s">
        <v>503</v>
      </c>
      <c r="E581" s="689">
        <v>0</v>
      </c>
      <c r="F581" s="687">
        <f t="shared" si="9"/>
        <v>0</v>
      </c>
    </row>
    <row r="582" spans="1:6">
      <c r="A582" s="685"/>
      <c r="B582" s="686">
        <v>1561</v>
      </c>
      <c r="C582" s="687">
        <v>21900</v>
      </c>
      <c r="D582" s="688" t="s">
        <v>503</v>
      </c>
      <c r="E582" s="689">
        <v>0</v>
      </c>
      <c r="F582" s="687">
        <f t="shared" si="9"/>
        <v>0</v>
      </c>
    </row>
    <row r="583" spans="1:6">
      <c r="A583" s="685"/>
      <c r="B583" s="686">
        <v>1560</v>
      </c>
      <c r="C583" s="687">
        <v>312900</v>
      </c>
      <c r="D583" s="688" t="s">
        <v>503</v>
      </c>
      <c r="E583" s="689">
        <v>0</v>
      </c>
      <c r="F583" s="687">
        <f t="shared" si="9"/>
        <v>0</v>
      </c>
    </row>
    <row r="584" spans="1:6">
      <c r="A584" s="685"/>
      <c r="B584" s="686">
        <v>1558</v>
      </c>
      <c r="C584" s="687">
        <v>555500</v>
      </c>
      <c r="D584" s="688" t="s">
        <v>503</v>
      </c>
      <c r="E584" s="689">
        <v>0</v>
      </c>
      <c r="F584" s="687">
        <f t="shared" si="9"/>
        <v>0</v>
      </c>
    </row>
    <row r="585" spans="1:6">
      <c r="A585" s="685"/>
      <c r="B585" s="686">
        <v>1558</v>
      </c>
      <c r="C585" s="687">
        <v>397100</v>
      </c>
      <c r="D585" s="688" t="s">
        <v>503</v>
      </c>
      <c r="E585" s="689">
        <v>0</v>
      </c>
      <c r="F585" s="687">
        <f t="shared" si="9"/>
        <v>0</v>
      </c>
    </row>
    <row r="586" spans="1:6">
      <c r="A586" s="685"/>
      <c r="B586" s="686">
        <v>1558</v>
      </c>
      <c r="C586" s="687">
        <v>215500</v>
      </c>
      <c r="D586" s="688" t="s">
        <v>503</v>
      </c>
      <c r="E586" s="689">
        <v>0</v>
      </c>
      <c r="F586" s="687">
        <f t="shared" si="9"/>
        <v>0</v>
      </c>
    </row>
    <row r="587" spans="1:6">
      <c r="A587" s="685"/>
      <c r="B587" s="686">
        <v>1557</v>
      </c>
      <c r="C587" s="687">
        <v>40850</v>
      </c>
      <c r="D587" s="688" t="s">
        <v>503</v>
      </c>
      <c r="E587" s="689">
        <v>0</v>
      </c>
      <c r="F587" s="687">
        <f t="shared" si="9"/>
        <v>0</v>
      </c>
    </row>
    <row r="588" spans="1:6">
      <c r="A588" s="685"/>
      <c r="B588" s="686">
        <v>1554</v>
      </c>
      <c r="C588" s="687">
        <v>52800</v>
      </c>
      <c r="D588" s="688" t="s">
        <v>503</v>
      </c>
      <c r="E588" s="689">
        <v>0</v>
      </c>
      <c r="F588" s="687">
        <f t="shared" si="9"/>
        <v>0</v>
      </c>
    </row>
    <row r="589" spans="1:6">
      <c r="A589" s="685"/>
      <c r="B589" s="686">
        <v>1554</v>
      </c>
      <c r="C589" s="687">
        <v>1111000</v>
      </c>
      <c r="D589" s="688" t="s">
        <v>503</v>
      </c>
      <c r="E589" s="689">
        <v>0</v>
      </c>
      <c r="F589" s="687">
        <f t="shared" si="9"/>
        <v>0</v>
      </c>
    </row>
    <row r="590" spans="1:6">
      <c r="A590" s="685"/>
      <c r="B590" s="686">
        <v>1554</v>
      </c>
      <c r="C590" s="687">
        <v>420650</v>
      </c>
      <c r="D590" s="688" t="s">
        <v>503</v>
      </c>
      <c r="E590" s="689">
        <v>0</v>
      </c>
      <c r="F590" s="687">
        <f t="shared" si="9"/>
        <v>0</v>
      </c>
    </row>
    <row r="591" spans="1:6">
      <c r="A591" s="685"/>
      <c r="B591" s="686">
        <v>1553</v>
      </c>
      <c r="C591" s="687">
        <v>110140</v>
      </c>
      <c r="D591" s="688" t="s">
        <v>503</v>
      </c>
      <c r="E591" s="689">
        <v>0</v>
      </c>
      <c r="F591" s="687">
        <f t="shared" si="9"/>
        <v>0</v>
      </c>
    </row>
    <row r="592" spans="1:6">
      <c r="A592" s="685"/>
      <c r="B592" s="686">
        <v>1552</v>
      </c>
      <c r="C592" s="687">
        <v>3206000</v>
      </c>
      <c r="D592" s="688" t="s">
        <v>503</v>
      </c>
      <c r="E592" s="689">
        <v>0</v>
      </c>
      <c r="F592" s="687">
        <f t="shared" si="9"/>
        <v>0</v>
      </c>
    </row>
    <row r="593" spans="1:6">
      <c r="A593" s="685"/>
      <c r="B593" s="686">
        <v>1549</v>
      </c>
      <c r="C593" s="687">
        <v>619900</v>
      </c>
      <c r="D593" s="688" t="s">
        <v>503</v>
      </c>
      <c r="E593" s="689">
        <v>0</v>
      </c>
      <c r="F593" s="687">
        <f t="shared" si="9"/>
        <v>0</v>
      </c>
    </row>
    <row r="594" spans="1:6">
      <c r="A594" s="685"/>
      <c r="B594" s="686">
        <v>1547</v>
      </c>
      <c r="C594" s="687">
        <v>2213550</v>
      </c>
      <c r="D594" s="688" t="s">
        <v>503</v>
      </c>
      <c r="E594" s="689">
        <v>0</v>
      </c>
      <c r="F594" s="687">
        <f t="shared" si="9"/>
        <v>0</v>
      </c>
    </row>
    <row r="595" spans="1:6">
      <c r="A595" s="685"/>
      <c r="B595" s="686">
        <v>1546</v>
      </c>
      <c r="C595" s="687">
        <v>70550</v>
      </c>
      <c r="D595" s="688" t="s">
        <v>503</v>
      </c>
      <c r="E595" s="689">
        <v>0</v>
      </c>
      <c r="F595" s="687">
        <f t="shared" si="9"/>
        <v>0</v>
      </c>
    </row>
    <row r="596" spans="1:6">
      <c r="A596" s="685"/>
      <c r="B596" s="686">
        <v>1542</v>
      </c>
      <c r="C596" s="687">
        <v>137100</v>
      </c>
      <c r="D596" s="688" t="s">
        <v>503</v>
      </c>
      <c r="E596" s="689">
        <v>0</v>
      </c>
      <c r="F596" s="687">
        <f t="shared" si="9"/>
        <v>0</v>
      </c>
    </row>
    <row r="597" spans="1:6">
      <c r="A597" s="685"/>
      <c r="B597" s="686">
        <v>1542</v>
      </c>
      <c r="C597" s="687">
        <v>4293450</v>
      </c>
      <c r="D597" s="688" t="s">
        <v>503</v>
      </c>
      <c r="E597" s="689">
        <v>0</v>
      </c>
      <c r="F597" s="687">
        <f t="shared" si="9"/>
        <v>0</v>
      </c>
    </row>
    <row r="598" spans="1:6">
      <c r="A598" s="685"/>
      <c r="B598" s="686">
        <v>1539</v>
      </c>
      <c r="C598" s="687">
        <v>2221150</v>
      </c>
      <c r="D598" s="688" t="s">
        <v>503</v>
      </c>
      <c r="E598" s="689">
        <v>0</v>
      </c>
      <c r="F598" s="687">
        <f t="shared" si="9"/>
        <v>0</v>
      </c>
    </row>
    <row r="599" spans="1:6">
      <c r="A599" s="685"/>
      <c r="B599" s="686">
        <v>1536</v>
      </c>
      <c r="C599" s="687">
        <v>5973450</v>
      </c>
      <c r="D599" s="688" t="s">
        <v>503</v>
      </c>
      <c r="E599" s="689">
        <v>0</v>
      </c>
      <c r="F599" s="687">
        <f t="shared" si="9"/>
        <v>0</v>
      </c>
    </row>
    <row r="600" spans="1:6">
      <c r="A600" s="685"/>
      <c r="B600" s="686">
        <v>1531</v>
      </c>
      <c r="C600" s="687">
        <v>89700</v>
      </c>
      <c r="D600" s="688" t="s">
        <v>503</v>
      </c>
      <c r="E600" s="689">
        <v>0</v>
      </c>
      <c r="F600" s="687">
        <f t="shared" si="9"/>
        <v>0</v>
      </c>
    </row>
    <row r="601" spans="1:6">
      <c r="A601" s="685"/>
      <c r="B601" s="686">
        <v>1530</v>
      </c>
      <c r="C601" s="687">
        <v>5555900</v>
      </c>
      <c r="D601" s="688" t="s">
        <v>503</v>
      </c>
      <c r="E601" s="689">
        <v>0</v>
      </c>
      <c r="F601" s="687">
        <f t="shared" si="9"/>
        <v>0</v>
      </c>
    </row>
    <row r="602" spans="1:6">
      <c r="A602" s="685"/>
      <c r="B602" s="686">
        <v>1526</v>
      </c>
      <c r="C602" s="687">
        <v>195440</v>
      </c>
      <c r="D602" s="688" t="s">
        <v>503</v>
      </c>
      <c r="E602" s="689">
        <v>0</v>
      </c>
      <c r="F602" s="687">
        <f t="shared" si="9"/>
        <v>0</v>
      </c>
    </row>
    <row r="603" spans="1:6">
      <c r="A603" s="685"/>
      <c r="B603" s="686">
        <v>1524</v>
      </c>
      <c r="C603" s="687">
        <v>452050</v>
      </c>
      <c r="D603" s="688" t="s">
        <v>503</v>
      </c>
      <c r="E603" s="689">
        <v>0</v>
      </c>
      <c r="F603" s="687">
        <f t="shared" si="9"/>
        <v>0</v>
      </c>
    </row>
    <row r="604" spans="1:6">
      <c r="A604" s="685"/>
      <c r="B604" s="686">
        <v>1521</v>
      </c>
      <c r="C604" s="687">
        <v>10450</v>
      </c>
      <c r="D604" s="688" t="s">
        <v>503</v>
      </c>
      <c r="E604" s="689">
        <v>0</v>
      </c>
      <c r="F604" s="687">
        <f t="shared" si="9"/>
        <v>0</v>
      </c>
    </row>
    <row r="605" spans="1:6">
      <c r="A605" s="685"/>
      <c r="B605" s="686">
        <v>1516</v>
      </c>
      <c r="C605" s="687">
        <v>6190550</v>
      </c>
      <c r="D605" s="688" t="s">
        <v>503</v>
      </c>
      <c r="E605" s="689">
        <v>0</v>
      </c>
      <c r="F605" s="687">
        <f t="shared" si="9"/>
        <v>0</v>
      </c>
    </row>
    <row r="606" spans="1:6">
      <c r="A606" s="685"/>
      <c r="B606" s="686">
        <v>1515</v>
      </c>
      <c r="C606" s="687">
        <v>81700</v>
      </c>
      <c r="D606" s="688" t="s">
        <v>503</v>
      </c>
      <c r="E606" s="689">
        <v>0</v>
      </c>
      <c r="F606" s="687">
        <f t="shared" si="9"/>
        <v>0</v>
      </c>
    </row>
    <row r="607" spans="1:6">
      <c r="A607" s="685"/>
      <c r="B607" s="686">
        <v>1515</v>
      </c>
      <c r="C607" s="687">
        <v>643850</v>
      </c>
      <c r="D607" s="688" t="s">
        <v>503</v>
      </c>
      <c r="E607" s="689">
        <v>0</v>
      </c>
      <c r="F607" s="687">
        <f t="shared" si="9"/>
        <v>0</v>
      </c>
    </row>
    <row r="608" spans="1:6">
      <c r="A608" s="685"/>
      <c r="B608" s="686">
        <v>1514</v>
      </c>
      <c r="C608" s="687">
        <v>23088000</v>
      </c>
      <c r="D608" s="688" t="s">
        <v>503</v>
      </c>
      <c r="E608" s="689">
        <v>0</v>
      </c>
      <c r="F608" s="687">
        <f t="shared" si="9"/>
        <v>0</v>
      </c>
    </row>
    <row r="609" spans="1:6">
      <c r="A609" s="685"/>
      <c r="B609" s="686">
        <v>1512</v>
      </c>
      <c r="C609" s="687">
        <v>2356500</v>
      </c>
      <c r="D609" s="688" t="s">
        <v>503</v>
      </c>
      <c r="E609" s="689">
        <v>0</v>
      </c>
      <c r="F609" s="687">
        <f t="shared" si="9"/>
        <v>0</v>
      </c>
    </row>
    <row r="610" spans="1:6">
      <c r="A610" s="685"/>
      <c r="B610" s="686">
        <v>1512</v>
      </c>
      <c r="C610" s="687">
        <v>263000</v>
      </c>
      <c r="D610" s="688" t="s">
        <v>503</v>
      </c>
      <c r="E610" s="689">
        <v>0</v>
      </c>
      <c r="F610" s="687">
        <f t="shared" si="9"/>
        <v>0</v>
      </c>
    </row>
    <row r="611" spans="1:6">
      <c r="A611" s="685"/>
      <c r="B611" s="686">
        <v>1511</v>
      </c>
      <c r="C611" s="687">
        <v>1569000</v>
      </c>
      <c r="D611" s="688" t="s">
        <v>503</v>
      </c>
      <c r="E611" s="689">
        <v>0</v>
      </c>
      <c r="F611" s="687">
        <f t="shared" si="9"/>
        <v>0</v>
      </c>
    </row>
    <row r="612" spans="1:6">
      <c r="A612" s="685"/>
      <c r="B612" s="686">
        <v>1511</v>
      </c>
      <c r="C612" s="687">
        <v>776700</v>
      </c>
      <c r="D612" s="688" t="s">
        <v>503</v>
      </c>
      <c r="E612" s="689">
        <v>0</v>
      </c>
      <c r="F612" s="687">
        <f t="shared" si="9"/>
        <v>0</v>
      </c>
    </row>
    <row r="613" spans="1:6">
      <c r="A613" s="685"/>
      <c r="B613" s="686">
        <v>1510</v>
      </c>
      <c r="C613" s="687">
        <v>776700</v>
      </c>
      <c r="D613" s="688" t="s">
        <v>503</v>
      </c>
      <c r="E613" s="689">
        <v>0</v>
      </c>
      <c r="F613" s="687">
        <f t="shared" si="9"/>
        <v>0</v>
      </c>
    </row>
    <row r="614" spans="1:6">
      <c r="A614" s="685"/>
      <c r="B614" s="686">
        <v>1509</v>
      </c>
      <c r="C614" s="687">
        <v>388350</v>
      </c>
      <c r="D614" s="688" t="s">
        <v>503</v>
      </c>
      <c r="E614" s="689">
        <v>0</v>
      </c>
      <c r="F614" s="687">
        <f t="shared" si="9"/>
        <v>0</v>
      </c>
    </row>
    <row r="615" spans="1:6">
      <c r="A615" s="685"/>
      <c r="B615" s="686">
        <v>1508</v>
      </c>
      <c r="C615" s="687">
        <v>23088000</v>
      </c>
      <c r="D615" s="688" t="s">
        <v>503</v>
      </c>
      <c r="E615" s="689">
        <v>0</v>
      </c>
      <c r="F615" s="687">
        <f t="shared" si="9"/>
        <v>0</v>
      </c>
    </row>
    <row r="616" spans="1:6">
      <c r="A616" s="685"/>
      <c r="B616" s="686">
        <v>1504</v>
      </c>
      <c r="C616" s="687">
        <v>19900</v>
      </c>
      <c r="D616" s="688" t="s">
        <v>503</v>
      </c>
      <c r="E616" s="689">
        <v>0</v>
      </c>
      <c r="F616" s="687">
        <f t="shared" si="9"/>
        <v>0</v>
      </c>
    </row>
    <row r="617" spans="1:6">
      <c r="A617" s="685"/>
      <c r="B617" s="686">
        <v>1505</v>
      </c>
      <c r="C617" s="687">
        <v>70200</v>
      </c>
      <c r="D617" s="688" t="s">
        <v>503</v>
      </c>
      <c r="E617" s="689">
        <v>0</v>
      </c>
      <c r="F617" s="687">
        <f t="shared" si="9"/>
        <v>0</v>
      </c>
    </row>
    <row r="618" spans="1:6">
      <c r="A618" s="685"/>
      <c r="B618" s="686">
        <v>1505</v>
      </c>
      <c r="C618" s="687">
        <v>416050</v>
      </c>
      <c r="D618" s="688" t="s">
        <v>503</v>
      </c>
      <c r="E618" s="689">
        <v>0</v>
      </c>
      <c r="F618" s="687">
        <f t="shared" si="9"/>
        <v>0</v>
      </c>
    </row>
    <row r="619" spans="1:6">
      <c r="A619" s="685"/>
      <c r="B619" s="686">
        <v>1504</v>
      </c>
      <c r="C619" s="687">
        <v>43540</v>
      </c>
      <c r="D619" s="688" t="s">
        <v>503</v>
      </c>
      <c r="E619" s="689">
        <v>0</v>
      </c>
      <c r="F619" s="687">
        <f t="shared" si="9"/>
        <v>0</v>
      </c>
    </row>
    <row r="620" spans="1:6">
      <c r="A620" s="685"/>
      <c r="B620" s="686">
        <v>1502</v>
      </c>
      <c r="C620" s="687">
        <v>41850</v>
      </c>
      <c r="D620" s="688" t="s">
        <v>503</v>
      </c>
      <c r="E620" s="689">
        <v>0</v>
      </c>
      <c r="F620" s="687">
        <f t="shared" si="9"/>
        <v>0</v>
      </c>
    </row>
    <row r="621" spans="1:6">
      <c r="A621" s="685"/>
      <c r="B621" s="686">
        <v>1502</v>
      </c>
      <c r="C621" s="687">
        <v>69400</v>
      </c>
      <c r="D621" s="688" t="s">
        <v>503</v>
      </c>
      <c r="E621" s="689">
        <v>0</v>
      </c>
      <c r="F621" s="687">
        <f t="shared" si="9"/>
        <v>0</v>
      </c>
    </row>
    <row r="622" spans="1:6">
      <c r="A622" s="685"/>
      <c r="B622" s="686">
        <v>1505</v>
      </c>
      <c r="C622" s="687">
        <v>7629900</v>
      </c>
      <c r="D622" s="688" t="s">
        <v>503</v>
      </c>
      <c r="E622" s="689">
        <v>0</v>
      </c>
      <c r="F622" s="687">
        <f t="shared" si="9"/>
        <v>0</v>
      </c>
    </row>
    <row r="623" spans="1:6">
      <c r="A623" s="685"/>
      <c r="B623" s="686">
        <v>1504</v>
      </c>
      <c r="C623" s="687">
        <v>127150</v>
      </c>
      <c r="D623" s="688" t="s">
        <v>503</v>
      </c>
      <c r="E623" s="689">
        <v>0</v>
      </c>
      <c r="F623" s="687">
        <f t="shared" si="9"/>
        <v>0</v>
      </c>
    </row>
    <row r="624" spans="1:6">
      <c r="A624" s="685"/>
      <c r="B624" s="686">
        <v>1504</v>
      </c>
      <c r="C624" s="687">
        <v>96150</v>
      </c>
      <c r="D624" s="688" t="s">
        <v>503</v>
      </c>
      <c r="E624" s="689">
        <v>0</v>
      </c>
      <c r="F624" s="687">
        <f t="shared" si="9"/>
        <v>0</v>
      </c>
    </row>
    <row r="625" spans="1:6">
      <c r="A625" s="685"/>
      <c r="B625" s="686">
        <v>1501</v>
      </c>
      <c r="C625" s="687">
        <v>28700</v>
      </c>
      <c r="D625" s="688" t="s">
        <v>503</v>
      </c>
      <c r="E625" s="689">
        <v>0</v>
      </c>
      <c r="F625" s="687">
        <f t="shared" si="9"/>
        <v>0</v>
      </c>
    </row>
    <row r="626" spans="1:6">
      <c r="A626" s="685"/>
      <c r="B626" s="686">
        <v>1500</v>
      </c>
      <c r="C626" s="687">
        <v>5644850</v>
      </c>
      <c r="D626" s="688" t="s">
        <v>503</v>
      </c>
      <c r="E626" s="689">
        <v>0</v>
      </c>
      <c r="F626" s="687">
        <f t="shared" si="9"/>
        <v>0</v>
      </c>
    </row>
    <row r="627" spans="1:6">
      <c r="A627" s="685"/>
      <c r="B627" s="686">
        <v>1498</v>
      </c>
      <c r="C627" s="687">
        <v>96400</v>
      </c>
      <c r="D627" s="688" t="s">
        <v>503</v>
      </c>
      <c r="E627" s="689">
        <v>0</v>
      </c>
      <c r="F627" s="687">
        <f t="shared" si="9"/>
        <v>0</v>
      </c>
    </row>
    <row r="628" spans="1:6">
      <c r="A628" s="685"/>
      <c r="B628" s="686">
        <v>1498</v>
      </c>
      <c r="C628" s="687">
        <v>172250</v>
      </c>
      <c r="D628" s="688" t="s">
        <v>503</v>
      </c>
      <c r="E628" s="689">
        <v>0</v>
      </c>
      <c r="F628" s="687">
        <f t="shared" si="9"/>
        <v>0</v>
      </c>
    </row>
    <row r="629" spans="1:6">
      <c r="A629" s="685"/>
      <c r="B629" s="686">
        <v>1497</v>
      </c>
      <c r="C629" s="687">
        <v>198400</v>
      </c>
      <c r="D629" s="688" t="s">
        <v>503</v>
      </c>
      <c r="E629" s="689">
        <v>0</v>
      </c>
      <c r="F629" s="687">
        <f t="shared" si="9"/>
        <v>0</v>
      </c>
    </row>
    <row r="630" spans="1:6">
      <c r="A630" s="685"/>
      <c r="B630" s="686">
        <v>1495</v>
      </c>
      <c r="C630" s="687">
        <v>17519800</v>
      </c>
      <c r="D630" s="688" t="s">
        <v>503</v>
      </c>
      <c r="E630" s="689">
        <v>0</v>
      </c>
      <c r="F630" s="687">
        <f t="shared" si="9"/>
        <v>0</v>
      </c>
    </row>
    <row r="631" spans="1:6">
      <c r="A631" s="685"/>
      <c r="B631" s="686">
        <v>1495</v>
      </c>
      <c r="C631" s="687">
        <v>39150</v>
      </c>
      <c r="D631" s="688" t="s">
        <v>503</v>
      </c>
      <c r="E631" s="689">
        <v>0</v>
      </c>
      <c r="F631" s="687">
        <f t="shared" si="9"/>
        <v>0</v>
      </c>
    </row>
    <row r="632" spans="1:6">
      <c r="A632" s="685"/>
      <c r="B632" s="686">
        <v>1495</v>
      </c>
      <c r="C632" s="687">
        <v>108740</v>
      </c>
      <c r="D632" s="688" t="s">
        <v>503</v>
      </c>
      <c r="E632" s="689">
        <v>0</v>
      </c>
      <c r="F632" s="687">
        <f t="shared" si="9"/>
        <v>0</v>
      </c>
    </row>
    <row r="633" spans="1:6">
      <c r="A633" s="685"/>
      <c r="B633" s="686">
        <v>1491</v>
      </c>
      <c r="C633" s="687">
        <v>2098950</v>
      </c>
      <c r="D633" s="688" t="s">
        <v>503</v>
      </c>
      <c r="E633" s="689">
        <v>0</v>
      </c>
      <c r="F633" s="687">
        <f t="shared" si="9"/>
        <v>0</v>
      </c>
    </row>
    <row r="634" spans="1:6">
      <c r="A634" s="685"/>
      <c r="B634" s="686">
        <v>1492</v>
      </c>
      <c r="C634" s="687">
        <v>2541950</v>
      </c>
      <c r="D634" s="688" t="s">
        <v>503</v>
      </c>
      <c r="E634" s="689">
        <v>0</v>
      </c>
      <c r="F634" s="687">
        <f t="shared" si="9"/>
        <v>0</v>
      </c>
    </row>
    <row r="635" spans="1:6">
      <c r="A635" s="685"/>
      <c r="B635" s="686">
        <v>1490</v>
      </c>
      <c r="C635" s="687">
        <v>2400600</v>
      </c>
      <c r="D635" s="688" t="s">
        <v>503</v>
      </c>
      <c r="E635" s="689">
        <v>0</v>
      </c>
      <c r="F635" s="687">
        <f t="shared" si="9"/>
        <v>0</v>
      </c>
    </row>
    <row r="636" spans="1:6">
      <c r="A636" s="685"/>
      <c r="B636" s="686">
        <v>1488</v>
      </c>
      <c r="C636" s="687">
        <v>50500</v>
      </c>
      <c r="D636" s="688" t="s">
        <v>503</v>
      </c>
      <c r="E636" s="689">
        <v>0</v>
      </c>
      <c r="F636" s="687">
        <f t="shared" si="9"/>
        <v>0</v>
      </c>
    </row>
    <row r="637" spans="1:6">
      <c r="A637" s="685"/>
      <c r="B637" s="686">
        <v>1484</v>
      </c>
      <c r="C637" s="687">
        <v>67950</v>
      </c>
      <c r="D637" s="688" t="s">
        <v>503</v>
      </c>
      <c r="E637" s="689">
        <v>0</v>
      </c>
      <c r="F637" s="687">
        <f t="shared" si="9"/>
        <v>0</v>
      </c>
    </row>
    <row r="638" spans="1:6">
      <c r="A638" s="685"/>
      <c r="B638" s="686">
        <v>1481</v>
      </c>
      <c r="C638" s="687">
        <v>1536000</v>
      </c>
      <c r="D638" s="688" t="s">
        <v>503</v>
      </c>
      <c r="E638" s="689">
        <v>0</v>
      </c>
      <c r="F638" s="687">
        <f t="shared" si="9"/>
        <v>0</v>
      </c>
    </row>
    <row r="639" spans="1:6">
      <c r="A639" s="685"/>
      <c r="B639" s="686">
        <v>1477</v>
      </c>
      <c r="C639" s="687">
        <v>71600</v>
      </c>
      <c r="D639" s="688" t="s">
        <v>503</v>
      </c>
      <c r="E639" s="689">
        <v>0</v>
      </c>
      <c r="F639" s="687">
        <f t="shared" si="9"/>
        <v>0</v>
      </c>
    </row>
    <row r="640" spans="1:6">
      <c r="A640" s="685"/>
      <c r="B640" s="686">
        <v>1474</v>
      </c>
      <c r="C640" s="687">
        <v>73400</v>
      </c>
      <c r="D640" s="688" t="s">
        <v>503</v>
      </c>
      <c r="E640" s="689">
        <v>0</v>
      </c>
      <c r="F640" s="687">
        <f t="shared" si="9"/>
        <v>0</v>
      </c>
    </row>
    <row r="641" spans="1:6">
      <c r="A641" s="685"/>
      <c r="B641" s="686">
        <v>1794</v>
      </c>
      <c r="C641" s="687">
        <v>95030</v>
      </c>
      <c r="D641" s="688" t="s">
        <v>503</v>
      </c>
      <c r="E641" s="689">
        <v>0</v>
      </c>
      <c r="F641" s="687">
        <f t="shared" si="9"/>
        <v>0</v>
      </c>
    </row>
    <row r="642" spans="1:6">
      <c r="A642" s="685"/>
      <c r="B642" s="686">
        <v>1788</v>
      </c>
      <c r="C642" s="687">
        <v>51830</v>
      </c>
      <c r="D642" s="688" t="s">
        <v>503</v>
      </c>
      <c r="E642" s="689">
        <v>0</v>
      </c>
      <c r="F642" s="687">
        <f t="shared" si="9"/>
        <v>0</v>
      </c>
    </row>
    <row r="643" spans="1:6">
      <c r="A643" s="685"/>
      <c r="B643" s="686">
        <v>1787</v>
      </c>
      <c r="C643" s="687">
        <v>626500</v>
      </c>
      <c r="D643" s="688" t="s">
        <v>503</v>
      </c>
      <c r="E643" s="689">
        <v>0</v>
      </c>
      <c r="F643" s="687">
        <f t="shared" ref="F643:F706" si="10">+C643*E643</f>
        <v>0</v>
      </c>
    </row>
    <row r="644" spans="1:6">
      <c r="A644" s="685"/>
      <c r="B644" s="686">
        <v>1787</v>
      </c>
      <c r="C644" s="687">
        <v>310400</v>
      </c>
      <c r="D644" s="688" t="s">
        <v>503</v>
      </c>
      <c r="E644" s="689">
        <v>0</v>
      </c>
      <c r="F644" s="687">
        <f t="shared" si="10"/>
        <v>0</v>
      </c>
    </row>
    <row r="645" spans="1:6">
      <c r="A645" s="685"/>
      <c r="B645" s="686">
        <v>1783</v>
      </c>
      <c r="C645" s="687">
        <v>65850</v>
      </c>
      <c r="D645" s="688" t="s">
        <v>503</v>
      </c>
      <c r="E645" s="689">
        <v>0</v>
      </c>
      <c r="F645" s="687">
        <f t="shared" si="10"/>
        <v>0</v>
      </c>
    </row>
    <row r="646" spans="1:6">
      <c r="A646" s="685"/>
      <c r="B646" s="686">
        <v>1781</v>
      </c>
      <c r="C646" s="687">
        <v>134500</v>
      </c>
      <c r="D646" s="688" t="s">
        <v>503</v>
      </c>
      <c r="E646" s="689">
        <v>0</v>
      </c>
      <c r="F646" s="687">
        <f t="shared" si="10"/>
        <v>0</v>
      </c>
    </row>
    <row r="647" spans="1:6">
      <c r="A647" s="685"/>
      <c r="B647" s="686">
        <v>1780</v>
      </c>
      <c r="C647" s="687">
        <v>2317850</v>
      </c>
      <c r="D647" s="688" t="s">
        <v>503</v>
      </c>
      <c r="E647" s="689">
        <v>0</v>
      </c>
      <c r="F647" s="687">
        <f t="shared" si="10"/>
        <v>0</v>
      </c>
    </row>
    <row r="648" spans="1:6">
      <c r="A648" s="685"/>
      <c r="B648" s="686">
        <v>1778</v>
      </c>
      <c r="C648" s="687">
        <v>861500</v>
      </c>
      <c r="D648" s="688" t="s">
        <v>503</v>
      </c>
      <c r="E648" s="689">
        <v>0</v>
      </c>
      <c r="F648" s="687">
        <f t="shared" si="10"/>
        <v>0</v>
      </c>
    </row>
    <row r="649" spans="1:6">
      <c r="A649" s="685"/>
      <c r="B649" s="686">
        <v>1775</v>
      </c>
      <c r="C649" s="687">
        <v>32400</v>
      </c>
      <c r="D649" s="688" t="s">
        <v>503</v>
      </c>
      <c r="E649" s="689">
        <v>0</v>
      </c>
      <c r="F649" s="687">
        <f t="shared" si="10"/>
        <v>0</v>
      </c>
    </row>
    <row r="650" spans="1:6">
      <c r="A650" s="685"/>
      <c r="B650" s="686">
        <v>1770</v>
      </c>
      <c r="C650" s="687">
        <v>134500</v>
      </c>
      <c r="D650" s="688" t="s">
        <v>503</v>
      </c>
      <c r="E650" s="689">
        <v>0</v>
      </c>
      <c r="F650" s="687">
        <f t="shared" si="10"/>
        <v>0</v>
      </c>
    </row>
    <row r="651" spans="1:6">
      <c r="A651" s="685"/>
      <c r="B651" s="686">
        <v>1770</v>
      </c>
      <c r="C651" s="687">
        <v>575000</v>
      </c>
      <c r="D651" s="688" t="s">
        <v>503</v>
      </c>
      <c r="E651" s="689">
        <v>0</v>
      </c>
      <c r="F651" s="687">
        <f t="shared" si="10"/>
        <v>0</v>
      </c>
    </row>
    <row r="652" spans="1:6">
      <c r="A652" s="685"/>
      <c r="B652" s="686">
        <v>1769</v>
      </c>
      <c r="C652" s="687">
        <v>256000</v>
      </c>
      <c r="D652" s="688" t="s">
        <v>503</v>
      </c>
      <c r="E652" s="689">
        <v>0</v>
      </c>
      <c r="F652" s="687">
        <f t="shared" si="10"/>
        <v>0</v>
      </c>
    </row>
    <row r="653" spans="1:6">
      <c r="A653" s="685"/>
      <c r="B653" s="686">
        <v>1769</v>
      </c>
      <c r="C653" s="687">
        <v>2278600</v>
      </c>
      <c r="D653" s="688" t="s">
        <v>503</v>
      </c>
      <c r="E653" s="689">
        <v>0</v>
      </c>
      <c r="F653" s="687">
        <f t="shared" si="10"/>
        <v>0</v>
      </c>
    </row>
    <row r="654" spans="1:6">
      <c r="A654" s="685"/>
      <c r="B654" s="686">
        <v>1768</v>
      </c>
      <c r="C654" s="687">
        <v>111450</v>
      </c>
      <c r="D654" s="688" t="s">
        <v>503</v>
      </c>
      <c r="E654" s="689">
        <v>0</v>
      </c>
      <c r="F654" s="687">
        <f t="shared" si="10"/>
        <v>0</v>
      </c>
    </row>
    <row r="655" spans="1:6">
      <c r="A655" s="685"/>
      <c r="B655" s="686">
        <v>1763</v>
      </c>
      <c r="C655" s="687">
        <v>33600</v>
      </c>
      <c r="D655" s="688" t="s">
        <v>503</v>
      </c>
      <c r="E655" s="689">
        <v>0</v>
      </c>
      <c r="F655" s="687">
        <f t="shared" si="10"/>
        <v>0</v>
      </c>
    </row>
    <row r="656" spans="1:6">
      <c r="A656" s="685"/>
      <c r="B656" s="686">
        <v>1763</v>
      </c>
      <c r="C656" s="687">
        <v>470650</v>
      </c>
      <c r="D656" s="688" t="s">
        <v>503</v>
      </c>
      <c r="E656" s="689">
        <v>0</v>
      </c>
      <c r="F656" s="687">
        <f t="shared" si="10"/>
        <v>0</v>
      </c>
    </row>
    <row r="657" spans="1:6">
      <c r="A657" s="685"/>
      <c r="B657" s="686">
        <v>1757</v>
      </c>
      <c r="C657" s="687">
        <v>134500</v>
      </c>
      <c r="D657" s="688" t="s">
        <v>503</v>
      </c>
      <c r="E657" s="689">
        <v>0</v>
      </c>
      <c r="F657" s="687">
        <f t="shared" si="10"/>
        <v>0</v>
      </c>
    </row>
    <row r="658" spans="1:6">
      <c r="A658" s="685"/>
      <c r="B658" s="686">
        <v>1751</v>
      </c>
      <c r="C658" s="687">
        <v>2189950</v>
      </c>
      <c r="D658" s="688" t="s">
        <v>503</v>
      </c>
      <c r="E658" s="689">
        <v>0</v>
      </c>
      <c r="F658" s="687">
        <f t="shared" si="10"/>
        <v>0</v>
      </c>
    </row>
    <row r="659" spans="1:6">
      <c r="A659" s="685"/>
      <c r="B659" s="686">
        <v>1750</v>
      </c>
      <c r="C659" s="687">
        <v>2462650</v>
      </c>
      <c r="D659" s="688" t="s">
        <v>503</v>
      </c>
      <c r="E659" s="689">
        <v>0</v>
      </c>
      <c r="F659" s="687">
        <f t="shared" si="10"/>
        <v>0</v>
      </c>
    </row>
    <row r="660" spans="1:6">
      <c r="A660" s="685"/>
      <c r="B660" s="686">
        <v>1749</v>
      </c>
      <c r="C660" s="687">
        <v>91230</v>
      </c>
      <c r="D660" s="688" t="s">
        <v>503</v>
      </c>
      <c r="E660" s="689">
        <v>0</v>
      </c>
      <c r="F660" s="687">
        <f t="shared" si="10"/>
        <v>0</v>
      </c>
    </row>
    <row r="661" spans="1:6">
      <c r="A661" s="685"/>
      <c r="B661" s="686">
        <v>1748</v>
      </c>
      <c r="C661" s="687">
        <v>26700</v>
      </c>
      <c r="D661" s="688" t="s">
        <v>503</v>
      </c>
      <c r="E661" s="689">
        <v>0</v>
      </c>
      <c r="F661" s="687">
        <f t="shared" si="10"/>
        <v>0</v>
      </c>
    </row>
    <row r="662" spans="1:6">
      <c r="A662" s="685"/>
      <c r="B662" s="686">
        <v>1747</v>
      </c>
      <c r="C662" s="687">
        <v>27280</v>
      </c>
      <c r="D662" s="688" t="s">
        <v>503</v>
      </c>
      <c r="E662" s="689">
        <v>0</v>
      </c>
      <c r="F662" s="687">
        <f t="shared" si="10"/>
        <v>0</v>
      </c>
    </row>
    <row r="663" spans="1:6">
      <c r="A663" s="685"/>
      <c r="B663" s="686">
        <v>1746</v>
      </c>
      <c r="C663" s="687">
        <v>1469450</v>
      </c>
      <c r="D663" s="688" t="s">
        <v>503</v>
      </c>
      <c r="E663" s="689">
        <v>0</v>
      </c>
      <c r="F663" s="687">
        <f t="shared" si="10"/>
        <v>0</v>
      </c>
    </row>
    <row r="664" spans="1:6">
      <c r="A664" s="685"/>
      <c r="B664" s="686">
        <v>1746</v>
      </c>
      <c r="C664" s="687">
        <v>813750</v>
      </c>
      <c r="D664" s="688" t="s">
        <v>503</v>
      </c>
      <c r="E664" s="689">
        <v>0</v>
      </c>
      <c r="F664" s="687">
        <f t="shared" si="10"/>
        <v>0</v>
      </c>
    </row>
    <row r="665" spans="1:6">
      <c r="A665" s="685"/>
      <c r="B665" s="686">
        <v>1740</v>
      </c>
      <c r="C665" s="687">
        <v>434250</v>
      </c>
      <c r="D665" s="688" t="s">
        <v>503</v>
      </c>
      <c r="E665" s="689">
        <v>0</v>
      </c>
      <c r="F665" s="687">
        <f t="shared" si="10"/>
        <v>0</v>
      </c>
    </row>
    <row r="666" spans="1:6">
      <c r="A666" s="685"/>
      <c r="B666" s="686">
        <v>1738</v>
      </c>
      <c r="C666" s="687">
        <v>1687850</v>
      </c>
      <c r="D666" s="688" t="s">
        <v>503</v>
      </c>
      <c r="E666" s="689">
        <v>0</v>
      </c>
      <c r="F666" s="687">
        <f t="shared" si="10"/>
        <v>0</v>
      </c>
    </row>
    <row r="667" spans="1:6">
      <c r="A667" s="685"/>
      <c r="B667" s="686">
        <v>1738</v>
      </c>
      <c r="C667" s="687">
        <v>29180</v>
      </c>
      <c r="D667" s="688" t="s">
        <v>503</v>
      </c>
      <c r="E667" s="689">
        <v>0</v>
      </c>
      <c r="F667" s="687">
        <f t="shared" si="10"/>
        <v>0</v>
      </c>
    </row>
    <row r="668" spans="1:6">
      <c r="A668" s="685"/>
      <c r="B668" s="686">
        <v>1736</v>
      </c>
      <c r="C668" s="687">
        <v>5961900</v>
      </c>
      <c r="D668" s="688" t="s">
        <v>503</v>
      </c>
      <c r="E668" s="689">
        <v>0</v>
      </c>
      <c r="F668" s="687">
        <f t="shared" si="10"/>
        <v>0</v>
      </c>
    </row>
    <row r="669" spans="1:6">
      <c r="A669" s="685"/>
      <c r="B669" s="686">
        <v>1521</v>
      </c>
      <c r="C669" s="687">
        <v>660000</v>
      </c>
      <c r="D669" s="688" t="s">
        <v>503</v>
      </c>
      <c r="E669" s="689">
        <v>0</v>
      </c>
      <c r="F669" s="687">
        <f t="shared" si="10"/>
        <v>0</v>
      </c>
    </row>
    <row r="670" spans="1:6">
      <c r="A670" s="685"/>
      <c r="B670" s="686">
        <v>3105</v>
      </c>
      <c r="C670" s="687">
        <v>203279</v>
      </c>
      <c r="D670" s="688" t="s">
        <v>68</v>
      </c>
      <c r="E670" s="689">
        <v>0.01</v>
      </c>
      <c r="F670" s="687">
        <f t="shared" si="10"/>
        <v>2032.79</v>
      </c>
    </row>
    <row r="671" spans="1:6">
      <c r="A671" s="685"/>
      <c r="B671" s="686">
        <v>3104</v>
      </c>
      <c r="C671" s="687">
        <v>123763</v>
      </c>
      <c r="D671" s="688" t="s">
        <v>68</v>
      </c>
      <c r="E671" s="689">
        <v>0.01</v>
      </c>
      <c r="F671" s="687">
        <f t="shared" si="10"/>
        <v>1237.6300000000001</v>
      </c>
    </row>
    <row r="672" spans="1:6">
      <c r="A672" s="685"/>
      <c r="B672" s="686">
        <v>3101</v>
      </c>
      <c r="C672" s="687">
        <v>126747</v>
      </c>
      <c r="D672" s="688" t="s">
        <v>68</v>
      </c>
      <c r="E672" s="689">
        <v>0.01</v>
      </c>
      <c r="F672" s="687">
        <f t="shared" si="10"/>
        <v>1267.47</v>
      </c>
    </row>
    <row r="673" spans="1:6">
      <c r="A673" s="685"/>
      <c r="B673" s="686">
        <v>3096</v>
      </c>
      <c r="C673" s="687">
        <v>143912</v>
      </c>
      <c r="D673" s="688" t="s">
        <v>68</v>
      </c>
      <c r="E673" s="689">
        <v>0.01</v>
      </c>
      <c r="F673" s="687">
        <f t="shared" si="10"/>
        <v>1439.1200000000001</v>
      </c>
    </row>
    <row r="674" spans="1:6">
      <c r="A674" s="685"/>
      <c r="B674" s="686">
        <v>3091</v>
      </c>
      <c r="C674" s="687">
        <v>266450</v>
      </c>
      <c r="D674" s="688" t="s">
        <v>68</v>
      </c>
      <c r="E674" s="689">
        <v>0.01</v>
      </c>
      <c r="F674" s="687">
        <f t="shared" si="10"/>
        <v>2664.5</v>
      </c>
    </row>
    <row r="675" spans="1:6">
      <c r="A675" s="685"/>
      <c r="B675" s="686">
        <v>3089</v>
      </c>
      <c r="C675" s="687">
        <v>131126</v>
      </c>
      <c r="D675" s="688" t="s">
        <v>68</v>
      </c>
      <c r="E675" s="689">
        <v>0.01</v>
      </c>
      <c r="F675" s="687">
        <f t="shared" si="10"/>
        <v>1311.26</v>
      </c>
    </row>
    <row r="676" spans="1:6">
      <c r="A676" s="685"/>
      <c r="B676" s="686">
        <v>3082</v>
      </c>
      <c r="C676" s="687">
        <v>138808</v>
      </c>
      <c r="D676" s="688" t="s">
        <v>68</v>
      </c>
      <c r="E676" s="689">
        <v>0.01</v>
      </c>
      <c r="F676" s="687">
        <f t="shared" si="10"/>
        <v>1388.08</v>
      </c>
    </row>
    <row r="677" spans="1:6">
      <c r="A677" s="685"/>
      <c r="B677" s="686">
        <v>3061</v>
      </c>
      <c r="C677" s="687">
        <v>330861</v>
      </c>
      <c r="D677" s="688" t="s">
        <v>68</v>
      </c>
      <c r="E677" s="689">
        <v>0.01</v>
      </c>
      <c r="F677" s="687">
        <f t="shared" si="10"/>
        <v>3308.61</v>
      </c>
    </row>
    <row r="678" spans="1:6">
      <c r="A678" s="685"/>
      <c r="B678" s="686">
        <v>3055</v>
      </c>
      <c r="C678" s="687">
        <v>135054</v>
      </c>
      <c r="D678" s="688" t="s">
        <v>68</v>
      </c>
      <c r="E678" s="689">
        <v>0.01</v>
      </c>
      <c r="F678" s="687">
        <f t="shared" si="10"/>
        <v>1350.54</v>
      </c>
    </row>
    <row r="679" spans="1:6">
      <c r="A679" s="685"/>
      <c r="B679" s="686">
        <v>659</v>
      </c>
      <c r="C679" s="687">
        <v>513500</v>
      </c>
      <c r="D679" s="688" t="s">
        <v>68</v>
      </c>
      <c r="E679" s="689">
        <v>0.1</v>
      </c>
      <c r="F679" s="687">
        <f t="shared" si="10"/>
        <v>51350</v>
      </c>
    </row>
    <row r="680" spans="1:6">
      <c r="A680" s="685"/>
      <c r="B680" s="686">
        <v>609</v>
      </c>
      <c r="C680" s="687">
        <v>370800</v>
      </c>
      <c r="D680" s="688" t="s">
        <v>68</v>
      </c>
      <c r="E680" s="689">
        <v>0.1</v>
      </c>
      <c r="F680" s="687">
        <f t="shared" si="10"/>
        <v>37080</v>
      </c>
    </row>
    <row r="681" spans="1:6">
      <c r="A681" s="685"/>
      <c r="B681" s="686">
        <v>595</v>
      </c>
      <c r="C681" s="687">
        <v>177600</v>
      </c>
      <c r="D681" s="688" t="s">
        <v>68</v>
      </c>
      <c r="E681" s="689">
        <v>0.1</v>
      </c>
      <c r="F681" s="687">
        <f t="shared" si="10"/>
        <v>17760</v>
      </c>
    </row>
    <row r="682" spans="1:6">
      <c r="A682" s="685"/>
      <c r="B682" s="686">
        <v>585</v>
      </c>
      <c r="C682" s="687">
        <v>178200</v>
      </c>
      <c r="D682" s="688" t="s">
        <v>68</v>
      </c>
      <c r="E682" s="689">
        <v>0.1</v>
      </c>
      <c r="F682" s="687">
        <f t="shared" si="10"/>
        <v>17820</v>
      </c>
    </row>
    <row r="683" spans="1:6">
      <c r="A683" s="685"/>
      <c r="B683" s="686">
        <v>1200</v>
      </c>
      <c r="C683" s="687">
        <v>387000</v>
      </c>
      <c r="D683" s="688" t="s">
        <v>68</v>
      </c>
      <c r="E683" s="689">
        <v>0.01</v>
      </c>
      <c r="F683" s="687">
        <f t="shared" si="10"/>
        <v>3870</v>
      </c>
    </row>
    <row r="684" spans="1:6">
      <c r="A684" s="685"/>
      <c r="B684" s="686">
        <v>1135</v>
      </c>
      <c r="C684" s="687">
        <v>45450</v>
      </c>
      <c r="D684" s="688" t="s">
        <v>68</v>
      </c>
      <c r="E684" s="689">
        <v>0.01</v>
      </c>
      <c r="F684" s="687">
        <f t="shared" si="10"/>
        <v>454.5</v>
      </c>
    </row>
    <row r="685" spans="1:6">
      <c r="A685" s="685"/>
      <c r="B685" s="686">
        <v>688</v>
      </c>
      <c r="C685" s="687">
        <v>9782500</v>
      </c>
      <c r="D685" s="688" t="s">
        <v>68</v>
      </c>
      <c r="E685" s="689">
        <v>0.1</v>
      </c>
      <c r="F685" s="687">
        <f t="shared" si="10"/>
        <v>978250</v>
      </c>
    </row>
    <row r="686" spans="1:6">
      <c r="A686" s="685"/>
      <c r="B686" s="686">
        <v>1510</v>
      </c>
      <c r="C686" s="687">
        <v>1138000</v>
      </c>
      <c r="D686" s="688" t="s">
        <v>68</v>
      </c>
      <c r="E686" s="689">
        <v>0.01</v>
      </c>
      <c r="F686" s="687">
        <f t="shared" si="10"/>
        <v>11380</v>
      </c>
    </row>
    <row r="687" spans="1:6">
      <c r="A687" s="685"/>
      <c r="B687" s="686">
        <v>1499</v>
      </c>
      <c r="C687" s="687">
        <v>1638000</v>
      </c>
      <c r="D687" s="688" t="s">
        <v>68</v>
      </c>
      <c r="E687" s="689">
        <v>0.01</v>
      </c>
      <c r="F687" s="687">
        <f t="shared" si="10"/>
        <v>16380</v>
      </c>
    </row>
    <row r="688" spans="1:6">
      <c r="A688" s="685"/>
      <c r="B688" s="686">
        <v>3075</v>
      </c>
      <c r="C688" s="687">
        <v>5718200</v>
      </c>
      <c r="D688" s="688" t="s">
        <v>68</v>
      </c>
      <c r="E688" s="689">
        <v>0.01</v>
      </c>
      <c r="F688" s="687">
        <f t="shared" si="10"/>
        <v>57182</v>
      </c>
    </row>
    <row r="689" spans="1:6">
      <c r="A689" s="685"/>
      <c r="B689" s="686">
        <v>3032</v>
      </c>
      <c r="C689" s="687">
        <v>202717</v>
      </c>
      <c r="D689" s="688" t="s">
        <v>68</v>
      </c>
      <c r="E689" s="689">
        <v>0.01</v>
      </c>
      <c r="F689" s="687">
        <f t="shared" si="10"/>
        <v>2027.17</v>
      </c>
    </row>
    <row r="690" spans="1:6">
      <c r="A690" s="685"/>
      <c r="B690" s="686">
        <v>2410</v>
      </c>
      <c r="C690" s="687">
        <v>2692000</v>
      </c>
      <c r="D690" s="688" t="s">
        <v>68</v>
      </c>
      <c r="E690" s="689">
        <v>0.01</v>
      </c>
      <c r="F690" s="687">
        <f t="shared" si="10"/>
        <v>26920</v>
      </c>
    </row>
    <row r="691" spans="1:6">
      <c r="A691" s="685"/>
      <c r="B691" s="686">
        <v>1975</v>
      </c>
      <c r="C691" s="687">
        <v>829500</v>
      </c>
      <c r="D691" s="688" t="s">
        <v>68</v>
      </c>
      <c r="E691" s="689">
        <v>0.01</v>
      </c>
      <c r="F691" s="687">
        <f t="shared" si="10"/>
        <v>8295</v>
      </c>
    </row>
    <row r="692" spans="1:6">
      <c r="A692" s="685"/>
      <c r="B692" s="686">
        <v>1973</v>
      </c>
      <c r="C692" s="687">
        <v>496300</v>
      </c>
      <c r="D692" s="688" t="s">
        <v>68</v>
      </c>
      <c r="E692" s="689">
        <v>0.01</v>
      </c>
      <c r="F692" s="687">
        <f t="shared" si="10"/>
        <v>4963</v>
      </c>
    </row>
    <row r="693" spans="1:6">
      <c r="A693" s="685"/>
      <c r="B693" s="686">
        <v>1973</v>
      </c>
      <c r="C693" s="687">
        <v>16600</v>
      </c>
      <c r="D693" s="688" t="s">
        <v>68</v>
      </c>
      <c r="E693" s="689">
        <v>0.01</v>
      </c>
      <c r="F693" s="687">
        <f t="shared" si="10"/>
        <v>166</v>
      </c>
    </row>
    <row r="694" spans="1:6">
      <c r="A694" s="685"/>
      <c r="B694" s="686">
        <v>1966</v>
      </c>
      <c r="C694" s="687">
        <v>1376100</v>
      </c>
      <c r="D694" s="688" t="s">
        <v>68</v>
      </c>
      <c r="E694" s="689">
        <v>0.01</v>
      </c>
      <c r="F694" s="687">
        <f t="shared" si="10"/>
        <v>13761</v>
      </c>
    </row>
    <row r="695" spans="1:6">
      <c r="A695" s="685"/>
      <c r="B695" s="686">
        <v>1966</v>
      </c>
      <c r="C695" s="687">
        <v>109250</v>
      </c>
      <c r="D695" s="688" t="s">
        <v>68</v>
      </c>
      <c r="E695" s="689">
        <v>0.01</v>
      </c>
      <c r="F695" s="687">
        <f t="shared" si="10"/>
        <v>1092.5</v>
      </c>
    </row>
    <row r="696" spans="1:6">
      <c r="A696" s="685"/>
      <c r="B696" s="686">
        <v>1963</v>
      </c>
      <c r="C696" s="687">
        <v>89833</v>
      </c>
      <c r="D696" s="688" t="s">
        <v>68</v>
      </c>
      <c r="E696" s="689">
        <v>0.01</v>
      </c>
      <c r="F696" s="687">
        <f t="shared" si="10"/>
        <v>898.33</v>
      </c>
    </row>
    <row r="697" spans="1:6">
      <c r="A697" s="685"/>
      <c r="B697" s="686">
        <v>1963</v>
      </c>
      <c r="C697" s="687">
        <v>87083</v>
      </c>
      <c r="D697" s="688" t="s">
        <v>68</v>
      </c>
      <c r="E697" s="689">
        <v>0.01</v>
      </c>
      <c r="F697" s="687">
        <f t="shared" si="10"/>
        <v>870.83</v>
      </c>
    </row>
    <row r="698" spans="1:6">
      <c r="A698" s="685"/>
      <c r="B698" s="686">
        <v>1957</v>
      </c>
      <c r="C698" s="687">
        <v>1234550</v>
      </c>
      <c r="D698" s="688" t="s">
        <v>68</v>
      </c>
      <c r="E698" s="689">
        <v>0.01</v>
      </c>
      <c r="F698" s="687">
        <f t="shared" si="10"/>
        <v>12345.5</v>
      </c>
    </row>
    <row r="699" spans="1:6">
      <c r="A699" s="685"/>
      <c r="B699" s="686">
        <v>1956</v>
      </c>
      <c r="C699" s="687">
        <v>532450</v>
      </c>
      <c r="D699" s="688" t="s">
        <v>68</v>
      </c>
      <c r="E699" s="689">
        <v>0.01</v>
      </c>
      <c r="F699" s="687">
        <f t="shared" si="10"/>
        <v>5324.5</v>
      </c>
    </row>
    <row r="700" spans="1:6">
      <c r="A700" s="685"/>
      <c r="B700" s="686">
        <v>1953</v>
      </c>
      <c r="C700" s="687">
        <v>2608199</v>
      </c>
      <c r="D700" s="688" t="s">
        <v>68</v>
      </c>
      <c r="E700" s="689">
        <v>0.01</v>
      </c>
      <c r="F700" s="687">
        <f t="shared" si="10"/>
        <v>26081.99</v>
      </c>
    </row>
    <row r="701" spans="1:6">
      <c r="A701" s="685"/>
      <c r="B701" s="686">
        <v>1953</v>
      </c>
      <c r="C701" s="687">
        <v>57000</v>
      </c>
      <c r="D701" s="688" t="s">
        <v>68</v>
      </c>
      <c r="E701" s="689">
        <v>0.01</v>
      </c>
      <c r="F701" s="687">
        <f t="shared" si="10"/>
        <v>570</v>
      </c>
    </row>
    <row r="702" spans="1:6">
      <c r="A702" s="685"/>
      <c r="B702" s="686">
        <v>1953</v>
      </c>
      <c r="C702" s="687">
        <v>23600</v>
      </c>
      <c r="D702" s="688" t="s">
        <v>68</v>
      </c>
      <c r="E702" s="689">
        <v>0.01</v>
      </c>
      <c r="F702" s="687">
        <f t="shared" si="10"/>
        <v>236</v>
      </c>
    </row>
    <row r="703" spans="1:6">
      <c r="A703" s="685"/>
      <c r="B703" s="686">
        <v>1948</v>
      </c>
      <c r="C703" s="687">
        <v>574000</v>
      </c>
      <c r="D703" s="688" t="s">
        <v>68</v>
      </c>
      <c r="E703" s="689">
        <v>0.01</v>
      </c>
      <c r="F703" s="687">
        <f t="shared" si="10"/>
        <v>5740</v>
      </c>
    </row>
    <row r="704" spans="1:6">
      <c r="A704" s="685"/>
      <c r="B704" s="686">
        <v>1927</v>
      </c>
      <c r="C704" s="687">
        <v>1536550</v>
      </c>
      <c r="D704" s="688" t="s">
        <v>68</v>
      </c>
      <c r="E704" s="689">
        <v>0.01</v>
      </c>
      <c r="F704" s="687">
        <f t="shared" si="10"/>
        <v>15365.5</v>
      </c>
    </row>
    <row r="705" spans="1:6">
      <c r="A705" s="685"/>
      <c r="B705" s="686">
        <v>1922</v>
      </c>
      <c r="C705" s="687">
        <v>1480000</v>
      </c>
      <c r="D705" s="688" t="s">
        <v>68</v>
      </c>
      <c r="E705" s="689">
        <v>0.01</v>
      </c>
      <c r="F705" s="687">
        <f t="shared" si="10"/>
        <v>14800</v>
      </c>
    </row>
    <row r="706" spans="1:6">
      <c r="A706" s="685"/>
      <c r="B706" s="686">
        <v>1920</v>
      </c>
      <c r="C706" s="687">
        <v>1727000</v>
      </c>
      <c r="D706" s="688" t="s">
        <v>68</v>
      </c>
      <c r="E706" s="689">
        <v>0.01</v>
      </c>
      <c r="F706" s="687">
        <f t="shared" si="10"/>
        <v>17270</v>
      </c>
    </row>
    <row r="707" spans="1:6">
      <c r="A707" s="685"/>
      <c r="B707" s="686">
        <v>1919</v>
      </c>
      <c r="C707" s="687">
        <v>1480000</v>
      </c>
      <c r="D707" s="688" t="s">
        <v>68</v>
      </c>
      <c r="E707" s="689">
        <v>0.01</v>
      </c>
      <c r="F707" s="687">
        <f t="shared" ref="F707:F770" si="11">+C707*E707</f>
        <v>14800</v>
      </c>
    </row>
    <row r="708" spans="1:6">
      <c r="A708" s="685"/>
      <c r="B708" s="686">
        <v>869</v>
      </c>
      <c r="C708" s="687">
        <v>633000</v>
      </c>
      <c r="D708" s="688" t="s">
        <v>68</v>
      </c>
      <c r="E708" s="689">
        <v>0.05</v>
      </c>
      <c r="F708" s="687">
        <f t="shared" si="11"/>
        <v>31650</v>
      </c>
    </row>
    <row r="709" spans="1:6">
      <c r="A709" s="685"/>
      <c r="B709" s="686">
        <v>826</v>
      </c>
      <c r="C709" s="687">
        <v>147000</v>
      </c>
      <c r="D709" s="688" t="s">
        <v>68</v>
      </c>
      <c r="E709" s="689">
        <v>0.05</v>
      </c>
      <c r="F709" s="687">
        <f t="shared" si="11"/>
        <v>7350</v>
      </c>
    </row>
    <row r="710" spans="1:6">
      <c r="A710" s="685"/>
      <c r="B710" s="686">
        <v>887</v>
      </c>
      <c r="C710" s="687">
        <v>624000</v>
      </c>
      <c r="D710" s="688" t="s">
        <v>68</v>
      </c>
      <c r="E710" s="689">
        <v>0.05</v>
      </c>
      <c r="F710" s="687">
        <f t="shared" si="11"/>
        <v>31200</v>
      </c>
    </row>
    <row r="711" spans="1:6">
      <c r="A711" s="685"/>
      <c r="B711" s="686">
        <v>583</v>
      </c>
      <c r="C711" s="687">
        <v>501350</v>
      </c>
      <c r="D711" s="688" t="s">
        <v>68</v>
      </c>
      <c r="E711" s="689">
        <v>0.1</v>
      </c>
      <c r="F711" s="687">
        <f t="shared" si="11"/>
        <v>50135</v>
      </c>
    </row>
    <row r="712" spans="1:6">
      <c r="A712" s="685"/>
      <c r="B712" s="686">
        <v>2310</v>
      </c>
      <c r="C712" s="687">
        <v>1656141</v>
      </c>
      <c r="D712" s="688" t="s">
        <v>68</v>
      </c>
      <c r="E712" s="689">
        <v>0.01</v>
      </c>
      <c r="F712" s="687">
        <f t="shared" si="11"/>
        <v>16561.41</v>
      </c>
    </row>
    <row r="713" spans="1:6">
      <c r="A713" s="685"/>
      <c r="B713" s="686">
        <v>2279</v>
      </c>
      <c r="C713" s="687">
        <v>228400</v>
      </c>
      <c r="D713" s="688" t="s">
        <v>68</v>
      </c>
      <c r="E713" s="689">
        <v>0.01</v>
      </c>
      <c r="F713" s="687">
        <f t="shared" si="11"/>
        <v>2284</v>
      </c>
    </row>
    <row r="714" spans="1:6">
      <c r="A714" s="685"/>
      <c r="B714" s="686">
        <v>2279</v>
      </c>
      <c r="C714" s="687">
        <v>611503</v>
      </c>
      <c r="D714" s="688" t="s">
        <v>68</v>
      </c>
      <c r="E714" s="689">
        <v>0.01</v>
      </c>
      <c r="F714" s="687">
        <f t="shared" si="11"/>
        <v>6115.03</v>
      </c>
    </row>
    <row r="715" spans="1:6">
      <c r="A715" s="685"/>
      <c r="B715" s="686">
        <v>2277</v>
      </c>
      <c r="C715" s="687">
        <v>163623</v>
      </c>
      <c r="D715" s="688" t="s">
        <v>68</v>
      </c>
      <c r="E715" s="689">
        <v>0.01</v>
      </c>
      <c r="F715" s="687">
        <f t="shared" si="11"/>
        <v>1636.23</v>
      </c>
    </row>
    <row r="716" spans="1:6">
      <c r="A716" s="685"/>
      <c r="B716" s="686">
        <v>2271</v>
      </c>
      <c r="C716" s="687">
        <v>41596</v>
      </c>
      <c r="D716" s="688" t="s">
        <v>68</v>
      </c>
      <c r="E716" s="689">
        <v>0.01</v>
      </c>
      <c r="F716" s="687">
        <f t="shared" si="11"/>
        <v>415.96000000000004</v>
      </c>
    </row>
    <row r="717" spans="1:6">
      <c r="A717" s="685"/>
      <c r="B717" s="686">
        <v>1402</v>
      </c>
      <c r="C717" s="687">
        <v>3830000</v>
      </c>
      <c r="D717" s="688" t="s">
        <v>503</v>
      </c>
      <c r="E717" s="689">
        <v>0</v>
      </c>
      <c r="F717" s="687">
        <f t="shared" si="11"/>
        <v>0</v>
      </c>
    </row>
    <row r="718" spans="1:6">
      <c r="A718" s="685"/>
      <c r="B718" s="686">
        <v>857</v>
      </c>
      <c r="C718" s="687">
        <v>3030988</v>
      </c>
      <c r="D718" s="688" t="s">
        <v>68</v>
      </c>
      <c r="E718" s="689">
        <v>0.05</v>
      </c>
      <c r="F718" s="687">
        <f t="shared" si="11"/>
        <v>151549.4</v>
      </c>
    </row>
    <row r="719" spans="1:6">
      <c r="A719" s="685"/>
      <c r="B719" s="686">
        <v>1953</v>
      </c>
      <c r="C719" s="687">
        <v>759000</v>
      </c>
      <c r="D719" s="688" t="s">
        <v>68</v>
      </c>
      <c r="E719" s="689">
        <v>0.01</v>
      </c>
      <c r="F719" s="687">
        <f t="shared" si="11"/>
        <v>7590</v>
      </c>
    </row>
    <row r="720" spans="1:6">
      <c r="A720" s="685"/>
      <c r="B720" s="686">
        <v>728</v>
      </c>
      <c r="C720" s="687">
        <v>275600</v>
      </c>
      <c r="D720" s="688" t="s">
        <v>68</v>
      </c>
      <c r="E720" s="689">
        <v>0.05</v>
      </c>
      <c r="F720" s="687">
        <f t="shared" si="11"/>
        <v>13780</v>
      </c>
    </row>
    <row r="721" spans="1:6">
      <c r="A721" s="685"/>
      <c r="B721" s="686">
        <v>1887</v>
      </c>
      <c r="C721" s="687">
        <v>7204000</v>
      </c>
      <c r="D721" s="688" t="s">
        <v>68</v>
      </c>
      <c r="E721" s="689">
        <v>0.01</v>
      </c>
      <c r="F721" s="687">
        <f t="shared" si="11"/>
        <v>72040</v>
      </c>
    </row>
    <row r="722" spans="1:6">
      <c r="A722" s="685"/>
      <c r="B722" s="686">
        <v>1968</v>
      </c>
      <c r="C722" s="687">
        <v>296750</v>
      </c>
      <c r="D722" s="688" t="s">
        <v>68</v>
      </c>
      <c r="E722" s="689">
        <v>0.01</v>
      </c>
      <c r="F722" s="687">
        <f t="shared" si="11"/>
        <v>2967.5</v>
      </c>
    </row>
    <row r="723" spans="1:6">
      <c r="A723" s="685"/>
      <c r="B723" s="686">
        <v>1962</v>
      </c>
      <c r="C723" s="687">
        <v>178050</v>
      </c>
      <c r="D723" s="688" t="s">
        <v>68</v>
      </c>
      <c r="E723" s="689">
        <v>0.01</v>
      </c>
      <c r="F723" s="687">
        <f t="shared" si="11"/>
        <v>1780.5</v>
      </c>
    </row>
    <row r="724" spans="1:6">
      <c r="A724" s="685"/>
      <c r="B724" s="686">
        <v>1951</v>
      </c>
      <c r="C724" s="687">
        <v>384900</v>
      </c>
      <c r="D724" s="688" t="s">
        <v>68</v>
      </c>
      <c r="E724" s="689">
        <v>0.01</v>
      </c>
      <c r="F724" s="687">
        <f t="shared" si="11"/>
        <v>3849</v>
      </c>
    </row>
    <row r="725" spans="1:6">
      <c r="A725" s="685"/>
      <c r="B725" s="686">
        <v>1865</v>
      </c>
      <c r="C725" s="687">
        <v>171600</v>
      </c>
      <c r="D725" s="688" t="s">
        <v>68</v>
      </c>
      <c r="E725" s="689">
        <v>0.01</v>
      </c>
      <c r="F725" s="687">
        <f t="shared" si="11"/>
        <v>1716</v>
      </c>
    </row>
    <row r="726" spans="1:6">
      <c r="A726" s="685"/>
      <c r="B726" s="686">
        <v>1826</v>
      </c>
      <c r="C726" s="687">
        <v>58450</v>
      </c>
      <c r="D726" s="688" t="s">
        <v>68</v>
      </c>
      <c r="E726" s="689">
        <v>0.01</v>
      </c>
      <c r="F726" s="687">
        <f t="shared" si="11"/>
        <v>584.5</v>
      </c>
    </row>
    <row r="727" spans="1:6">
      <c r="A727" s="685"/>
      <c r="B727" s="686">
        <v>1961</v>
      </c>
      <c r="C727" s="687">
        <v>114830</v>
      </c>
      <c r="D727" s="688" t="s">
        <v>68</v>
      </c>
      <c r="E727" s="689">
        <v>0.01</v>
      </c>
      <c r="F727" s="687">
        <f t="shared" si="11"/>
        <v>1148.3</v>
      </c>
    </row>
    <row r="728" spans="1:6">
      <c r="A728" s="685"/>
      <c r="B728" s="686">
        <v>1955</v>
      </c>
      <c r="C728" s="687">
        <v>175930</v>
      </c>
      <c r="D728" s="688" t="s">
        <v>68</v>
      </c>
      <c r="E728" s="689">
        <v>0.01</v>
      </c>
      <c r="F728" s="687">
        <f t="shared" si="11"/>
        <v>1759.3</v>
      </c>
    </row>
    <row r="729" spans="1:6">
      <c r="A729" s="685"/>
      <c r="B729" s="686">
        <v>645</v>
      </c>
      <c r="C729" s="687">
        <v>86000</v>
      </c>
      <c r="D729" s="688" t="s">
        <v>68</v>
      </c>
      <c r="E729" s="689">
        <v>0.1</v>
      </c>
      <c r="F729" s="687">
        <f t="shared" si="11"/>
        <v>8600</v>
      </c>
    </row>
    <row r="730" spans="1:6">
      <c r="A730" s="685"/>
      <c r="B730" s="686">
        <v>1714</v>
      </c>
      <c r="C730" s="687">
        <v>2004667</v>
      </c>
      <c r="D730" s="688" t="s">
        <v>68</v>
      </c>
      <c r="E730" s="689">
        <v>0.01</v>
      </c>
      <c r="F730" s="687">
        <f t="shared" si="11"/>
        <v>20046.670000000002</v>
      </c>
    </row>
    <row r="731" spans="1:6">
      <c r="A731" s="685"/>
      <c r="B731" s="686">
        <v>1688</v>
      </c>
      <c r="C731" s="687">
        <v>732760</v>
      </c>
      <c r="D731" s="688" t="s">
        <v>68</v>
      </c>
      <c r="E731" s="689">
        <v>0.01</v>
      </c>
      <c r="F731" s="687">
        <f t="shared" si="11"/>
        <v>7327.6</v>
      </c>
    </row>
    <row r="732" spans="1:6">
      <c r="A732" s="685"/>
      <c r="B732" s="686">
        <v>1504</v>
      </c>
      <c r="C732" s="687">
        <v>1155000</v>
      </c>
      <c r="D732" s="688" t="s">
        <v>68</v>
      </c>
      <c r="E732" s="689">
        <v>0.01</v>
      </c>
      <c r="F732" s="687">
        <f t="shared" si="11"/>
        <v>11550</v>
      </c>
    </row>
    <row r="733" spans="1:6">
      <c r="A733" s="685"/>
      <c r="B733" s="686">
        <v>626</v>
      </c>
      <c r="C733" s="687">
        <v>803915</v>
      </c>
      <c r="D733" s="688" t="s">
        <v>68</v>
      </c>
      <c r="E733" s="689">
        <v>0.1</v>
      </c>
      <c r="F733" s="687">
        <f t="shared" si="11"/>
        <v>80391.5</v>
      </c>
    </row>
    <row r="734" spans="1:6">
      <c r="A734" s="685"/>
      <c r="B734" s="686">
        <v>610</v>
      </c>
      <c r="C734" s="687">
        <v>34000</v>
      </c>
      <c r="D734" s="688" t="s">
        <v>68</v>
      </c>
      <c r="E734" s="689">
        <v>0.1</v>
      </c>
      <c r="F734" s="687">
        <f t="shared" si="11"/>
        <v>3400</v>
      </c>
    </row>
    <row r="735" spans="1:6">
      <c r="A735" s="685"/>
      <c r="B735" s="686">
        <v>601</v>
      </c>
      <c r="C735" s="687">
        <v>34000</v>
      </c>
      <c r="D735" s="688" t="s">
        <v>68</v>
      </c>
      <c r="E735" s="689">
        <v>0.1</v>
      </c>
      <c r="F735" s="687">
        <f t="shared" si="11"/>
        <v>3400</v>
      </c>
    </row>
    <row r="736" spans="1:6">
      <c r="A736" s="685"/>
      <c r="B736" s="686">
        <v>753</v>
      </c>
      <c r="C736" s="687">
        <v>778808</v>
      </c>
      <c r="D736" s="688" t="s">
        <v>68</v>
      </c>
      <c r="E736" s="689">
        <v>0.05</v>
      </c>
      <c r="F736" s="687">
        <f t="shared" si="11"/>
        <v>38940.400000000001</v>
      </c>
    </row>
    <row r="737" spans="1:6">
      <c r="A737" s="685"/>
      <c r="B737" s="686">
        <v>744</v>
      </c>
      <c r="C737" s="687">
        <v>148500</v>
      </c>
      <c r="D737" s="688" t="s">
        <v>68</v>
      </c>
      <c r="E737" s="689">
        <v>0.05</v>
      </c>
      <c r="F737" s="687">
        <f t="shared" si="11"/>
        <v>7425</v>
      </c>
    </row>
    <row r="738" spans="1:6">
      <c r="A738" s="685"/>
      <c r="B738" s="686">
        <v>633</v>
      </c>
      <c r="C738" s="687">
        <v>215650</v>
      </c>
      <c r="D738" s="688" t="s">
        <v>68</v>
      </c>
      <c r="E738" s="689">
        <v>0.1</v>
      </c>
      <c r="F738" s="687">
        <f t="shared" si="11"/>
        <v>21565</v>
      </c>
    </row>
    <row r="739" spans="1:6">
      <c r="A739" s="685"/>
      <c r="B739" s="686">
        <v>1545</v>
      </c>
      <c r="C739" s="687">
        <v>542088</v>
      </c>
      <c r="D739" s="688" t="s">
        <v>68</v>
      </c>
      <c r="E739" s="689">
        <v>0.01</v>
      </c>
      <c r="F739" s="687">
        <f t="shared" si="11"/>
        <v>5420.88</v>
      </c>
    </row>
    <row r="740" spans="1:6">
      <c r="A740" s="685"/>
      <c r="B740" s="686">
        <v>1498</v>
      </c>
      <c r="C740" s="687">
        <v>36855000</v>
      </c>
      <c r="D740" s="688" t="s">
        <v>68</v>
      </c>
      <c r="E740" s="689">
        <v>0.01</v>
      </c>
      <c r="F740" s="687">
        <f t="shared" si="11"/>
        <v>368550</v>
      </c>
    </row>
    <row r="741" spans="1:6">
      <c r="A741" s="685"/>
      <c r="B741" s="686">
        <v>1505</v>
      </c>
      <c r="C741" s="687">
        <v>3685500</v>
      </c>
      <c r="D741" s="688" t="s">
        <v>68</v>
      </c>
      <c r="E741" s="689">
        <v>0.01</v>
      </c>
      <c r="F741" s="687">
        <f t="shared" si="11"/>
        <v>36855</v>
      </c>
    </row>
    <row r="742" spans="1:6">
      <c r="A742" s="685"/>
      <c r="B742" s="686">
        <v>601</v>
      </c>
      <c r="C742" s="687">
        <v>34000</v>
      </c>
      <c r="D742" s="688" t="s">
        <v>68</v>
      </c>
      <c r="E742" s="689">
        <v>0.1</v>
      </c>
      <c r="F742" s="687">
        <f t="shared" si="11"/>
        <v>3400</v>
      </c>
    </row>
    <row r="743" spans="1:6">
      <c r="A743" s="685"/>
      <c r="B743" s="686">
        <v>2004</v>
      </c>
      <c r="C743" s="687">
        <v>2170000</v>
      </c>
      <c r="D743" s="688" t="s">
        <v>68</v>
      </c>
      <c r="E743" s="689">
        <v>0.01</v>
      </c>
      <c r="F743" s="687">
        <f t="shared" si="11"/>
        <v>21700</v>
      </c>
    </row>
    <row r="744" spans="1:6">
      <c r="A744" s="685"/>
      <c r="B744" s="686">
        <v>1702</v>
      </c>
      <c r="C744" s="687">
        <v>4175700</v>
      </c>
      <c r="D744" s="688" t="s">
        <v>68</v>
      </c>
      <c r="E744" s="689">
        <v>0.01</v>
      </c>
      <c r="F744" s="687">
        <f t="shared" si="11"/>
        <v>41757</v>
      </c>
    </row>
    <row r="745" spans="1:6">
      <c r="A745" s="685"/>
      <c r="B745" s="686">
        <v>1702</v>
      </c>
      <c r="C745" s="687">
        <v>396500</v>
      </c>
      <c r="D745" s="688" t="s">
        <v>68</v>
      </c>
      <c r="E745" s="689">
        <v>0.01</v>
      </c>
      <c r="F745" s="687">
        <f t="shared" si="11"/>
        <v>3965</v>
      </c>
    </row>
    <row r="746" spans="1:6">
      <c r="A746" s="685"/>
      <c r="B746" s="686">
        <v>2234</v>
      </c>
      <c r="C746" s="687">
        <v>130985</v>
      </c>
      <c r="D746" s="688" t="s">
        <v>68</v>
      </c>
      <c r="E746" s="689">
        <v>0.01</v>
      </c>
      <c r="F746" s="687">
        <f t="shared" si="11"/>
        <v>1309.8500000000001</v>
      </c>
    </row>
    <row r="747" spans="1:6">
      <c r="A747" s="685"/>
      <c r="B747" s="686">
        <v>2281</v>
      </c>
      <c r="C747" s="687">
        <v>128859</v>
      </c>
      <c r="D747" s="688" t="s">
        <v>68</v>
      </c>
      <c r="E747" s="689">
        <v>0.01</v>
      </c>
      <c r="F747" s="687">
        <f t="shared" si="11"/>
        <v>1288.5899999999999</v>
      </c>
    </row>
    <row r="748" spans="1:6">
      <c r="A748" s="685"/>
      <c r="B748" s="686">
        <v>2281</v>
      </c>
      <c r="C748" s="687">
        <v>1142000</v>
      </c>
      <c r="D748" s="688" t="s">
        <v>68</v>
      </c>
      <c r="E748" s="689">
        <v>0.01</v>
      </c>
      <c r="F748" s="687">
        <f t="shared" si="11"/>
        <v>11420</v>
      </c>
    </row>
    <row r="749" spans="1:6">
      <c r="A749" s="685"/>
      <c r="B749" s="686">
        <v>2267</v>
      </c>
      <c r="C749" s="687">
        <v>362131</v>
      </c>
      <c r="D749" s="688" t="s">
        <v>68</v>
      </c>
      <c r="E749" s="689">
        <v>0.01</v>
      </c>
      <c r="F749" s="687">
        <f t="shared" si="11"/>
        <v>3621.31</v>
      </c>
    </row>
    <row r="750" spans="1:6">
      <c r="A750" s="685"/>
      <c r="B750" s="686">
        <v>1702</v>
      </c>
      <c r="C750" s="687">
        <v>96000</v>
      </c>
      <c r="D750" s="688" t="s">
        <v>68</v>
      </c>
      <c r="E750" s="689">
        <v>0.01</v>
      </c>
      <c r="F750" s="687">
        <f t="shared" si="11"/>
        <v>960</v>
      </c>
    </row>
    <row r="751" spans="1:6">
      <c r="A751" s="685"/>
      <c r="B751" s="686">
        <v>1696</v>
      </c>
      <c r="C751" s="687">
        <v>1670000</v>
      </c>
      <c r="D751" s="688" t="s">
        <v>68</v>
      </c>
      <c r="E751" s="689">
        <v>0.01</v>
      </c>
      <c r="F751" s="687">
        <f t="shared" si="11"/>
        <v>16700</v>
      </c>
    </row>
    <row r="752" spans="1:6">
      <c r="A752" s="685"/>
      <c r="B752" s="686">
        <v>1686</v>
      </c>
      <c r="C752" s="687">
        <v>665800</v>
      </c>
      <c r="D752" s="688" t="s">
        <v>68</v>
      </c>
      <c r="E752" s="689">
        <v>0.01</v>
      </c>
      <c r="F752" s="687">
        <f t="shared" si="11"/>
        <v>6658</v>
      </c>
    </row>
    <row r="753" spans="1:6">
      <c r="A753" s="685"/>
      <c r="B753" s="686">
        <v>1686</v>
      </c>
      <c r="C753" s="687">
        <v>754000</v>
      </c>
      <c r="D753" s="688" t="s">
        <v>68</v>
      </c>
      <c r="E753" s="689">
        <v>0.01</v>
      </c>
      <c r="F753" s="687">
        <f t="shared" si="11"/>
        <v>7540</v>
      </c>
    </row>
    <row r="754" spans="1:6">
      <c r="A754" s="685"/>
      <c r="B754" s="686">
        <v>1679</v>
      </c>
      <c r="C754" s="687">
        <v>46300</v>
      </c>
      <c r="D754" s="688" t="s">
        <v>68</v>
      </c>
      <c r="E754" s="689">
        <v>0.01</v>
      </c>
      <c r="F754" s="687">
        <f t="shared" si="11"/>
        <v>463</v>
      </c>
    </row>
    <row r="755" spans="1:6">
      <c r="A755" s="685"/>
      <c r="B755" s="686">
        <v>1655</v>
      </c>
      <c r="C755" s="687">
        <v>25400</v>
      </c>
      <c r="D755" s="688" t="s">
        <v>68</v>
      </c>
      <c r="E755" s="689">
        <v>0.01</v>
      </c>
      <c r="F755" s="687">
        <f t="shared" si="11"/>
        <v>254</v>
      </c>
    </row>
    <row r="756" spans="1:6">
      <c r="A756" s="685"/>
      <c r="B756" s="686">
        <v>1655</v>
      </c>
      <c r="C756" s="687">
        <v>1274000</v>
      </c>
      <c r="D756" s="688" t="s">
        <v>68</v>
      </c>
      <c r="E756" s="689">
        <v>0.01</v>
      </c>
      <c r="F756" s="687">
        <f t="shared" si="11"/>
        <v>12740</v>
      </c>
    </row>
    <row r="757" spans="1:6">
      <c r="A757" s="685"/>
      <c r="B757" s="686">
        <v>1603</v>
      </c>
      <c r="C757" s="687">
        <v>369600</v>
      </c>
      <c r="D757" s="688" t="s">
        <v>68</v>
      </c>
      <c r="E757" s="689">
        <v>0.01</v>
      </c>
      <c r="F757" s="687">
        <f t="shared" si="11"/>
        <v>3696</v>
      </c>
    </row>
    <row r="758" spans="1:6">
      <c r="A758" s="685"/>
      <c r="B758" s="686">
        <v>1632</v>
      </c>
      <c r="C758" s="687">
        <v>51548</v>
      </c>
      <c r="D758" s="688" t="s">
        <v>68</v>
      </c>
      <c r="E758" s="689">
        <v>0.01</v>
      </c>
      <c r="F758" s="687">
        <f t="shared" si="11"/>
        <v>515.48</v>
      </c>
    </row>
    <row r="759" spans="1:6">
      <c r="A759" s="685"/>
      <c r="B759" s="686">
        <v>2279</v>
      </c>
      <c r="C759" s="687">
        <v>1137200</v>
      </c>
      <c r="D759" s="688" t="s">
        <v>68</v>
      </c>
      <c r="E759" s="689">
        <v>0.01</v>
      </c>
      <c r="F759" s="687">
        <f t="shared" si="11"/>
        <v>11372</v>
      </c>
    </row>
    <row r="760" spans="1:6">
      <c r="A760" s="685"/>
      <c r="B760" s="686">
        <v>2279</v>
      </c>
      <c r="C760" s="687">
        <v>30797</v>
      </c>
      <c r="D760" s="688" t="s">
        <v>68</v>
      </c>
      <c r="E760" s="689">
        <v>0.01</v>
      </c>
      <c r="F760" s="687">
        <f t="shared" si="11"/>
        <v>307.97000000000003</v>
      </c>
    </row>
    <row r="761" spans="1:6">
      <c r="A761" s="685"/>
      <c r="B761" s="686">
        <v>2278</v>
      </c>
      <c r="C761" s="687">
        <v>43531</v>
      </c>
      <c r="D761" s="688" t="s">
        <v>68</v>
      </c>
      <c r="E761" s="689">
        <v>0.01</v>
      </c>
      <c r="F761" s="687">
        <f t="shared" si="11"/>
        <v>435.31</v>
      </c>
    </row>
    <row r="762" spans="1:6">
      <c r="A762" s="685"/>
      <c r="B762" s="686">
        <v>2260</v>
      </c>
      <c r="C762" s="687">
        <v>122000</v>
      </c>
      <c r="D762" s="688" t="s">
        <v>68</v>
      </c>
      <c r="E762" s="689">
        <v>0.01</v>
      </c>
      <c r="F762" s="687">
        <f t="shared" si="11"/>
        <v>1220</v>
      </c>
    </row>
    <row r="763" spans="1:6">
      <c r="A763" s="685"/>
      <c r="B763" s="686">
        <v>2260</v>
      </c>
      <c r="C763" s="687">
        <v>50611</v>
      </c>
      <c r="D763" s="688" t="s">
        <v>68</v>
      </c>
      <c r="E763" s="689">
        <v>0.01</v>
      </c>
      <c r="F763" s="687">
        <f t="shared" si="11"/>
        <v>506.11</v>
      </c>
    </row>
    <row r="764" spans="1:6">
      <c r="A764" s="685"/>
      <c r="B764" s="686">
        <v>2253</v>
      </c>
      <c r="C764" s="687">
        <v>57373</v>
      </c>
      <c r="D764" s="688" t="s">
        <v>68</v>
      </c>
      <c r="E764" s="689">
        <v>0.01</v>
      </c>
      <c r="F764" s="687">
        <f t="shared" si="11"/>
        <v>573.73</v>
      </c>
    </row>
    <row r="765" spans="1:6">
      <c r="A765" s="685"/>
      <c r="B765" s="686">
        <v>2275</v>
      </c>
      <c r="C765" s="687">
        <v>71300</v>
      </c>
      <c r="D765" s="688" t="s">
        <v>68</v>
      </c>
      <c r="E765" s="689">
        <v>0.01</v>
      </c>
      <c r="F765" s="687">
        <f t="shared" si="11"/>
        <v>713</v>
      </c>
    </row>
    <row r="766" spans="1:6">
      <c r="A766" s="685"/>
      <c r="B766" s="686">
        <v>2242</v>
      </c>
      <c r="C766" s="687">
        <v>30797</v>
      </c>
      <c r="D766" s="688" t="s">
        <v>68</v>
      </c>
      <c r="E766" s="689">
        <v>0.01</v>
      </c>
      <c r="F766" s="687">
        <f t="shared" si="11"/>
        <v>307.97000000000003</v>
      </c>
    </row>
    <row r="767" spans="1:6">
      <c r="A767" s="685"/>
      <c r="B767" s="686">
        <v>2236</v>
      </c>
      <c r="C767" s="687">
        <v>51800</v>
      </c>
      <c r="D767" s="688" t="s">
        <v>68</v>
      </c>
      <c r="E767" s="689">
        <v>0.01</v>
      </c>
      <c r="F767" s="687">
        <f t="shared" si="11"/>
        <v>518</v>
      </c>
    </row>
    <row r="768" spans="1:6">
      <c r="A768" s="685"/>
      <c r="B768" s="686">
        <v>2236</v>
      </c>
      <c r="C768" s="687">
        <v>189447</v>
      </c>
      <c r="D768" s="688" t="s">
        <v>68</v>
      </c>
      <c r="E768" s="689">
        <v>0.01</v>
      </c>
      <c r="F768" s="687">
        <f t="shared" si="11"/>
        <v>1894.47</v>
      </c>
    </row>
    <row r="769" spans="1:6">
      <c r="A769" s="685"/>
      <c r="B769" s="686">
        <v>2235</v>
      </c>
      <c r="C769" s="687">
        <v>39430</v>
      </c>
      <c r="D769" s="688" t="s">
        <v>68</v>
      </c>
      <c r="E769" s="689">
        <v>0.01</v>
      </c>
      <c r="F769" s="687">
        <f t="shared" si="11"/>
        <v>394.3</v>
      </c>
    </row>
    <row r="770" spans="1:6">
      <c r="A770" s="685"/>
      <c r="B770" s="686">
        <v>2232</v>
      </c>
      <c r="C770" s="687">
        <v>31149</v>
      </c>
      <c r="D770" s="688" t="s">
        <v>68</v>
      </c>
      <c r="E770" s="689">
        <v>0.01</v>
      </c>
      <c r="F770" s="687">
        <f t="shared" si="11"/>
        <v>311.49</v>
      </c>
    </row>
    <row r="771" spans="1:6">
      <c r="A771" s="685"/>
      <c r="B771" s="686">
        <v>2230</v>
      </c>
      <c r="C771" s="687">
        <v>24077</v>
      </c>
      <c r="D771" s="688" t="s">
        <v>68</v>
      </c>
      <c r="E771" s="689">
        <v>0.01</v>
      </c>
      <c r="F771" s="687">
        <f t="shared" ref="F771:F834" si="12">+C771*E771</f>
        <v>240.77</v>
      </c>
    </row>
    <row r="772" spans="1:6">
      <c r="A772" s="685"/>
      <c r="B772" s="686">
        <v>2230</v>
      </c>
      <c r="C772" s="687">
        <v>183236</v>
      </c>
      <c r="D772" s="688" t="s">
        <v>68</v>
      </c>
      <c r="E772" s="689">
        <v>0.01</v>
      </c>
      <c r="F772" s="687">
        <f t="shared" si="12"/>
        <v>1832.3600000000001</v>
      </c>
    </row>
    <row r="773" spans="1:6">
      <c r="A773" s="685"/>
      <c r="B773" s="686">
        <v>2228</v>
      </c>
      <c r="C773" s="687">
        <v>42834</v>
      </c>
      <c r="D773" s="688" t="s">
        <v>68</v>
      </c>
      <c r="E773" s="689">
        <v>0.01</v>
      </c>
      <c r="F773" s="687">
        <f t="shared" si="12"/>
        <v>428.34000000000003</v>
      </c>
    </row>
    <row r="774" spans="1:6">
      <c r="A774" s="685"/>
      <c r="B774" s="686">
        <v>2253</v>
      </c>
      <c r="C774" s="687">
        <v>38391</v>
      </c>
      <c r="D774" s="688" t="s">
        <v>68</v>
      </c>
      <c r="E774" s="689">
        <v>0.01</v>
      </c>
      <c r="F774" s="687">
        <f t="shared" si="12"/>
        <v>383.91</v>
      </c>
    </row>
    <row r="775" spans="1:6">
      <c r="A775" s="685"/>
      <c r="B775" s="686">
        <v>2223</v>
      </c>
      <c r="C775" s="687">
        <v>308993</v>
      </c>
      <c r="D775" s="688" t="s">
        <v>68</v>
      </c>
      <c r="E775" s="689">
        <v>0.01</v>
      </c>
      <c r="F775" s="687">
        <f t="shared" si="12"/>
        <v>3089.9300000000003</v>
      </c>
    </row>
    <row r="776" spans="1:6">
      <c r="A776" s="685"/>
      <c r="B776" s="686">
        <v>2222</v>
      </c>
      <c r="C776" s="687">
        <v>49491</v>
      </c>
      <c r="D776" s="688" t="s">
        <v>68</v>
      </c>
      <c r="E776" s="689">
        <v>0.01</v>
      </c>
      <c r="F776" s="687">
        <f t="shared" si="12"/>
        <v>494.91</v>
      </c>
    </row>
    <row r="777" spans="1:6">
      <c r="A777" s="685"/>
      <c r="B777" s="686">
        <v>2221</v>
      </c>
      <c r="C777" s="687">
        <v>20038</v>
      </c>
      <c r="D777" s="688" t="s">
        <v>68</v>
      </c>
      <c r="E777" s="689">
        <v>0.01</v>
      </c>
      <c r="F777" s="687">
        <f t="shared" si="12"/>
        <v>200.38</v>
      </c>
    </row>
    <row r="778" spans="1:6">
      <c r="A778" s="685"/>
      <c r="B778" s="686">
        <v>2216</v>
      </c>
      <c r="C778" s="687">
        <v>26605</v>
      </c>
      <c r="D778" s="688" t="s">
        <v>68</v>
      </c>
      <c r="E778" s="689">
        <v>0.01</v>
      </c>
      <c r="F778" s="687">
        <f t="shared" si="12"/>
        <v>266.05</v>
      </c>
    </row>
    <row r="779" spans="1:6">
      <c r="A779" s="685"/>
      <c r="B779" s="686">
        <v>2215</v>
      </c>
      <c r="C779" s="687">
        <v>22450</v>
      </c>
      <c r="D779" s="688" t="s">
        <v>68</v>
      </c>
      <c r="E779" s="689">
        <v>0.01</v>
      </c>
      <c r="F779" s="687">
        <f t="shared" si="12"/>
        <v>224.5</v>
      </c>
    </row>
    <row r="780" spans="1:6">
      <c r="A780" s="685"/>
      <c r="B780" s="686">
        <v>2197</v>
      </c>
      <c r="C780" s="687">
        <v>228477</v>
      </c>
      <c r="D780" s="688" t="s">
        <v>68</v>
      </c>
      <c r="E780" s="689">
        <v>0.01</v>
      </c>
      <c r="F780" s="687">
        <f t="shared" si="12"/>
        <v>2284.77</v>
      </c>
    </row>
    <row r="781" spans="1:6">
      <c r="A781" s="685"/>
      <c r="B781" s="686">
        <v>2195</v>
      </c>
      <c r="C781" s="687">
        <v>22155</v>
      </c>
      <c r="D781" s="688" t="s">
        <v>68</v>
      </c>
      <c r="E781" s="689">
        <v>0.01</v>
      </c>
      <c r="F781" s="687">
        <f t="shared" si="12"/>
        <v>221.55</v>
      </c>
    </row>
    <row r="782" spans="1:6">
      <c r="A782" s="685"/>
      <c r="B782" s="686">
        <v>2195</v>
      </c>
      <c r="C782" s="687">
        <v>197620</v>
      </c>
      <c r="D782" s="688" t="s">
        <v>68</v>
      </c>
      <c r="E782" s="689">
        <v>0.01</v>
      </c>
      <c r="F782" s="687">
        <f t="shared" si="12"/>
        <v>1976.2</v>
      </c>
    </row>
    <row r="783" spans="1:6">
      <c r="A783" s="685"/>
      <c r="B783" s="686">
        <v>2190</v>
      </c>
      <c r="C783" s="687">
        <v>158941</v>
      </c>
      <c r="D783" s="688" t="s">
        <v>68</v>
      </c>
      <c r="E783" s="689">
        <v>0.01</v>
      </c>
      <c r="F783" s="687">
        <f t="shared" si="12"/>
        <v>1589.41</v>
      </c>
    </row>
    <row r="784" spans="1:6">
      <c r="A784" s="685"/>
      <c r="B784" s="686">
        <v>2677</v>
      </c>
      <c r="C784" s="687">
        <v>1191028</v>
      </c>
      <c r="D784" s="688" t="s">
        <v>68</v>
      </c>
      <c r="E784" s="689">
        <v>0.01</v>
      </c>
      <c r="F784" s="687">
        <f t="shared" si="12"/>
        <v>11910.28</v>
      </c>
    </row>
    <row r="785" spans="1:6">
      <c r="A785" s="685"/>
      <c r="B785" s="686">
        <v>2663</v>
      </c>
      <c r="C785" s="687">
        <v>370519</v>
      </c>
      <c r="D785" s="688" t="s">
        <v>68</v>
      </c>
      <c r="E785" s="689">
        <v>0.01</v>
      </c>
      <c r="F785" s="687">
        <f t="shared" si="12"/>
        <v>3705.19</v>
      </c>
    </row>
    <row r="786" spans="1:6">
      <c r="A786" s="685"/>
      <c r="B786" s="686">
        <v>601</v>
      </c>
      <c r="C786" s="687">
        <v>34000</v>
      </c>
      <c r="D786" s="688" t="s">
        <v>68</v>
      </c>
      <c r="E786" s="689">
        <v>0.1</v>
      </c>
      <c r="F786" s="687">
        <f t="shared" si="12"/>
        <v>3400</v>
      </c>
    </row>
    <row r="787" spans="1:6">
      <c r="A787" s="685"/>
      <c r="B787" s="686">
        <v>612</v>
      </c>
      <c r="C787" s="687">
        <v>260250</v>
      </c>
      <c r="D787" s="688" t="s">
        <v>68</v>
      </c>
      <c r="E787" s="689">
        <v>0.1</v>
      </c>
      <c r="F787" s="687">
        <f t="shared" si="12"/>
        <v>26025</v>
      </c>
    </row>
    <row r="788" spans="1:6">
      <c r="A788" s="685"/>
      <c r="B788" s="686">
        <v>1890</v>
      </c>
      <c r="C788" s="687">
        <v>361950</v>
      </c>
      <c r="D788" s="688" t="s">
        <v>114</v>
      </c>
      <c r="E788" s="689">
        <v>0.5</v>
      </c>
      <c r="F788" s="687">
        <f t="shared" si="12"/>
        <v>180975</v>
      </c>
    </row>
    <row r="789" spans="1:6">
      <c r="A789" s="685"/>
      <c r="B789" s="686">
        <v>1521</v>
      </c>
      <c r="C789" s="687">
        <v>1598000</v>
      </c>
      <c r="D789" s="688" t="s">
        <v>114</v>
      </c>
      <c r="E789" s="689">
        <v>0.5</v>
      </c>
      <c r="F789" s="687">
        <f t="shared" si="12"/>
        <v>799000</v>
      </c>
    </row>
    <row r="790" spans="1:6">
      <c r="A790" s="685"/>
      <c r="B790" s="686">
        <v>617</v>
      </c>
      <c r="C790" s="687">
        <v>2398000</v>
      </c>
      <c r="D790" s="688" t="s">
        <v>68</v>
      </c>
      <c r="E790" s="689">
        <v>0.1</v>
      </c>
      <c r="F790" s="687">
        <f t="shared" si="12"/>
        <v>239800</v>
      </c>
    </row>
    <row r="791" spans="1:6">
      <c r="A791" s="685"/>
      <c r="B791" s="686">
        <v>603</v>
      </c>
      <c r="C791" s="687">
        <v>118400</v>
      </c>
      <c r="D791" s="688" t="s">
        <v>68</v>
      </c>
      <c r="E791" s="689">
        <v>0.1</v>
      </c>
      <c r="F791" s="687">
        <f t="shared" si="12"/>
        <v>11840</v>
      </c>
    </row>
    <row r="792" spans="1:6">
      <c r="A792" s="685"/>
      <c r="B792" s="686">
        <v>1999</v>
      </c>
      <c r="C792" s="687">
        <v>97680</v>
      </c>
      <c r="D792" s="688" t="s">
        <v>68</v>
      </c>
      <c r="E792" s="689">
        <v>0.01</v>
      </c>
      <c r="F792" s="687">
        <f t="shared" si="12"/>
        <v>976.80000000000007</v>
      </c>
    </row>
    <row r="793" spans="1:6">
      <c r="A793" s="685"/>
      <c r="B793" s="686">
        <v>826</v>
      </c>
      <c r="C793" s="687">
        <v>9244</v>
      </c>
      <c r="D793" s="688" t="s">
        <v>68</v>
      </c>
      <c r="E793" s="689">
        <v>0.05</v>
      </c>
      <c r="F793" s="687">
        <f t="shared" si="12"/>
        <v>462.20000000000005</v>
      </c>
    </row>
    <row r="794" spans="1:6">
      <c r="A794" s="685"/>
      <c r="B794" s="686">
        <v>823</v>
      </c>
      <c r="C794" s="687">
        <v>98250</v>
      </c>
      <c r="D794" s="688" t="s">
        <v>68</v>
      </c>
      <c r="E794" s="689">
        <v>0.05</v>
      </c>
      <c r="F794" s="687">
        <f t="shared" si="12"/>
        <v>4912.5</v>
      </c>
    </row>
    <row r="795" spans="1:6">
      <c r="A795" s="685"/>
      <c r="B795" s="686">
        <v>805</v>
      </c>
      <c r="C795" s="687">
        <v>231200</v>
      </c>
      <c r="D795" s="688" t="s">
        <v>68</v>
      </c>
      <c r="E795" s="689">
        <v>0.05</v>
      </c>
      <c r="F795" s="687">
        <f t="shared" si="12"/>
        <v>11560</v>
      </c>
    </row>
    <row r="796" spans="1:6">
      <c r="A796" s="685"/>
      <c r="B796" s="686">
        <v>790</v>
      </c>
      <c r="C796" s="687">
        <v>111200</v>
      </c>
      <c r="D796" s="688" t="s">
        <v>68</v>
      </c>
      <c r="E796" s="689">
        <v>0.05</v>
      </c>
      <c r="F796" s="687">
        <f t="shared" si="12"/>
        <v>5560</v>
      </c>
    </row>
    <row r="797" spans="1:6">
      <c r="A797" s="685"/>
      <c r="B797" s="686">
        <v>784</v>
      </c>
      <c r="C797" s="687">
        <v>27800</v>
      </c>
      <c r="D797" s="688" t="s">
        <v>68</v>
      </c>
      <c r="E797" s="689">
        <v>0.05</v>
      </c>
      <c r="F797" s="687">
        <f t="shared" si="12"/>
        <v>1390</v>
      </c>
    </row>
    <row r="798" spans="1:6">
      <c r="A798" s="685"/>
      <c r="B798" s="686">
        <v>1251</v>
      </c>
      <c r="C798" s="687">
        <v>504480</v>
      </c>
      <c r="D798" s="688" t="s">
        <v>68</v>
      </c>
      <c r="E798" s="689">
        <v>0.01</v>
      </c>
      <c r="F798" s="687">
        <f t="shared" si="12"/>
        <v>5044.8</v>
      </c>
    </row>
    <row r="799" spans="1:6">
      <c r="A799" s="685"/>
      <c r="B799" s="686">
        <v>1244</v>
      </c>
      <c r="C799" s="687">
        <v>1278300</v>
      </c>
      <c r="D799" s="688" t="s">
        <v>68</v>
      </c>
      <c r="E799" s="689">
        <v>0.01</v>
      </c>
      <c r="F799" s="687">
        <f t="shared" si="12"/>
        <v>12783</v>
      </c>
    </row>
    <row r="800" spans="1:6">
      <c r="A800" s="685"/>
      <c r="B800" s="686">
        <v>1243</v>
      </c>
      <c r="C800" s="687">
        <v>1308500</v>
      </c>
      <c r="D800" s="688" t="s">
        <v>68</v>
      </c>
      <c r="E800" s="689">
        <v>0.01</v>
      </c>
      <c r="F800" s="687">
        <f t="shared" si="12"/>
        <v>13085</v>
      </c>
    </row>
    <row r="801" spans="1:6">
      <c r="A801" s="685"/>
      <c r="B801" s="686">
        <v>1195</v>
      </c>
      <c r="C801" s="687">
        <v>771000</v>
      </c>
      <c r="D801" s="688" t="s">
        <v>68</v>
      </c>
      <c r="E801" s="689">
        <v>0.01</v>
      </c>
      <c r="F801" s="687">
        <f t="shared" si="12"/>
        <v>7710</v>
      </c>
    </row>
    <row r="802" spans="1:6">
      <c r="A802" s="685"/>
      <c r="B802" s="686">
        <v>1189</v>
      </c>
      <c r="C802" s="687">
        <v>257000</v>
      </c>
      <c r="D802" s="688" t="s">
        <v>68</v>
      </c>
      <c r="E802" s="689">
        <v>0.01</v>
      </c>
      <c r="F802" s="687">
        <f t="shared" si="12"/>
        <v>2570</v>
      </c>
    </row>
    <row r="803" spans="1:6">
      <c r="A803" s="685"/>
      <c r="B803" s="686">
        <v>1183</v>
      </c>
      <c r="C803" s="687">
        <v>413400</v>
      </c>
      <c r="D803" s="688" t="s">
        <v>68</v>
      </c>
      <c r="E803" s="689">
        <v>0.01</v>
      </c>
      <c r="F803" s="687">
        <f t="shared" si="12"/>
        <v>4134</v>
      </c>
    </row>
    <row r="804" spans="1:6">
      <c r="A804" s="685"/>
      <c r="B804" s="686">
        <v>2130</v>
      </c>
      <c r="C804" s="687">
        <v>353307</v>
      </c>
      <c r="D804" s="688" t="s">
        <v>114</v>
      </c>
      <c r="E804" s="689">
        <v>0.5</v>
      </c>
      <c r="F804" s="687">
        <f t="shared" si="12"/>
        <v>176653.5</v>
      </c>
    </row>
    <row r="805" spans="1:6">
      <c r="A805" s="685"/>
      <c r="B805" s="686">
        <v>2128</v>
      </c>
      <c r="C805" s="687">
        <v>254597</v>
      </c>
      <c r="D805" s="688" t="s">
        <v>114</v>
      </c>
      <c r="E805" s="689">
        <v>0.5</v>
      </c>
      <c r="F805" s="687">
        <f t="shared" si="12"/>
        <v>127298.5</v>
      </c>
    </row>
    <row r="806" spans="1:6">
      <c r="A806" s="685"/>
      <c r="B806" s="686">
        <v>597</v>
      </c>
      <c r="C806" s="687">
        <v>47504</v>
      </c>
      <c r="D806" s="688" t="s">
        <v>68</v>
      </c>
      <c r="E806" s="689">
        <v>0.1</v>
      </c>
      <c r="F806" s="687">
        <f t="shared" si="12"/>
        <v>4750.4000000000005</v>
      </c>
    </row>
    <row r="807" spans="1:6">
      <c r="A807" s="685"/>
      <c r="B807" s="686">
        <v>584</v>
      </c>
      <c r="C807" s="687">
        <v>63200</v>
      </c>
      <c r="D807" s="688" t="s">
        <v>68</v>
      </c>
      <c r="E807" s="689">
        <v>0.1</v>
      </c>
      <c r="F807" s="687">
        <f t="shared" si="12"/>
        <v>6320</v>
      </c>
    </row>
    <row r="808" spans="1:6">
      <c r="A808" s="685"/>
      <c r="B808" s="686">
        <v>581</v>
      </c>
      <c r="C808" s="687">
        <v>52054</v>
      </c>
      <c r="D808" s="688" t="s">
        <v>68</v>
      </c>
      <c r="E808" s="689">
        <v>0.1</v>
      </c>
      <c r="F808" s="687">
        <f t="shared" si="12"/>
        <v>5205.4000000000005</v>
      </c>
    </row>
    <row r="809" spans="1:6">
      <c r="A809" s="685"/>
      <c r="B809" s="686">
        <v>2262</v>
      </c>
      <c r="C809" s="687">
        <v>257453</v>
      </c>
      <c r="D809" s="688" t="s">
        <v>68</v>
      </c>
      <c r="E809" s="689">
        <v>0.01</v>
      </c>
      <c r="F809" s="687">
        <f t="shared" si="12"/>
        <v>2574.5300000000002</v>
      </c>
    </row>
    <row r="810" spans="1:6">
      <c r="A810" s="685"/>
      <c r="B810" s="686">
        <v>604</v>
      </c>
      <c r="C810" s="687">
        <v>662000</v>
      </c>
      <c r="D810" s="688" t="s">
        <v>68</v>
      </c>
      <c r="E810" s="689">
        <v>0.1</v>
      </c>
      <c r="F810" s="687">
        <f t="shared" si="12"/>
        <v>66200</v>
      </c>
    </row>
    <row r="811" spans="1:6">
      <c r="A811" s="685"/>
      <c r="B811" s="686">
        <v>589</v>
      </c>
      <c r="C811" s="687">
        <v>67754</v>
      </c>
      <c r="D811" s="688" t="s">
        <v>68</v>
      </c>
      <c r="E811" s="689">
        <v>0.1</v>
      </c>
      <c r="F811" s="687">
        <f t="shared" si="12"/>
        <v>6775.4000000000005</v>
      </c>
    </row>
    <row r="812" spans="1:6">
      <c r="A812" s="685"/>
      <c r="B812" s="686">
        <v>601</v>
      </c>
      <c r="C812" s="687">
        <v>93300</v>
      </c>
      <c r="D812" s="688" t="s">
        <v>68</v>
      </c>
      <c r="E812" s="689">
        <v>0.1</v>
      </c>
      <c r="F812" s="687">
        <f t="shared" si="12"/>
        <v>9330</v>
      </c>
    </row>
    <row r="813" spans="1:6">
      <c r="A813" s="685"/>
      <c r="B813" s="686">
        <v>1500</v>
      </c>
      <c r="C813" s="687">
        <v>17280000</v>
      </c>
      <c r="D813" s="688" t="s">
        <v>68</v>
      </c>
      <c r="E813" s="689">
        <v>0.01</v>
      </c>
      <c r="F813" s="687">
        <f t="shared" si="12"/>
        <v>172800</v>
      </c>
    </row>
    <row r="814" spans="1:6">
      <c r="A814" s="685"/>
      <c r="B814" s="686">
        <v>1589</v>
      </c>
      <c r="C814" s="687">
        <v>1650000</v>
      </c>
      <c r="D814" s="688" t="s">
        <v>68</v>
      </c>
      <c r="E814" s="689">
        <v>0.01</v>
      </c>
      <c r="F814" s="687">
        <f t="shared" si="12"/>
        <v>16500</v>
      </c>
    </row>
    <row r="815" spans="1:6">
      <c r="A815" s="685"/>
      <c r="B815" s="686">
        <v>1641</v>
      </c>
      <c r="C815" s="687">
        <v>105840</v>
      </c>
      <c r="D815" s="688" t="s">
        <v>68</v>
      </c>
      <c r="E815" s="689">
        <v>0.01</v>
      </c>
      <c r="F815" s="687">
        <f t="shared" si="12"/>
        <v>1058.4000000000001</v>
      </c>
    </row>
    <row r="816" spans="1:6">
      <c r="A816" s="685"/>
      <c r="B816" s="686">
        <v>1628</v>
      </c>
      <c r="C816" s="687">
        <v>680414</v>
      </c>
      <c r="D816" s="688" t="s">
        <v>68</v>
      </c>
      <c r="E816" s="689">
        <v>0.01</v>
      </c>
      <c r="F816" s="687">
        <f t="shared" si="12"/>
        <v>6804.14</v>
      </c>
    </row>
    <row r="817" spans="1:6">
      <c r="A817" s="685"/>
      <c r="B817" s="686">
        <v>1613</v>
      </c>
      <c r="C817" s="687">
        <v>60760</v>
      </c>
      <c r="D817" s="688" t="s">
        <v>68</v>
      </c>
      <c r="E817" s="689">
        <v>0.01</v>
      </c>
      <c r="F817" s="687">
        <f t="shared" si="12"/>
        <v>607.6</v>
      </c>
    </row>
    <row r="818" spans="1:6">
      <c r="A818" s="685"/>
      <c r="B818" s="686">
        <v>1613</v>
      </c>
      <c r="C818" s="687">
        <v>32634</v>
      </c>
      <c r="D818" s="688" t="s">
        <v>68</v>
      </c>
      <c r="E818" s="689">
        <v>0.01</v>
      </c>
      <c r="F818" s="687">
        <f t="shared" si="12"/>
        <v>326.34000000000003</v>
      </c>
    </row>
    <row r="819" spans="1:6">
      <c r="A819" s="685"/>
      <c r="B819" s="686">
        <v>1612</v>
      </c>
      <c r="C819" s="687">
        <v>302281</v>
      </c>
      <c r="D819" s="688" t="s">
        <v>68</v>
      </c>
      <c r="E819" s="689">
        <v>0.01</v>
      </c>
      <c r="F819" s="687">
        <f t="shared" si="12"/>
        <v>3022.81</v>
      </c>
    </row>
    <row r="820" spans="1:6">
      <c r="A820" s="685"/>
      <c r="B820" s="686">
        <v>1611</v>
      </c>
      <c r="C820" s="687">
        <v>102949</v>
      </c>
      <c r="D820" s="688" t="s">
        <v>68</v>
      </c>
      <c r="E820" s="689">
        <v>0.01</v>
      </c>
      <c r="F820" s="687">
        <f t="shared" si="12"/>
        <v>1029.49</v>
      </c>
    </row>
    <row r="821" spans="1:6">
      <c r="A821" s="685"/>
      <c r="B821" s="686">
        <v>651</v>
      </c>
      <c r="C821" s="687">
        <v>190000</v>
      </c>
      <c r="D821" s="688" t="s">
        <v>68</v>
      </c>
      <c r="E821" s="689">
        <v>0.1</v>
      </c>
      <c r="F821" s="687">
        <f t="shared" si="12"/>
        <v>19000</v>
      </c>
    </row>
    <row r="822" spans="1:6">
      <c r="A822" s="685"/>
      <c r="B822" s="686">
        <v>1683</v>
      </c>
      <c r="C822" s="687">
        <v>474750</v>
      </c>
      <c r="D822" s="688" t="s">
        <v>68</v>
      </c>
      <c r="E822" s="689">
        <v>0.01</v>
      </c>
      <c r="F822" s="687">
        <f t="shared" si="12"/>
        <v>4747.5</v>
      </c>
    </row>
    <row r="823" spans="1:6">
      <c r="A823" s="685"/>
      <c r="B823" s="686">
        <v>1584</v>
      </c>
      <c r="C823" s="687">
        <v>37700</v>
      </c>
      <c r="D823" s="688" t="s">
        <v>68</v>
      </c>
      <c r="E823" s="689">
        <v>0.01</v>
      </c>
      <c r="F823" s="687">
        <f t="shared" si="12"/>
        <v>377</v>
      </c>
    </row>
    <row r="824" spans="1:6">
      <c r="A824" s="685"/>
      <c r="B824" s="686">
        <v>1579</v>
      </c>
      <c r="C824" s="687">
        <v>311000</v>
      </c>
      <c r="D824" s="688" t="s">
        <v>68</v>
      </c>
      <c r="E824" s="689">
        <v>0.01</v>
      </c>
      <c r="F824" s="687">
        <f t="shared" si="12"/>
        <v>3110</v>
      </c>
    </row>
    <row r="825" spans="1:6">
      <c r="A825" s="685"/>
      <c r="B825" s="686">
        <v>1542</v>
      </c>
      <c r="C825" s="687">
        <v>311000</v>
      </c>
      <c r="D825" s="688" t="s">
        <v>68</v>
      </c>
      <c r="E825" s="689">
        <v>0.01</v>
      </c>
      <c r="F825" s="687">
        <f t="shared" si="12"/>
        <v>3110</v>
      </c>
    </row>
    <row r="826" spans="1:6">
      <c r="A826" s="685"/>
      <c r="B826" s="686">
        <v>1752</v>
      </c>
      <c r="C826" s="687">
        <v>1012175</v>
      </c>
      <c r="D826" s="688" t="s">
        <v>68</v>
      </c>
      <c r="E826" s="689">
        <v>0.01</v>
      </c>
      <c r="F826" s="687">
        <f t="shared" si="12"/>
        <v>10121.75</v>
      </c>
    </row>
    <row r="827" spans="1:6">
      <c r="A827" s="685"/>
      <c r="B827" s="686">
        <v>1744</v>
      </c>
      <c r="C827" s="687">
        <v>279000</v>
      </c>
      <c r="D827" s="688" t="s">
        <v>68</v>
      </c>
      <c r="E827" s="689">
        <v>0.01</v>
      </c>
      <c r="F827" s="687">
        <f t="shared" si="12"/>
        <v>2790</v>
      </c>
    </row>
    <row r="828" spans="1:6">
      <c r="A828" s="685"/>
      <c r="B828" s="686">
        <v>1739</v>
      </c>
      <c r="C828" s="687">
        <v>97400</v>
      </c>
      <c r="D828" s="688" t="s">
        <v>68</v>
      </c>
      <c r="E828" s="689">
        <v>0.01</v>
      </c>
      <c r="F828" s="687">
        <f t="shared" si="12"/>
        <v>974</v>
      </c>
    </row>
    <row r="829" spans="1:6">
      <c r="A829" s="685"/>
      <c r="B829" s="686">
        <v>1708</v>
      </c>
      <c r="C829" s="687">
        <v>800000</v>
      </c>
      <c r="D829" s="688" t="s">
        <v>68</v>
      </c>
      <c r="E829" s="689">
        <v>0.01</v>
      </c>
      <c r="F829" s="687">
        <f t="shared" si="12"/>
        <v>8000</v>
      </c>
    </row>
    <row r="830" spans="1:6">
      <c r="A830" s="685"/>
      <c r="B830" s="686">
        <v>1696</v>
      </c>
      <c r="C830" s="687">
        <v>1040000</v>
      </c>
      <c r="D830" s="688" t="s">
        <v>68</v>
      </c>
      <c r="E830" s="689">
        <v>0.01</v>
      </c>
      <c r="F830" s="687">
        <f t="shared" si="12"/>
        <v>10400</v>
      </c>
    </row>
    <row r="831" spans="1:6">
      <c r="A831" s="685"/>
      <c r="B831" s="686">
        <v>1586</v>
      </c>
      <c r="C831" s="687">
        <v>318500</v>
      </c>
      <c r="D831" s="688" t="s">
        <v>68</v>
      </c>
      <c r="E831" s="689">
        <v>0.01</v>
      </c>
      <c r="F831" s="687">
        <f t="shared" si="12"/>
        <v>3185</v>
      </c>
    </row>
    <row r="832" spans="1:6">
      <c r="A832" s="685"/>
      <c r="B832" s="686">
        <v>1578</v>
      </c>
      <c r="C832" s="687">
        <v>3154000</v>
      </c>
      <c r="D832" s="688" t="s">
        <v>68</v>
      </c>
      <c r="E832" s="689">
        <v>0.01</v>
      </c>
      <c r="F832" s="687">
        <f t="shared" si="12"/>
        <v>31540</v>
      </c>
    </row>
    <row r="833" spans="1:6">
      <c r="A833" s="685"/>
      <c r="B833" s="686">
        <v>1296</v>
      </c>
      <c r="C833" s="687">
        <v>931040</v>
      </c>
      <c r="D833" s="688" t="s">
        <v>68</v>
      </c>
      <c r="E833" s="689">
        <v>0.01</v>
      </c>
      <c r="F833" s="687">
        <f t="shared" si="12"/>
        <v>9310.4</v>
      </c>
    </row>
    <row r="834" spans="1:6">
      <c r="A834" s="685"/>
      <c r="B834" s="686">
        <v>682</v>
      </c>
      <c r="C834" s="687">
        <v>1893650</v>
      </c>
      <c r="D834" s="688" t="s">
        <v>68</v>
      </c>
      <c r="E834" s="689">
        <v>0.1</v>
      </c>
      <c r="F834" s="687">
        <f t="shared" si="12"/>
        <v>189365</v>
      </c>
    </row>
    <row r="835" spans="1:6">
      <c r="A835" s="685"/>
      <c r="B835" s="686">
        <v>681</v>
      </c>
      <c r="C835" s="687">
        <v>3627400</v>
      </c>
      <c r="D835" s="688" t="s">
        <v>68</v>
      </c>
      <c r="E835" s="689">
        <v>0.1</v>
      </c>
      <c r="F835" s="687">
        <f t="shared" ref="F835:F898" si="13">+C835*E835</f>
        <v>362740</v>
      </c>
    </row>
    <row r="836" spans="1:6">
      <c r="A836" s="685"/>
      <c r="B836" s="686">
        <v>1680</v>
      </c>
      <c r="C836" s="687">
        <v>3722400</v>
      </c>
      <c r="D836" s="688" t="s">
        <v>68</v>
      </c>
      <c r="E836" s="689">
        <v>0.01</v>
      </c>
      <c r="F836" s="687">
        <f t="shared" si="13"/>
        <v>37224</v>
      </c>
    </row>
    <row r="837" spans="1:6">
      <c r="A837" s="685"/>
      <c r="B837" s="686">
        <v>1654</v>
      </c>
      <c r="C837" s="687">
        <v>103550</v>
      </c>
      <c r="D837" s="688" t="s">
        <v>68</v>
      </c>
      <c r="E837" s="689">
        <v>0.01</v>
      </c>
      <c r="F837" s="687">
        <f t="shared" si="13"/>
        <v>1035.5</v>
      </c>
    </row>
    <row r="838" spans="1:6">
      <c r="A838" s="685"/>
      <c r="B838" s="686">
        <v>1534</v>
      </c>
      <c r="C838" s="687">
        <v>35200</v>
      </c>
      <c r="D838" s="688" t="s">
        <v>68</v>
      </c>
      <c r="E838" s="689">
        <v>0.01</v>
      </c>
      <c r="F838" s="687">
        <f t="shared" si="13"/>
        <v>352</v>
      </c>
    </row>
    <row r="839" spans="1:6">
      <c r="A839" s="685"/>
      <c r="B839" s="686">
        <v>3397</v>
      </c>
      <c r="C839" s="687">
        <v>35341</v>
      </c>
      <c r="D839" s="688" t="s">
        <v>68</v>
      </c>
      <c r="E839" s="689">
        <v>0.01</v>
      </c>
      <c r="F839" s="687">
        <f t="shared" si="13"/>
        <v>353.41</v>
      </c>
    </row>
    <row r="840" spans="1:6">
      <c r="A840" s="685"/>
      <c r="B840" s="686">
        <v>1388</v>
      </c>
      <c r="C840" s="687">
        <v>330466</v>
      </c>
      <c r="D840" s="688" t="s">
        <v>68</v>
      </c>
      <c r="E840" s="689">
        <v>0.01</v>
      </c>
      <c r="F840" s="687">
        <f t="shared" si="13"/>
        <v>3304.66</v>
      </c>
    </row>
    <row r="841" spans="1:6">
      <c r="A841" s="685"/>
      <c r="B841" s="686">
        <v>576</v>
      </c>
      <c r="C841" s="687">
        <v>2001250</v>
      </c>
      <c r="D841" s="688" t="s">
        <v>68</v>
      </c>
      <c r="E841" s="689">
        <v>0.1</v>
      </c>
      <c r="F841" s="687">
        <f t="shared" si="13"/>
        <v>200125</v>
      </c>
    </row>
    <row r="842" spans="1:6">
      <c r="A842" s="685"/>
      <c r="B842" s="686">
        <v>571</v>
      </c>
      <c r="C842" s="687">
        <v>167300</v>
      </c>
      <c r="D842" s="688" t="s">
        <v>68</v>
      </c>
      <c r="E842" s="689">
        <v>0.1</v>
      </c>
      <c r="F842" s="687">
        <f t="shared" si="13"/>
        <v>16730</v>
      </c>
    </row>
    <row r="843" spans="1:6">
      <c r="A843" s="685"/>
      <c r="B843" s="686">
        <v>3406</v>
      </c>
      <c r="C843" s="687">
        <v>56900</v>
      </c>
      <c r="D843" s="688" t="s">
        <v>68</v>
      </c>
      <c r="E843" s="689">
        <v>0.01</v>
      </c>
      <c r="F843" s="687">
        <f t="shared" si="13"/>
        <v>569</v>
      </c>
    </row>
    <row r="844" spans="1:6">
      <c r="A844" s="685"/>
      <c r="B844" s="686">
        <v>569</v>
      </c>
      <c r="C844" s="687">
        <v>3814000</v>
      </c>
      <c r="D844" s="688" t="s">
        <v>68</v>
      </c>
      <c r="E844" s="689">
        <v>0.1</v>
      </c>
      <c r="F844" s="687">
        <f t="shared" si="13"/>
        <v>381400</v>
      </c>
    </row>
    <row r="845" spans="1:6">
      <c r="A845" s="685"/>
      <c r="B845" s="686">
        <v>2047</v>
      </c>
      <c r="C845" s="687">
        <v>371129</v>
      </c>
      <c r="D845" s="688" t="s">
        <v>68</v>
      </c>
      <c r="E845" s="689">
        <v>0.01</v>
      </c>
      <c r="F845" s="687">
        <f t="shared" si="13"/>
        <v>3711.29</v>
      </c>
    </row>
    <row r="846" spans="1:6">
      <c r="A846" s="685"/>
      <c r="B846" s="686">
        <v>2014</v>
      </c>
      <c r="C846" s="687">
        <v>836400</v>
      </c>
      <c r="D846" s="688" t="s">
        <v>68</v>
      </c>
      <c r="E846" s="689">
        <v>0.01</v>
      </c>
      <c r="F846" s="687">
        <f t="shared" si="13"/>
        <v>8364</v>
      </c>
    </row>
    <row r="847" spans="1:6">
      <c r="A847" s="685"/>
      <c r="B847" s="686">
        <v>1536</v>
      </c>
      <c r="C847" s="687">
        <v>26686</v>
      </c>
      <c r="D847" s="688" t="s">
        <v>68</v>
      </c>
      <c r="E847" s="689">
        <v>0.01</v>
      </c>
      <c r="F847" s="687">
        <f t="shared" si="13"/>
        <v>266.86</v>
      </c>
    </row>
    <row r="848" spans="1:6">
      <c r="A848" s="685"/>
      <c r="B848" s="686">
        <v>595</v>
      </c>
      <c r="C848" s="687">
        <v>98400</v>
      </c>
      <c r="D848" s="688" t="s">
        <v>68</v>
      </c>
      <c r="E848" s="689">
        <v>0.1</v>
      </c>
      <c r="F848" s="687">
        <f t="shared" si="13"/>
        <v>9840</v>
      </c>
    </row>
    <row r="849" spans="1:6">
      <c r="A849" s="685"/>
      <c r="B849" s="686">
        <v>2183</v>
      </c>
      <c r="C849" s="687">
        <v>949967</v>
      </c>
      <c r="D849" s="688" t="s">
        <v>68</v>
      </c>
      <c r="E849" s="689">
        <v>0.01</v>
      </c>
      <c r="F849" s="687">
        <f t="shared" si="13"/>
        <v>9499.67</v>
      </c>
    </row>
    <row r="850" spans="1:6">
      <c r="A850" s="685"/>
      <c r="B850" s="686">
        <v>2262</v>
      </c>
      <c r="C850" s="687">
        <v>950400</v>
      </c>
      <c r="D850" s="688" t="s">
        <v>68</v>
      </c>
      <c r="E850" s="689">
        <v>0.01</v>
      </c>
      <c r="F850" s="687">
        <f t="shared" si="13"/>
        <v>9504</v>
      </c>
    </row>
    <row r="851" spans="1:6">
      <c r="A851" s="685"/>
      <c r="B851" s="686">
        <v>2262</v>
      </c>
      <c r="C851" s="687">
        <v>416390</v>
      </c>
      <c r="D851" s="688" t="s">
        <v>68</v>
      </c>
      <c r="E851" s="689">
        <v>0.01</v>
      </c>
      <c r="F851" s="687">
        <f t="shared" si="13"/>
        <v>4163.8999999999996</v>
      </c>
    </row>
    <row r="852" spans="1:6">
      <c r="A852" s="685"/>
      <c r="B852" s="686">
        <v>2248</v>
      </c>
      <c r="C852" s="687">
        <v>3344625</v>
      </c>
      <c r="D852" s="688" t="s">
        <v>68</v>
      </c>
      <c r="E852" s="689">
        <v>0.01</v>
      </c>
      <c r="F852" s="687">
        <f t="shared" si="13"/>
        <v>33446.25</v>
      </c>
    </row>
    <row r="853" spans="1:6">
      <c r="A853" s="685"/>
      <c r="B853" s="686">
        <v>2220</v>
      </c>
      <c r="C853" s="687">
        <v>111180</v>
      </c>
      <c r="D853" s="688" t="s">
        <v>68</v>
      </c>
      <c r="E853" s="689">
        <v>0.01</v>
      </c>
      <c r="F853" s="687">
        <f t="shared" si="13"/>
        <v>1111.8</v>
      </c>
    </row>
    <row r="854" spans="1:6">
      <c r="A854" s="685"/>
      <c r="B854" s="686">
        <v>2197</v>
      </c>
      <c r="C854" s="687">
        <v>69826</v>
      </c>
      <c r="D854" s="688" t="s">
        <v>68</v>
      </c>
      <c r="E854" s="689">
        <v>0.01</v>
      </c>
      <c r="F854" s="687">
        <f t="shared" si="13"/>
        <v>698.26</v>
      </c>
    </row>
    <row r="855" spans="1:6">
      <c r="A855" s="685"/>
      <c r="B855" s="686">
        <v>2184</v>
      </c>
      <c r="C855" s="687">
        <v>237067</v>
      </c>
      <c r="D855" s="688" t="s">
        <v>68</v>
      </c>
      <c r="E855" s="689">
        <v>0.01</v>
      </c>
      <c r="F855" s="687">
        <f t="shared" si="13"/>
        <v>2370.67</v>
      </c>
    </row>
    <row r="856" spans="1:6">
      <c r="A856" s="685"/>
      <c r="B856" s="686">
        <v>2181</v>
      </c>
      <c r="C856" s="687">
        <v>193600</v>
      </c>
      <c r="D856" s="688" t="s">
        <v>68</v>
      </c>
      <c r="E856" s="689">
        <v>0.01</v>
      </c>
      <c r="F856" s="687">
        <f t="shared" si="13"/>
        <v>1936</v>
      </c>
    </row>
    <row r="857" spans="1:6">
      <c r="A857" s="685"/>
      <c r="B857" s="686">
        <v>2174</v>
      </c>
      <c r="C857" s="687">
        <v>1000000</v>
      </c>
      <c r="D857" s="688" t="s">
        <v>68</v>
      </c>
      <c r="E857" s="689">
        <v>0.01</v>
      </c>
      <c r="F857" s="687">
        <f t="shared" si="13"/>
        <v>10000</v>
      </c>
    </row>
    <row r="858" spans="1:6">
      <c r="A858" s="685"/>
      <c r="B858" s="686">
        <v>2172</v>
      </c>
      <c r="C858" s="687">
        <v>454842</v>
      </c>
      <c r="D858" s="688" t="s">
        <v>68</v>
      </c>
      <c r="E858" s="689">
        <v>0.01</v>
      </c>
      <c r="F858" s="687">
        <f t="shared" si="13"/>
        <v>4548.42</v>
      </c>
    </row>
    <row r="859" spans="1:6">
      <c r="A859" s="685"/>
      <c r="B859" s="686">
        <v>2172</v>
      </c>
      <c r="C859" s="687">
        <v>509528</v>
      </c>
      <c r="D859" s="688" t="s">
        <v>68</v>
      </c>
      <c r="E859" s="689">
        <v>0.01</v>
      </c>
      <c r="F859" s="687">
        <f t="shared" si="13"/>
        <v>5095.28</v>
      </c>
    </row>
    <row r="860" spans="1:6">
      <c r="A860" s="685"/>
      <c r="B860" s="686">
        <v>669</v>
      </c>
      <c r="C860" s="687">
        <v>1500000</v>
      </c>
      <c r="D860" s="688" t="s">
        <v>68</v>
      </c>
      <c r="E860" s="689">
        <v>0.1</v>
      </c>
      <c r="F860" s="687">
        <f t="shared" si="13"/>
        <v>150000</v>
      </c>
    </row>
    <row r="861" spans="1:6">
      <c r="A861" s="685"/>
      <c r="B861" s="686">
        <v>617</v>
      </c>
      <c r="C861" s="687">
        <v>151550</v>
      </c>
      <c r="D861" s="688" t="s">
        <v>68</v>
      </c>
      <c r="E861" s="689">
        <v>0.1</v>
      </c>
      <c r="F861" s="687">
        <f t="shared" si="13"/>
        <v>15155</v>
      </c>
    </row>
    <row r="862" spans="1:6">
      <c r="A862" s="685"/>
      <c r="B862" s="686">
        <v>624</v>
      </c>
      <c r="C862" s="687">
        <v>105200</v>
      </c>
      <c r="D862" s="688" t="s">
        <v>68</v>
      </c>
      <c r="E862" s="689">
        <v>0.1</v>
      </c>
      <c r="F862" s="687">
        <f t="shared" si="13"/>
        <v>10520</v>
      </c>
    </row>
    <row r="863" spans="1:6">
      <c r="A863" s="685"/>
      <c r="B863" s="686">
        <v>606</v>
      </c>
      <c r="C863" s="687">
        <v>329500</v>
      </c>
      <c r="D863" s="688" t="s">
        <v>68</v>
      </c>
      <c r="E863" s="689">
        <v>0.1</v>
      </c>
      <c r="F863" s="687">
        <f t="shared" si="13"/>
        <v>32950</v>
      </c>
    </row>
    <row r="864" spans="1:6">
      <c r="A864" s="685"/>
      <c r="B864" s="686">
        <v>1213</v>
      </c>
      <c r="C864" s="687">
        <v>2103400</v>
      </c>
      <c r="D864" s="688" t="s">
        <v>503</v>
      </c>
      <c r="E864" s="689">
        <v>0</v>
      </c>
      <c r="F864" s="687">
        <f t="shared" si="13"/>
        <v>0</v>
      </c>
    </row>
    <row r="865" spans="1:6">
      <c r="A865" s="685"/>
      <c r="B865" s="686">
        <v>601</v>
      </c>
      <c r="C865" s="687">
        <v>1562500</v>
      </c>
      <c r="D865" s="688" t="s">
        <v>68</v>
      </c>
      <c r="E865" s="689">
        <v>0.1</v>
      </c>
      <c r="F865" s="687">
        <f t="shared" si="13"/>
        <v>156250</v>
      </c>
    </row>
    <row r="866" spans="1:6">
      <c r="A866" s="685"/>
      <c r="B866" s="686">
        <v>594</v>
      </c>
      <c r="C866" s="687">
        <v>432000</v>
      </c>
      <c r="D866" s="688" t="s">
        <v>68</v>
      </c>
      <c r="E866" s="689">
        <v>0.1</v>
      </c>
      <c r="F866" s="687">
        <f t="shared" si="13"/>
        <v>43200</v>
      </c>
    </row>
    <row r="867" spans="1:6">
      <c r="A867" s="685"/>
      <c r="B867" s="686">
        <v>583</v>
      </c>
      <c r="C867" s="687">
        <v>202950</v>
      </c>
      <c r="D867" s="688" t="s">
        <v>68</v>
      </c>
      <c r="E867" s="689">
        <v>0.1</v>
      </c>
      <c r="F867" s="687">
        <f t="shared" si="13"/>
        <v>20295</v>
      </c>
    </row>
    <row r="868" spans="1:6">
      <c r="A868" s="685"/>
      <c r="B868" s="686">
        <v>566</v>
      </c>
      <c r="C868" s="687">
        <v>1031000</v>
      </c>
      <c r="D868" s="688" t="s">
        <v>68</v>
      </c>
      <c r="E868" s="689">
        <v>0.1</v>
      </c>
      <c r="F868" s="687">
        <f t="shared" si="13"/>
        <v>103100</v>
      </c>
    </row>
    <row r="869" spans="1:6">
      <c r="A869" s="685"/>
      <c r="B869" s="686">
        <v>1692</v>
      </c>
      <c r="C869" s="687">
        <v>793960</v>
      </c>
      <c r="D869" s="688" t="s">
        <v>68</v>
      </c>
      <c r="E869" s="689">
        <v>0.01</v>
      </c>
      <c r="F869" s="687">
        <f t="shared" si="13"/>
        <v>7939.6</v>
      </c>
    </row>
    <row r="870" spans="1:6">
      <c r="A870" s="685"/>
      <c r="B870" s="686">
        <v>1692</v>
      </c>
      <c r="C870" s="687">
        <v>1340800</v>
      </c>
      <c r="D870" s="688" t="s">
        <v>68</v>
      </c>
      <c r="E870" s="689">
        <v>0.01</v>
      </c>
      <c r="F870" s="687">
        <f t="shared" si="13"/>
        <v>13408</v>
      </c>
    </row>
    <row r="871" spans="1:6">
      <c r="A871" s="685"/>
      <c r="B871" s="686">
        <v>702</v>
      </c>
      <c r="C871" s="687">
        <v>2181000</v>
      </c>
      <c r="D871" s="688" t="s">
        <v>68</v>
      </c>
      <c r="E871" s="689">
        <v>0.1</v>
      </c>
      <c r="F871" s="687">
        <f t="shared" si="13"/>
        <v>218100</v>
      </c>
    </row>
    <row r="872" spans="1:6">
      <c r="A872" s="685"/>
      <c r="B872" s="686">
        <v>668</v>
      </c>
      <c r="C872" s="687">
        <v>2024000</v>
      </c>
      <c r="D872" s="688" t="s">
        <v>68</v>
      </c>
      <c r="E872" s="689">
        <v>0.1</v>
      </c>
      <c r="F872" s="687">
        <f t="shared" si="13"/>
        <v>202400</v>
      </c>
    </row>
    <row r="873" spans="1:6">
      <c r="A873" s="685"/>
      <c r="B873" s="686">
        <v>653</v>
      </c>
      <c r="C873" s="687">
        <v>502500</v>
      </c>
      <c r="D873" s="688" t="s">
        <v>68</v>
      </c>
      <c r="E873" s="689">
        <v>0.1</v>
      </c>
      <c r="F873" s="687">
        <f t="shared" si="13"/>
        <v>50250</v>
      </c>
    </row>
    <row r="874" spans="1:6">
      <c r="A874" s="685"/>
      <c r="B874" s="686">
        <v>681</v>
      </c>
      <c r="C874" s="687">
        <v>372450</v>
      </c>
      <c r="D874" s="688" t="s">
        <v>68</v>
      </c>
      <c r="E874" s="689">
        <v>0.1</v>
      </c>
      <c r="F874" s="687">
        <f t="shared" si="13"/>
        <v>37245</v>
      </c>
    </row>
    <row r="875" spans="1:6">
      <c r="A875" s="685"/>
      <c r="B875" s="686">
        <v>602</v>
      </c>
      <c r="C875" s="687">
        <v>166800</v>
      </c>
      <c r="D875" s="688" t="s">
        <v>68</v>
      </c>
      <c r="E875" s="689">
        <v>0.1</v>
      </c>
      <c r="F875" s="687">
        <f t="shared" si="13"/>
        <v>16680</v>
      </c>
    </row>
    <row r="876" spans="1:6">
      <c r="A876" s="685"/>
      <c r="B876" s="686">
        <v>601</v>
      </c>
      <c r="C876" s="687">
        <v>83400</v>
      </c>
      <c r="D876" s="688" t="s">
        <v>68</v>
      </c>
      <c r="E876" s="689">
        <v>0.1</v>
      </c>
      <c r="F876" s="687">
        <f t="shared" si="13"/>
        <v>8340</v>
      </c>
    </row>
    <row r="877" spans="1:6">
      <c r="A877" s="685"/>
      <c r="B877" s="686">
        <v>652</v>
      </c>
      <c r="C877" s="687">
        <v>488750</v>
      </c>
      <c r="D877" s="688" t="s">
        <v>68</v>
      </c>
      <c r="E877" s="689">
        <v>0.1</v>
      </c>
      <c r="F877" s="687">
        <f t="shared" si="13"/>
        <v>48875</v>
      </c>
    </row>
    <row r="878" spans="1:6">
      <c r="A878" s="685"/>
      <c r="B878" s="686">
        <v>643</v>
      </c>
      <c r="C878" s="687">
        <v>68500</v>
      </c>
      <c r="D878" s="688" t="s">
        <v>68</v>
      </c>
      <c r="E878" s="689">
        <v>0.1</v>
      </c>
      <c r="F878" s="687">
        <f t="shared" si="13"/>
        <v>6850</v>
      </c>
    </row>
    <row r="879" spans="1:6">
      <c r="A879" s="685"/>
      <c r="B879" s="686">
        <v>2063</v>
      </c>
      <c r="C879" s="687">
        <v>1027146</v>
      </c>
      <c r="D879" s="688" t="s">
        <v>68</v>
      </c>
      <c r="E879" s="689">
        <v>0.01</v>
      </c>
      <c r="F879" s="687">
        <f t="shared" si="13"/>
        <v>10271.460000000001</v>
      </c>
    </row>
    <row r="880" spans="1:6">
      <c r="A880" s="685"/>
      <c r="B880" s="686">
        <v>610</v>
      </c>
      <c r="C880" s="687">
        <v>73000</v>
      </c>
      <c r="D880" s="688" t="s">
        <v>68</v>
      </c>
      <c r="E880" s="689">
        <v>0.1</v>
      </c>
      <c r="F880" s="687">
        <f t="shared" si="13"/>
        <v>7300</v>
      </c>
    </row>
    <row r="881" spans="1:6">
      <c r="A881" s="685"/>
      <c r="B881" s="686">
        <v>886</v>
      </c>
      <c r="C881" s="687">
        <v>934350</v>
      </c>
      <c r="D881" s="688" t="s">
        <v>68</v>
      </c>
      <c r="E881" s="689">
        <v>0.05</v>
      </c>
      <c r="F881" s="687">
        <f t="shared" si="13"/>
        <v>46717.5</v>
      </c>
    </row>
    <row r="882" spans="1:6">
      <c r="A882" s="685"/>
      <c r="B882" s="686">
        <v>569</v>
      </c>
      <c r="C882" s="687">
        <v>311300</v>
      </c>
      <c r="D882" s="688" t="s">
        <v>68</v>
      </c>
      <c r="E882" s="689">
        <v>0.1</v>
      </c>
      <c r="F882" s="687">
        <f t="shared" si="13"/>
        <v>31130</v>
      </c>
    </row>
    <row r="883" spans="1:6">
      <c r="A883" s="685"/>
      <c r="B883" s="686">
        <v>609</v>
      </c>
      <c r="C883" s="687">
        <v>1155000</v>
      </c>
      <c r="D883" s="688" t="s">
        <v>68</v>
      </c>
      <c r="E883" s="689">
        <v>0.1</v>
      </c>
      <c r="F883" s="687">
        <f t="shared" si="13"/>
        <v>115500</v>
      </c>
    </row>
    <row r="884" spans="1:6">
      <c r="A884" s="685"/>
      <c r="B884" s="686">
        <v>574</v>
      </c>
      <c r="C884" s="687">
        <v>149400</v>
      </c>
      <c r="D884" s="688" t="s">
        <v>68</v>
      </c>
      <c r="E884" s="689">
        <v>0.1</v>
      </c>
      <c r="F884" s="687">
        <f t="shared" si="13"/>
        <v>14940</v>
      </c>
    </row>
    <row r="885" spans="1:6">
      <c r="A885" s="685"/>
      <c r="B885" s="686">
        <v>2721</v>
      </c>
      <c r="C885" s="687">
        <v>388624</v>
      </c>
      <c r="D885" s="688" t="s">
        <v>68</v>
      </c>
      <c r="E885" s="689">
        <v>0.01</v>
      </c>
      <c r="F885" s="687">
        <f t="shared" si="13"/>
        <v>3886.2400000000002</v>
      </c>
    </row>
    <row r="886" spans="1:6">
      <c r="A886" s="685"/>
      <c r="B886" s="686">
        <v>2707</v>
      </c>
      <c r="C886" s="687">
        <v>1300266</v>
      </c>
      <c r="D886" s="688" t="s">
        <v>68</v>
      </c>
      <c r="E886" s="689">
        <v>0.01</v>
      </c>
      <c r="F886" s="687">
        <f t="shared" si="13"/>
        <v>13002.66</v>
      </c>
    </row>
    <row r="887" spans="1:6">
      <c r="A887" s="685"/>
      <c r="B887" s="686">
        <v>2720</v>
      </c>
      <c r="C887" s="687">
        <v>1994706</v>
      </c>
      <c r="D887" s="688" t="s">
        <v>68</v>
      </c>
      <c r="E887" s="689">
        <v>0.01</v>
      </c>
      <c r="F887" s="687">
        <f t="shared" si="13"/>
        <v>19947.060000000001</v>
      </c>
    </row>
    <row r="888" spans="1:6">
      <c r="A888" s="685"/>
      <c r="B888" s="686">
        <v>2667</v>
      </c>
      <c r="C888" s="687">
        <v>1529351</v>
      </c>
      <c r="D888" s="688" t="s">
        <v>68</v>
      </c>
      <c r="E888" s="689">
        <v>0.01</v>
      </c>
      <c r="F888" s="687">
        <f t="shared" si="13"/>
        <v>15293.51</v>
      </c>
    </row>
    <row r="889" spans="1:6">
      <c r="A889" s="685"/>
      <c r="B889" s="686">
        <v>2654</v>
      </c>
      <c r="C889" s="687">
        <v>1270227</v>
      </c>
      <c r="D889" s="688" t="s">
        <v>68</v>
      </c>
      <c r="E889" s="689">
        <v>0.01</v>
      </c>
      <c r="F889" s="687">
        <f t="shared" si="13"/>
        <v>12702.27</v>
      </c>
    </row>
    <row r="890" spans="1:6">
      <c r="A890" s="685"/>
      <c r="B890" s="686">
        <v>1641</v>
      </c>
      <c r="C890" s="687">
        <v>290500</v>
      </c>
      <c r="D890" s="688" t="s">
        <v>68</v>
      </c>
      <c r="E890" s="689">
        <v>0.01</v>
      </c>
      <c r="F890" s="687">
        <f t="shared" si="13"/>
        <v>2905</v>
      </c>
    </row>
    <row r="891" spans="1:6">
      <c r="A891" s="685"/>
      <c r="B891" s="686">
        <v>1781</v>
      </c>
      <c r="C891" s="687">
        <v>402800</v>
      </c>
      <c r="D891" s="688" t="s">
        <v>68</v>
      </c>
      <c r="E891" s="689">
        <v>0.01</v>
      </c>
      <c r="F891" s="687">
        <f t="shared" si="13"/>
        <v>4028</v>
      </c>
    </row>
    <row r="892" spans="1:6">
      <c r="A892" s="685"/>
      <c r="B892" s="686">
        <v>2066</v>
      </c>
      <c r="C892" s="687">
        <v>799248</v>
      </c>
      <c r="D892" s="688" t="s">
        <v>68</v>
      </c>
      <c r="E892" s="689">
        <v>0.01</v>
      </c>
      <c r="F892" s="687">
        <f t="shared" si="13"/>
        <v>7992.4800000000005</v>
      </c>
    </row>
    <row r="893" spans="1:6">
      <c r="A893" s="685"/>
      <c r="B893" s="686">
        <v>2151</v>
      </c>
      <c r="C893" s="687">
        <v>44443</v>
      </c>
      <c r="D893" s="688" t="s">
        <v>68</v>
      </c>
      <c r="E893" s="689">
        <v>0.01</v>
      </c>
      <c r="F893" s="687">
        <f t="shared" si="13"/>
        <v>444.43</v>
      </c>
    </row>
    <row r="894" spans="1:6">
      <c r="A894" s="685"/>
      <c r="B894" s="686">
        <v>2146</v>
      </c>
      <c r="C894" s="687">
        <v>570788</v>
      </c>
      <c r="D894" s="688" t="s">
        <v>68</v>
      </c>
      <c r="E894" s="689">
        <v>0.01</v>
      </c>
      <c r="F894" s="687">
        <f t="shared" si="13"/>
        <v>5707.88</v>
      </c>
    </row>
    <row r="895" spans="1:6">
      <c r="A895" s="685"/>
      <c r="B895" s="686">
        <v>2252</v>
      </c>
      <c r="C895" s="687">
        <v>252654</v>
      </c>
      <c r="D895" s="688" t="s">
        <v>68</v>
      </c>
      <c r="E895" s="689">
        <v>0.01</v>
      </c>
      <c r="F895" s="687">
        <f t="shared" si="13"/>
        <v>2526.54</v>
      </c>
    </row>
    <row r="896" spans="1:6">
      <c r="A896" s="685"/>
      <c r="B896" s="686">
        <v>2695</v>
      </c>
      <c r="C896" s="687">
        <v>632000</v>
      </c>
      <c r="D896" s="688" t="s">
        <v>68</v>
      </c>
      <c r="E896" s="689">
        <v>0.01</v>
      </c>
      <c r="F896" s="687">
        <f t="shared" si="13"/>
        <v>6320</v>
      </c>
    </row>
    <row r="897" spans="1:6">
      <c r="A897" s="685"/>
      <c r="B897" s="686">
        <v>629</v>
      </c>
      <c r="C897" s="687">
        <v>5936000</v>
      </c>
      <c r="D897" s="688" t="s">
        <v>68</v>
      </c>
      <c r="E897" s="689">
        <v>0.1</v>
      </c>
      <c r="F897" s="687">
        <f t="shared" si="13"/>
        <v>593600</v>
      </c>
    </row>
    <row r="898" spans="1:6">
      <c r="A898" s="685"/>
      <c r="B898" s="686">
        <v>2416</v>
      </c>
      <c r="C898" s="687">
        <v>1253351</v>
      </c>
      <c r="D898" s="688" t="s">
        <v>68</v>
      </c>
      <c r="E898" s="689">
        <v>0.01</v>
      </c>
      <c r="F898" s="687">
        <f t="shared" si="13"/>
        <v>12533.51</v>
      </c>
    </row>
    <row r="899" spans="1:6">
      <c r="A899" s="685"/>
      <c r="B899" s="686">
        <v>2264</v>
      </c>
      <c r="C899" s="687">
        <v>1878180</v>
      </c>
      <c r="D899" s="688" t="s">
        <v>68</v>
      </c>
      <c r="E899" s="689">
        <v>0.01</v>
      </c>
      <c r="F899" s="687">
        <f t="shared" ref="F899:F962" si="14">+C899*E899</f>
        <v>18781.8</v>
      </c>
    </row>
    <row r="900" spans="1:6">
      <c r="A900" s="685"/>
      <c r="B900" s="686">
        <v>980</v>
      </c>
      <c r="C900" s="687">
        <v>100250</v>
      </c>
      <c r="D900" s="688" t="s">
        <v>68</v>
      </c>
      <c r="E900" s="689">
        <v>0.05</v>
      </c>
      <c r="F900" s="687">
        <f t="shared" si="14"/>
        <v>5012.5</v>
      </c>
    </row>
    <row r="901" spans="1:6">
      <c r="A901" s="685"/>
      <c r="B901" s="686">
        <v>2610</v>
      </c>
      <c r="C901" s="687">
        <v>423062</v>
      </c>
      <c r="D901" s="688" t="s">
        <v>68</v>
      </c>
      <c r="E901" s="689">
        <v>0.01</v>
      </c>
      <c r="F901" s="687">
        <f t="shared" si="14"/>
        <v>4230.62</v>
      </c>
    </row>
    <row r="902" spans="1:6">
      <c r="A902" s="685"/>
      <c r="B902" s="686">
        <v>2607</v>
      </c>
      <c r="C902" s="687">
        <v>98833</v>
      </c>
      <c r="D902" s="688" t="s">
        <v>68</v>
      </c>
      <c r="E902" s="689">
        <v>0.01</v>
      </c>
      <c r="F902" s="687">
        <f t="shared" si="14"/>
        <v>988.33</v>
      </c>
    </row>
    <row r="903" spans="1:6">
      <c r="A903" s="685"/>
      <c r="B903" s="686">
        <v>688</v>
      </c>
      <c r="C903" s="687">
        <v>3444500</v>
      </c>
      <c r="D903" s="688" t="s">
        <v>68</v>
      </c>
      <c r="E903" s="689">
        <v>0.1</v>
      </c>
      <c r="F903" s="687">
        <f t="shared" si="14"/>
        <v>344450</v>
      </c>
    </row>
    <row r="904" spans="1:6">
      <c r="A904" s="685"/>
      <c r="B904" s="686">
        <v>2164</v>
      </c>
      <c r="C904" s="687">
        <v>281598</v>
      </c>
      <c r="D904" s="688" t="s">
        <v>68</v>
      </c>
      <c r="E904" s="689">
        <v>0.01</v>
      </c>
      <c r="F904" s="687">
        <f t="shared" si="14"/>
        <v>2815.98</v>
      </c>
    </row>
    <row r="905" spans="1:6">
      <c r="A905" s="685"/>
      <c r="B905" s="686">
        <v>759</v>
      </c>
      <c r="C905" s="687">
        <v>2850000</v>
      </c>
      <c r="D905" s="688" t="s">
        <v>68</v>
      </c>
      <c r="E905" s="689">
        <v>0.05</v>
      </c>
      <c r="F905" s="687">
        <f t="shared" si="14"/>
        <v>142500</v>
      </c>
    </row>
    <row r="906" spans="1:6">
      <c r="A906" s="685"/>
      <c r="B906" s="686">
        <v>3394</v>
      </c>
      <c r="C906" s="687">
        <v>975580</v>
      </c>
      <c r="D906" s="688" t="s">
        <v>68</v>
      </c>
      <c r="E906" s="689">
        <v>0.01</v>
      </c>
      <c r="F906" s="687">
        <f t="shared" si="14"/>
        <v>9755.8000000000011</v>
      </c>
    </row>
    <row r="907" spans="1:6">
      <c r="A907" s="685"/>
      <c r="B907" s="686">
        <v>3347</v>
      </c>
      <c r="C907" s="687">
        <v>800000</v>
      </c>
      <c r="D907" s="688" t="s">
        <v>68</v>
      </c>
      <c r="E907" s="689">
        <v>0.01</v>
      </c>
      <c r="F907" s="687">
        <f t="shared" si="14"/>
        <v>8000</v>
      </c>
    </row>
    <row r="908" spans="1:6">
      <c r="A908" s="685"/>
      <c r="B908" s="686">
        <v>3271</v>
      </c>
      <c r="C908" s="687">
        <v>217317</v>
      </c>
      <c r="D908" s="688" t="s">
        <v>68</v>
      </c>
      <c r="E908" s="689">
        <v>0.01</v>
      </c>
      <c r="F908" s="687">
        <f t="shared" si="14"/>
        <v>2173.17</v>
      </c>
    </row>
    <row r="909" spans="1:6">
      <c r="A909" s="685"/>
      <c r="B909" s="686">
        <v>3268</v>
      </c>
      <c r="C909" s="687">
        <v>742784</v>
      </c>
      <c r="D909" s="688" t="s">
        <v>68</v>
      </c>
      <c r="E909" s="689">
        <v>0.01</v>
      </c>
      <c r="F909" s="687">
        <f t="shared" si="14"/>
        <v>7427.84</v>
      </c>
    </row>
    <row r="910" spans="1:6">
      <c r="A910" s="685"/>
      <c r="B910" s="686">
        <v>3264</v>
      </c>
      <c r="C910" s="687">
        <v>493983</v>
      </c>
      <c r="D910" s="688" t="s">
        <v>68</v>
      </c>
      <c r="E910" s="689">
        <v>0.01</v>
      </c>
      <c r="F910" s="687">
        <f t="shared" si="14"/>
        <v>4939.83</v>
      </c>
    </row>
    <row r="911" spans="1:6">
      <c r="A911" s="685"/>
      <c r="B911" s="686">
        <v>3261</v>
      </c>
      <c r="C911" s="687">
        <v>779972</v>
      </c>
      <c r="D911" s="688" t="s">
        <v>68</v>
      </c>
      <c r="E911" s="689">
        <v>0.01</v>
      </c>
      <c r="F911" s="687">
        <f t="shared" si="14"/>
        <v>7799.72</v>
      </c>
    </row>
    <row r="912" spans="1:6">
      <c r="A912" s="685"/>
      <c r="B912" s="686">
        <v>3320</v>
      </c>
      <c r="C912" s="687">
        <v>211703</v>
      </c>
      <c r="D912" s="688" t="s">
        <v>68</v>
      </c>
      <c r="E912" s="689">
        <v>0.01</v>
      </c>
      <c r="F912" s="687">
        <f t="shared" si="14"/>
        <v>2117.0300000000002</v>
      </c>
    </row>
    <row r="913" spans="1:6">
      <c r="A913" s="685"/>
      <c r="B913" s="686">
        <v>3256</v>
      </c>
      <c r="C913" s="687">
        <v>649977</v>
      </c>
      <c r="D913" s="688" t="s">
        <v>68</v>
      </c>
      <c r="E913" s="689">
        <v>0.01</v>
      </c>
      <c r="F913" s="687">
        <f t="shared" si="14"/>
        <v>6499.77</v>
      </c>
    </row>
    <row r="914" spans="1:6">
      <c r="A914" s="685"/>
      <c r="B914" s="686">
        <v>3255</v>
      </c>
      <c r="C914" s="687">
        <v>332175</v>
      </c>
      <c r="D914" s="688" t="s">
        <v>68</v>
      </c>
      <c r="E914" s="689">
        <v>0.01</v>
      </c>
      <c r="F914" s="687">
        <f t="shared" si="14"/>
        <v>3321.75</v>
      </c>
    </row>
    <row r="915" spans="1:6">
      <c r="A915" s="685"/>
      <c r="B915" s="686">
        <v>3253</v>
      </c>
      <c r="C915" s="687">
        <v>18602</v>
      </c>
      <c r="D915" s="688" t="s">
        <v>68</v>
      </c>
      <c r="E915" s="689">
        <v>0.01</v>
      </c>
      <c r="F915" s="687">
        <f t="shared" si="14"/>
        <v>186.02</v>
      </c>
    </row>
    <row r="916" spans="1:6">
      <c r="A916" s="685"/>
      <c r="B916" s="686">
        <v>3252</v>
      </c>
      <c r="C916" s="687">
        <v>649977</v>
      </c>
      <c r="D916" s="688" t="s">
        <v>68</v>
      </c>
      <c r="E916" s="689">
        <v>0.01</v>
      </c>
      <c r="F916" s="687">
        <f t="shared" si="14"/>
        <v>6499.77</v>
      </c>
    </row>
    <row r="917" spans="1:6">
      <c r="A917" s="685"/>
      <c r="B917" s="686">
        <v>3252</v>
      </c>
      <c r="C917" s="687">
        <v>92807</v>
      </c>
      <c r="D917" s="688" t="s">
        <v>68</v>
      </c>
      <c r="E917" s="689">
        <v>0.01</v>
      </c>
      <c r="F917" s="687">
        <f t="shared" si="14"/>
        <v>928.07</v>
      </c>
    </row>
    <row r="918" spans="1:6">
      <c r="A918" s="685"/>
      <c r="B918" s="686">
        <v>3250</v>
      </c>
      <c r="C918" s="687">
        <v>419224</v>
      </c>
      <c r="D918" s="688" t="s">
        <v>68</v>
      </c>
      <c r="E918" s="689">
        <v>0.01</v>
      </c>
      <c r="F918" s="687">
        <f t="shared" si="14"/>
        <v>4192.24</v>
      </c>
    </row>
    <row r="919" spans="1:6">
      <c r="A919" s="685"/>
      <c r="B919" s="686">
        <v>3246</v>
      </c>
      <c r="C919" s="687">
        <v>70317</v>
      </c>
      <c r="D919" s="688" t="s">
        <v>68</v>
      </c>
      <c r="E919" s="689">
        <v>0.01</v>
      </c>
      <c r="F919" s="687">
        <f t="shared" si="14"/>
        <v>703.17</v>
      </c>
    </row>
    <row r="920" spans="1:6">
      <c r="A920" s="685"/>
      <c r="B920" s="686">
        <v>3242</v>
      </c>
      <c r="C920" s="687">
        <v>649977</v>
      </c>
      <c r="D920" s="688" t="s">
        <v>68</v>
      </c>
      <c r="E920" s="689">
        <v>0.01</v>
      </c>
      <c r="F920" s="687">
        <f t="shared" si="14"/>
        <v>6499.77</v>
      </c>
    </row>
    <row r="921" spans="1:6">
      <c r="A921" s="685"/>
      <c r="B921" s="686">
        <v>3234</v>
      </c>
      <c r="C921" s="687">
        <v>441861</v>
      </c>
      <c r="D921" s="688" t="s">
        <v>68</v>
      </c>
      <c r="E921" s="689">
        <v>0.01</v>
      </c>
      <c r="F921" s="687">
        <f t="shared" si="14"/>
        <v>4418.6099999999997</v>
      </c>
    </row>
    <row r="922" spans="1:6">
      <c r="A922" s="685"/>
      <c r="B922" s="686">
        <v>3228</v>
      </c>
      <c r="C922" s="687">
        <v>115722</v>
      </c>
      <c r="D922" s="688" t="s">
        <v>68</v>
      </c>
      <c r="E922" s="689">
        <v>0.01</v>
      </c>
      <c r="F922" s="687">
        <f t="shared" si="14"/>
        <v>1157.22</v>
      </c>
    </row>
    <row r="923" spans="1:6">
      <c r="A923" s="685"/>
      <c r="B923" s="686">
        <v>3224</v>
      </c>
      <c r="C923" s="687">
        <v>770820</v>
      </c>
      <c r="D923" s="688" t="s">
        <v>68</v>
      </c>
      <c r="E923" s="689">
        <v>0.01</v>
      </c>
      <c r="F923" s="687">
        <f t="shared" si="14"/>
        <v>7708.2</v>
      </c>
    </row>
    <row r="924" spans="1:6">
      <c r="A924" s="685"/>
      <c r="B924" s="686">
        <v>1577</v>
      </c>
      <c r="C924" s="687">
        <v>1546000</v>
      </c>
      <c r="D924" s="688" t="s">
        <v>68</v>
      </c>
      <c r="E924" s="689">
        <v>0.01</v>
      </c>
      <c r="F924" s="687">
        <f t="shared" si="14"/>
        <v>15460</v>
      </c>
    </row>
    <row r="925" spans="1:6">
      <c r="A925" s="685"/>
      <c r="B925" s="686">
        <v>1563</v>
      </c>
      <c r="C925" s="687">
        <v>537400</v>
      </c>
      <c r="D925" s="688" t="s">
        <v>68</v>
      </c>
      <c r="E925" s="689">
        <v>0.01</v>
      </c>
      <c r="F925" s="687">
        <f t="shared" si="14"/>
        <v>5374</v>
      </c>
    </row>
    <row r="926" spans="1:6">
      <c r="A926" s="685"/>
      <c r="B926" s="686">
        <v>1553</v>
      </c>
      <c r="C926" s="687">
        <v>2562500</v>
      </c>
      <c r="D926" s="688" t="s">
        <v>68</v>
      </c>
      <c r="E926" s="689">
        <v>0.01</v>
      </c>
      <c r="F926" s="687">
        <f t="shared" si="14"/>
        <v>25625</v>
      </c>
    </row>
    <row r="927" spans="1:6">
      <c r="A927" s="685"/>
      <c r="B927" s="686">
        <v>1523</v>
      </c>
      <c r="C927" s="687">
        <v>11670000</v>
      </c>
      <c r="D927" s="688" t="s">
        <v>68</v>
      </c>
      <c r="E927" s="689">
        <v>0.01</v>
      </c>
      <c r="F927" s="687">
        <f t="shared" si="14"/>
        <v>116700</v>
      </c>
    </row>
    <row r="928" spans="1:6">
      <c r="A928" s="685"/>
      <c r="B928" s="686">
        <v>1544</v>
      </c>
      <c r="C928" s="687">
        <v>4612500</v>
      </c>
      <c r="D928" s="688" t="s">
        <v>68</v>
      </c>
      <c r="E928" s="689">
        <v>0.01</v>
      </c>
      <c r="F928" s="687">
        <f t="shared" si="14"/>
        <v>46125</v>
      </c>
    </row>
    <row r="929" spans="1:6">
      <c r="A929" s="685"/>
      <c r="B929" s="686">
        <v>1514</v>
      </c>
      <c r="C929" s="687">
        <v>13734000</v>
      </c>
      <c r="D929" s="688" t="s">
        <v>68</v>
      </c>
      <c r="E929" s="689">
        <v>0.01</v>
      </c>
      <c r="F929" s="687">
        <f t="shared" si="14"/>
        <v>137340</v>
      </c>
    </row>
    <row r="930" spans="1:6">
      <c r="A930" s="685"/>
      <c r="B930" s="686">
        <v>1505</v>
      </c>
      <c r="C930" s="687">
        <v>2047500</v>
      </c>
      <c r="D930" s="688" t="s">
        <v>68</v>
      </c>
      <c r="E930" s="689">
        <v>0.01</v>
      </c>
      <c r="F930" s="687">
        <f t="shared" si="14"/>
        <v>20475</v>
      </c>
    </row>
    <row r="931" spans="1:6">
      <c r="A931" s="685"/>
      <c r="B931" s="686">
        <v>612</v>
      </c>
      <c r="C931" s="687">
        <v>17000</v>
      </c>
      <c r="D931" s="688" t="s">
        <v>68</v>
      </c>
      <c r="E931" s="689">
        <v>0.1</v>
      </c>
      <c r="F931" s="687">
        <f t="shared" si="14"/>
        <v>1700</v>
      </c>
    </row>
    <row r="932" spans="1:6">
      <c r="A932" s="685"/>
      <c r="B932" s="686">
        <v>1740</v>
      </c>
      <c r="C932" s="687">
        <v>999720</v>
      </c>
      <c r="D932" s="688" t="s">
        <v>68</v>
      </c>
      <c r="E932" s="689">
        <v>0.01</v>
      </c>
      <c r="F932" s="687">
        <f t="shared" si="14"/>
        <v>9997.2000000000007</v>
      </c>
    </row>
    <row r="933" spans="1:6">
      <c r="A933" s="685"/>
      <c r="B933" s="686">
        <v>910</v>
      </c>
      <c r="C933" s="687">
        <v>78200</v>
      </c>
      <c r="D933" s="688" t="s">
        <v>68</v>
      </c>
      <c r="E933" s="689">
        <v>0.05</v>
      </c>
      <c r="F933" s="687">
        <f t="shared" si="14"/>
        <v>3910</v>
      </c>
    </row>
    <row r="934" spans="1:6">
      <c r="A934" s="685"/>
      <c r="B934" s="686">
        <v>1697</v>
      </c>
      <c r="C934" s="687">
        <v>968550</v>
      </c>
      <c r="D934" s="688" t="s">
        <v>68</v>
      </c>
      <c r="E934" s="689">
        <v>0.01</v>
      </c>
      <c r="F934" s="687">
        <f t="shared" si="14"/>
        <v>9685.5</v>
      </c>
    </row>
    <row r="935" spans="1:6">
      <c r="A935" s="685"/>
      <c r="B935" s="686">
        <v>2041</v>
      </c>
      <c r="C935" s="687">
        <v>1520000</v>
      </c>
      <c r="D935" s="688" t="s">
        <v>68</v>
      </c>
      <c r="E935" s="689">
        <v>0.01</v>
      </c>
      <c r="F935" s="687">
        <f t="shared" si="14"/>
        <v>15200</v>
      </c>
    </row>
    <row r="936" spans="1:6">
      <c r="A936" s="685"/>
      <c r="B936" s="686">
        <v>900</v>
      </c>
      <c r="C936" s="687">
        <v>751550</v>
      </c>
      <c r="D936" s="688" t="s">
        <v>68</v>
      </c>
      <c r="E936" s="689">
        <v>0.05</v>
      </c>
      <c r="F936" s="687">
        <f t="shared" si="14"/>
        <v>37577.5</v>
      </c>
    </row>
    <row r="937" spans="1:6">
      <c r="A937" s="685"/>
      <c r="B937" s="686">
        <v>836</v>
      </c>
      <c r="C937" s="687">
        <v>23850</v>
      </c>
      <c r="D937" s="688" t="s">
        <v>68</v>
      </c>
      <c r="E937" s="689">
        <v>0.05</v>
      </c>
      <c r="F937" s="687">
        <f t="shared" si="14"/>
        <v>1192.5</v>
      </c>
    </row>
    <row r="938" spans="1:6">
      <c r="A938" s="685"/>
      <c r="B938" s="686">
        <v>836</v>
      </c>
      <c r="C938" s="687">
        <v>313500</v>
      </c>
      <c r="D938" s="688" t="s">
        <v>68</v>
      </c>
      <c r="E938" s="689">
        <v>0.05</v>
      </c>
      <c r="F938" s="687">
        <f t="shared" si="14"/>
        <v>15675</v>
      </c>
    </row>
    <row r="939" spans="1:6">
      <c r="A939" s="685"/>
      <c r="B939" s="686">
        <v>3002</v>
      </c>
      <c r="C939" s="687">
        <v>1398925</v>
      </c>
      <c r="D939" s="688" t="s">
        <v>68</v>
      </c>
      <c r="E939" s="689">
        <v>0.01</v>
      </c>
      <c r="F939" s="687">
        <f t="shared" si="14"/>
        <v>13989.25</v>
      </c>
    </row>
    <row r="940" spans="1:6">
      <c r="A940" s="685"/>
      <c r="B940" s="686">
        <v>2987</v>
      </c>
      <c r="C940" s="687">
        <v>776379</v>
      </c>
      <c r="D940" s="688" t="s">
        <v>68</v>
      </c>
      <c r="E940" s="689">
        <v>0.01</v>
      </c>
      <c r="F940" s="687">
        <f t="shared" si="14"/>
        <v>7763.79</v>
      </c>
    </row>
    <row r="941" spans="1:6">
      <c r="A941" s="685"/>
      <c r="B941" s="686">
        <v>2985</v>
      </c>
      <c r="C941" s="687">
        <v>58515</v>
      </c>
      <c r="D941" s="688" t="s">
        <v>68</v>
      </c>
      <c r="E941" s="689">
        <v>0.01</v>
      </c>
      <c r="F941" s="687">
        <f t="shared" si="14"/>
        <v>585.15</v>
      </c>
    </row>
    <row r="942" spans="1:6">
      <c r="A942" s="685"/>
      <c r="B942" s="686">
        <v>2985</v>
      </c>
      <c r="C942" s="687">
        <v>373288</v>
      </c>
      <c r="D942" s="688" t="s">
        <v>68</v>
      </c>
      <c r="E942" s="689">
        <v>0.01</v>
      </c>
      <c r="F942" s="687">
        <f t="shared" si="14"/>
        <v>3732.88</v>
      </c>
    </row>
    <row r="943" spans="1:6">
      <c r="A943" s="685"/>
      <c r="B943" s="686">
        <v>2983</v>
      </c>
      <c r="C943" s="687">
        <v>110453</v>
      </c>
      <c r="D943" s="688" t="s">
        <v>68</v>
      </c>
      <c r="E943" s="689">
        <v>0.01</v>
      </c>
      <c r="F943" s="687">
        <f t="shared" si="14"/>
        <v>1104.53</v>
      </c>
    </row>
    <row r="944" spans="1:6">
      <c r="A944" s="685"/>
      <c r="B944" s="686">
        <v>2982</v>
      </c>
      <c r="C944" s="687">
        <v>5711765</v>
      </c>
      <c r="D944" s="688" t="s">
        <v>68</v>
      </c>
      <c r="E944" s="689">
        <v>0.01</v>
      </c>
      <c r="F944" s="687">
        <f t="shared" si="14"/>
        <v>57117.65</v>
      </c>
    </row>
    <row r="945" spans="1:6">
      <c r="A945" s="685"/>
      <c r="B945" s="686">
        <v>2982</v>
      </c>
      <c r="C945" s="687">
        <v>546205</v>
      </c>
      <c r="D945" s="688" t="s">
        <v>68</v>
      </c>
      <c r="E945" s="689">
        <v>0.01</v>
      </c>
      <c r="F945" s="687">
        <f t="shared" si="14"/>
        <v>5462.05</v>
      </c>
    </row>
    <row r="946" spans="1:6">
      <c r="A946" s="685"/>
      <c r="B946" s="686">
        <v>2981</v>
      </c>
      <c r="C946" s="687">
        <v>636714</v>
      </c>
      <c r="D946" s="688" t="s">
        <v>68</v>
      </c>
      <c r="E946" s="689">
        <v>0.01</v>
      </c>
      <c r="F946" s="687">
        <f t="shared" si="14"/>
        <v>6367.14</v>
      </c>
    </row>
    <row r="947" spans="1:6">
      <c r="A947" s="685"/>
      <c r="B947" s="686">
        <v>2979</v>
      </c>
      <c r="C947" s="687">
        <v>78066</v>
      </c>
      <c r="D947" s="688" t="s">
        <v>68</v>
      </c>
      <c r="E947" s="689">
        <v>0.01</v>
      </c>
      <c r="F947" s="687">
        <f t="shared" si="14"/>
        <v>780.66</v>
      </c>
    </row>
    <row r="948" spans="1:6">
      <c r="A948" s="685"/>
      <c r="B948" s="686">
        <v>2979</v>
      </c>
      <c r="C948" s="687">
        <v>7404139</v>
      </c>
      <c r="D948" s="688" t="s">
        <v>68</v>
      </c>
      <c r="E948" s="689">
        <v>0.01</v>
      </c>
      <c r="F948" s="687">
        <f t="shared" si="14"/>
        <v>74041.39</v>
      </c>
    </row>
    <row r="949" spans="1:6">
      <c r="A949" s="685"/>
      <c r="B949" s="686">
        <v>2979</v>
      </c>
      <c r="C949" s="687">
        <v>152960</v>
      </c>
      <c r="D949" s="688" t="s">
        <v>68</v>
      </c>
      <c r="E949" s="689">
        <v>0.01</v>
      </c>
      <c r="F949" s="687">
        <f t="shared" si="14"/>
        <v>1529.6000000000001</v>
      </c>
    </row>
    <row r="950" spans="1:6">
      <c r="A950" s="685"/>
      <c r="B950" s="686">
        <v>2978</v>
      </c>
      <c r="C950" s="687">
        <v>35459</v>
      </c>
      <c r="D950" s="688" t="s">
        <v>68</v>
      </c>
      <c r="E950" s="689">
        <v>0.01</v>
      </c>
      <c r="F950" s="687">
        <f t="shared" si="14"/>
        <v>354.59000000000003</v>
      </c>
    </row>
    <row r="951" spans="1:6">
      <c r="A951" s="685"/>
      <c r="B951" s="686">
        <v>2977</v>
      </c>
      <c r="C951" s="687">
        <v>134420</v>
      </c>
      <c r="D951" s="688" t="s">
        <v>68</v>
      </c>
      <c r="E951" s="689">
        <v>0.01</v>
      </c>
      <c r="F951" s="687">
        <f t="shared" si="14"/>
        <v>1344.2</v>
      </c>
    </row>
    <row r="952" spans="1:6">
      <c r="A952" s="685"/>
      <c r="B952" s="686">
        <v>2974</v>
      </c>
      <c r="C952" s="687">
        <v>201586</v>
      </c>
      <c r="D952" s="688" t="s">
        <v>68</v>
      </c>
      <c r="E952" s="689">
        <v>0.01</v>
      </c>
      <c r="F952" s="687">
        <f t="shared" si="14"/>
        <v>2015.8600000000001</v>
      </c>
    </row>
    <row r="953" spans="1:6">
      <c r="A953" s="685"/>
      <c r="B953" s="686">
        <v>2972</v>
      </c>
      <c r="C953" s="687">
        <v>20579</v>
      </c>
      <c r="D953" s="688" t="s">
        <v>68</v>
      </c>
      <c r="E953" s="689">
        <v>0.01</v>
      </c>
      <c r="F953" s="687">
        <f t="shared" si="14"/>
        <v>205.79</v>
      </c>
    </row>
    <row r="954" spans="1:6">
      <c r="A954" s="685"/>
      <c r="B954" s="686">
        <v>2972</v>
      </c>
      <c r="C954" s="687">
        <v>61737</v>
      </c>
      <c r="D954" s="688" t="s">
        <v>68</v>
      </c>
      <c r="E954" s="689">
        <v>0.01</v>
      </c>
      <c r="F954" s="687">
        <f t="shared" si="14"/>
        <v>617.37</v>
      </c>
    </row>
    <row r="955" spans="1:6">
      <c r="A955" s="685"/>
      <c r="B955" s="686">
        <v>2961</v>
      </c>
      <c r="C955" s="687">
        <v>127120</v>
      </c>
      <c r="D955" s="688" t="s">
        <v>68</v>
      </c>
      <c r="E955" s="689">
        <v>0.01</v>
      </c>
      <c r="F955" s="687">
        <f t="shared" si="14"/>
        <v>1271.2</v>
      </c>
    </row>
    <row r="956" spans="1:6">
      <c r="A956" s="685"/>
      <c r="B956" s="686">
        <v>2958</v>
      </c>
      <c r="C956" s="687">
        <v>918100</v>
      </c>
      <c r="D956" s="688" t="s">
        <v>68</v>
      </c>
      <c r="E956" s="689">
        <v>0.01</v>
      </c>
      <c r="F956" s="687">
        <f t="shared" si="14"/>
        <v>9181</v>
      </c>
    </row>
    <row r="957" spans="1:6">
      <c r="A957" s="685"/>
      <c r="B957" s="686">
        <v>2938</v>
      </c>
      <c r="C957" s="687">
        <v>131567</v>
      </c>
      <c r="D957" s="688" t="s">
        <v>68</v>
      </c>
      <c r="E957" s="689">
        <v>0.01</v>
      </c>
      <c r="F957" s="687">
        <f t="shared" si="14"/>
        <v>1315.67</v>
      </c>
    </row>
    <row r="958" spans="1:6">
      <c r="A958" s="685"/>
      <c r="B958" s="686">
        <v>2938</v>
      </c>
      <c r="C958" s="687">
        <v>111537</v>
      </c>
      <c r="D958" s="688" t="s">
        <v>68</v>
      </c>
      <c r="E958" s="689">
        <v>0.01</v>
      </c>
      <c r="F958" s="687">
        <f t="shared" si="14"/>
        <v>1115.3700000000001</v>
      </c>
    </row>
    <row r="959" spans="1:6">
      <c r="A959" s="685"/>
      <c r="B959" s="686">
        <v>2966</v>
      </c>
      <c r="C959" s="687">
        <v>274886</v>
      </c>
      <c r="D959" s="688" t="s">
        <v>68</v>
      </c>
      <c r="E959" s="689">
        <v>0.01</v>
      </c>
      <c r="F959" s="687">
        <f t="shared" si="14"/>
        <v>2748.86</v>
      </c>
    </row>
    <row r="960" spans="1:6">
      <c r="A960" s="685"/>
      <c r="B960" s="686">
        <v>589</v>
      </c>
      <c r="C960" s="687">
        <v>756000</v>
      </c>
      <c r="D960" s="688" t="s">
        <v>68</v>
      </c>
      <c r="E960" s="689">
        <v>0.1</v>
      </c>
      <c r="F960" s="687">
        <f t="shared" si="14"/>
        <v>75600</v>
      </c>
    </row>
    <row r="961" spans="1:6">
      <c r="A961" s="685"/>
      <c r="B961" s="686">
        <v>1519</v>
      </c>
      <c r="C961" s="687">
        <v>984437</v>
      </c>
      <c r="D961" s="688" t="s">
        <v>68</v>
      </c>
      <c r="E961" s="689">
        <v>0.01</v>
      </c>
      <c r="F961" s="687">
        <f t="shared" si="14"/>
        <v>9844.3700000000008</v>
      </c>
    </row>
    <row r="962" spans="1:6">
      <c r="A962" s="685"/>
      <c r="B962" s="686">
        <v>1756</v>
      </c>
      <c r="C962" s="687">
        <v>1460000</v>
      </c>
      <c r="D962" s="688" t="s">
        <v>68</v>
      </c>
      <c r="E962" s="689">
        <v>0.01</v>
      </c>
      <c r="F962" s="687">
        <f t="shared" si="14"/>
        <v>14600</v>
      </c>
    </row>
    <row r="963" spans="1:6">
      <c r="A963" s="685"/>
      <c r="B963" s="686">
        <v>1756</v>
      </c>
      <c r="C963" s="687">
        <v>434800</v>
      </c>
      <c r="D963" s="688" t="s">
        <v>68</v>
      </c>
      <c r="E963" s="689">
        <v>0.01</v>
      </c>
      <c r="F963" s="687">
        <f t="shared" ref="F963:F1026" si="15">+C963*E963</f>
        <v>4348</v>
      </c>
    </row>
    <row r="964" spans="1:6">
      <c r="A964" s="685"/>
      <c r="B964" s="686">
        <v>1595</v>
      </c>
      <c r="C964" s="687">
        <v>77100</v>
      </c>
      <c r="D964" s="688" t="s">
        <v>68</v>
      </c>
      <c r="E964" s="689">
        <v>0.01</v>
      </c>
      <c r="F964" s="687">
        <f t="shared" si="15"/>
        <v>771</v>
      </c>
    </row>
    <row r="965" spans="1:6">
      <c r="A965" s="685"/>
      <c r="B965" s="686">
        <v>659</v>
      </c>
      <c r="C965" s="687">
        <v>724000</v>
      </c>
      <c r="D965" s="688" t="s">
        <v>68</v>
      </c>
      <c r="E965" s="689">
        <v>0.1</v>
      </c>
      <c r="F965" s="687">
        <f t="shared" si="15"/>
        <v>72400</v>
      </c>
    </row>
    <row r="966" spans="1:6">
      <c r="A966" s="685"/>
      <c r="B966" s="686">
        <v>1588</v>
      </c>
      <c r="C966" s="687">
        <v>29640</v>
      </c>
      <c r="D966" s="688" t="s">
        <v>68</v>
      </c>
      <c r="E966" s="689">
        <v>0.01</v>
      </c>
      <c r="F966" s="687">
        <f t="shared" si="15"/>
        <v>296.40000000000003</v>
      </c>
    </row>
    <row r="967" spans="1:6">
      <c r="A967" s="685"/>
      <c r="B967" s="686">
        <v>1498</v>
      </c>
      <c r="C967" s="687">
        <v>1189700</v>
      </c>
      <c r="D967" s="688" t="s">
        <v>68</v>
      </c>
      <c r="E967" s="689">
        <v>0.01</v>
      </c>
      <c r="F967" s="687">
        <f t="shared" si="15"/>
        <v>11897</v>
      </c>
    </row>
    <row r="968" spans="1:6">
      <c r="A968" s="685"/>
      <c r="B968" s="686">
        <v>1580</v>
      </c>
      <c r="C968" s="687">
        <v>21400</v>
      </c>
      <c r="D968" s="688" t="s">
        <v>68</v>
      </c>
      <c r="E968" s="689">
        <v>0.01</v>
      </c>
      <c r="F968" s="687">
        <f t="shared" si="15"/>
        <v>214</v>
      </c>
    </row>
    <row r="969" spans="1:6">
      <c r="A969" s="685"/>
      <c r="B969" s="686">
        <v>1538</v>
      </c>
      <c r="C969" s="687">
        <v>18250</v>
      </c>
      <c r="D969" s="688" t="s">
        <v>68</v>
      </c>
      <c r="E969" s="689">
        <v>0.01</v>
      </c>
      <c r="F969" s="687">
        <f t="shared" si="15"/>
        <v>182.5</v>
      </c>
    </row>
    <row r="970" spans="1:6">
      <c r="A970" s="685"/>
      <c r="B970" s="686">
        <v>1538</v>
      </c>
      <c r="C970" s="687">
        <v>13840</v>
      </c>
      <c r="D970" s="688" t="s">
        <v>68</v>
      </c>
      <c r="E970" s="689">
        <v>0.01</v>
      </c>
      <c r="F970" s="687">
        <f t="shared" si="15"/>
        <v>138.4</v>
      </c>
    </row>
    <row r="971" spans="1:6">
      <c r="A971" s="685"/>
      <c r="B971" s="686">
        <v>1532</v>
      </c>
      <c r="C971" s="687">
        <v>34850</v>
      </c>
      <c r="D971" s="688" t="s">
        <v>68</v>
      </c>
      <c r="E971" s="689">
        <v>0.01</v>
      </c>
      <c r="F971" s="687">
        <f t="shared" si="15"/>
        <v>348.5</v>
      </c>
    </row>
    <row r="972" spans="1:6">
      <c r="A972" s="685"/>
      <c r="B972" s="686">
        <v>1532</v>
      </c>
      <c r="C972" s="687">
        <v>272300</v>
      </c>
      <c r="D972" s="688" t="s">
        <v>68</v>
      </c>
      <c r="E972" s="689">
        <v>0.01</v>
      </c>
      <c r="F972" s="687">
        <f t="shared" si="15"/>
        <v>2723</v>
      </c>
    </row>
    <row r="973" spans="1:6">
      <c r="A973" s="685"/>
      <c r="B973" s="686">
        <v>1532</v>
      </c>
      <c r="C973" s="687">
        <v>68940</v>
      </c>
      <c r="D973" s="688" t="s">
        <v>68</v>
      </c>
      <c r="E973" s="689">
        <v>0.01</v>
      </c>
      <c r="F973" s="687">
        <f t="shared" si="15"/>
        <v>689.4</v>
      </c>
    </row>
    <row r="974" spans="1:6">
      <c r="A974" s="685"/>
      <c r="B974" s="686">
        <v>1531</v>
      </c>
      <c r="C974" s="687">
        <v>36090</v>
      </c>
      <c r="D974" s="688" t="s">
        <v>68</v>
      </c>
      <c r="E974" s="689">
        <v>0.01</v>
      </c>
      <c r="F974" s="687">
        <f t="shared" si="15"/>
        <v>360.90000000000003</v>
      </c>
    </row>
    <row r="975" spans="1:6">
      <c r="A975" s="685"/>
      <c r="B975" s="686">
        <v>1527</v>
      </c>
      <c r="C975" s="687">
        <v>2778000</v>
      </c>
      <c r="D975" s="688" t="s">
        <v>68</v>
      </c>
      <c r="E975" s="689">
        <v>0.01</v>
      </c>
      <c r="F975" s="687">
        <f t="shared" si="15"/>
        <v>27780</v>
      </c>
    </row>
    <row r="976" spans="1:6">
      <c r="A976" s="685"/>
      <c r="B976" s="686">
        <v>1588</v>
      </c>
      <c r="C976" s="687">
        <v>77100</v>
      </c>
      <c r="D976" s="688" t="s">
        <v>68</v>
      </c>
      <c r="E976" s="689">
        <v>0.01</v>
      </c>
      <c r="F976" s="687">
        <f t="shared" si="15"/>
        <v>771</v>
      </c>
    </row>
    <row r="977" spans="1:6">
      <c r="A977" s="685"/>
      <c r="B977" s="686">
        <v>689</v>
      </c>
      <c r="C977" s="687">
        <v>1800000</v>
      </c>
      <c r="D977" s="688" t="s">
        <v>68</v>
      </c>
      <c r="E977" s="689">
        <v>0.1</v>
      </c>
      <c r="F977" s="687">
        <f t="shared" si="15"/>
        <v>180000</v>
      </c>
    </row>
    <row r="978" spans="1:6">
      <c r="A978" s="685"/>
      <c r="B978" s="686">
        <v>1649</v>
      </c>
      <c r="C978" s="687">
        <v>1000000</v>
      </c>
      <c r="D978" s="688" t="s">
        <v>68</v>
      </c>
      <c r="E978" s="689">
        <v>0.01</v>
      </c>
      <c r="F978" s="687">
        <f t="shared" si="15"/>
        <v>10000</v>
      </c>
    </row>
    <row r="979" spans="1:6">
      <c r="A979" s="685"/>
      <c r="B979" s="686">
        <v>601</v>
      </c>
      <c r="C979" s="687">
        <v>34000</v>
      </c>
      <c r="D979" s="688" t="s">
        <v>68</v>
      </c>
      <c r="E979" s="689">
        <v>0.1</v>
      </c>
      <c r="F979" s="687">
        <f t="shared" si="15"/>
        <v>3400</v>
      </c>
    </row>
    <row r="980" spans="1:6">
      <c r="A980" s="685"/>
      <c r="B980" s="686">
        <v>2423</v>
      </c>
      <c r="C980" s="687">
        <v>1586830</v>
      </c>
      <c r="D980" s="688" t="s">
        <v>68</v>
      </c>
      <c r="E980" s="689">
        <v>0.01</v>
      </c>
      <c r="F980" s="687">
        <f t="shared" si="15"/>
        <v>15868.300000000001</v>
      </c>
    </row>
    <row r="981" spans="1:6">
      <c r="A981" s="685"/>
      <c r="B981" s="686">
        <v>678</v>
      </c>
      <c r="C981" s="687">
        <v>168075</v>
      </c>
      <c r="D981" s="688" t="s">
        <v>68</v>
      </c>
      <c r="E981" s="689">
        <v>0.1</v>
      </c>
      <c r="F981" s="687">
        <f t="shared" si="15"/>
        <v>16807.5</v>
      </c>
    </row>
    <row r="982" spans="1:6">
      <c r="A982" s="685"/>
      <c r="B982" s="686">
        <v>619</v>
      </c>
      <c r="C982" s="687">
        <v>3417000</v>
      </c>
      <c r="D982" s="688" t="s">
        <v>68</v>
      </c>
      <c r="E982" s="689">
        <v>0.1</v>
      </c>
      <c r="F982" s="687">
        <f t="shared" si="15"/>
        <v>341700</v>
      </c>
    </row>
    <row r="983" spans="1:6">
      <c r="A983" s="685"/>
      <c r="B983" s="686">
        <v>1700</v>
      </c>
      <c r="C983" s="687">
        <v>637200</v>
      </c>
      <c r="D983" s="688" t="s">
        <v>68</v>
      </c>
      <c r="E983" s="689">
        <v>0.01</v>
      </c>
      <c r="F983" s="687">
        <f t="shared" si="15"/>
        <v>6372</v>
      </c>
    </row>
    <row r="984" spans="1:6">
      <c r="A984" s="685"/>
      <c r="B984" s="686">
        <v>1684</v>
      </c>
      <c r="C984" s="687">
        <v>219950</v>
      </c>
      <c r="D984" s="688" t="s">
        <v>68</v>
      </c>
      <c r="E984" s="689">
        <v>0.01</v>
      </c>
      <c r="F984" s="687">
        <f t="shared" si="15"/>
        <v>2199.5</v>
      </c>
    </row>
    <row r="985" spans="1:6">
      <c r="A985" s="685"/>
      <c r="B985" s="686">
        <v>1684</v>
      </c>
      <c r="C985" s="687">
        <v>24500</v>
      </c>
      <c r="D985" s="688" t="s">
        <v>68</v>
      </c>
      <c r="E985" s="689">
        <v>0.01</v>
      </c>
      <c r="F985" s="687">
        <f t="shared" si="15"/>
        <v>245</v>
      </c>
    </row>
    <row r="986" spans="1:6">
      <c r="A986" s="685"/>
      <c r="B986" s="686">
        <v>1667</v>
      </c>
      <c r="C986" s="687">
        <v>66650</v>
      </c>
      <c r="D986" s="688" t="s">
        <v>68</v>
      </c>
      <c r="E986" s="689">
        <v>0.01</v>
      </c>
      <c r="F986" s="687">
        <f t="shared" si="15"/>
        <v>666.5</v>
      </c>
    </row>
    <row r="987" spans="1:6">
      <c r="A987" s="685"/>
      <c r="B987" s="686">
        <v>1638</v>
      </c>
      <c r="C987" s="687">
        <v>24740</v>
      </c>
      <c r="D987" s="688" t="s">
        <v>68</v>
      </c>
      <c r="E987" s="689">
        <v>0.01</v>
      </c>
      <c r="F987" s="687">
        <f t="shared" si="15"/>
        <v>247.4</v>
      </c>
    </row>
    <row r="988" spans="1:6">
      <c r="A988" s="685"/>
      <c r="B988" s="686">
        <v>1593</v>
      </c>
      <c r="C988" s="687">
        <v>48800</v>
      </c>
      <c r="D988" s="688" t="s">
        <v>68</v>
      </c>
      <c r="E988" s="689">
        <v>0.01</v>
      </c>
      <c r="F988" s="687">
        <f t="shared" si="15"/>
        <v>488</v>
      </c>
    </row>
    <row r="989" spans="1:6">
      <c r="A989" s="685"/>
      <c r="B989" s="686">
        <v>1964</v>
      </c>
      <c r="C989" s="687">
        <v>1548598</v>
      </c>
      <c r="D989" s="688" t="s">
        <v>68</v>
      </c>
      <c r="E989" s="689">
        <v>0.01</v>
      </c>
      <c r="F989" s="687">
        <f t="shared" si="15"/>
        <v>15485.98</v>
      </c>
    </row>
    <row r="990" spans="1:6">
      <c r="A990" s="685"/>
      <c r="B990" s="686">
        <v>617</v>
      </c>
      <c r="C990" s="687">
        <v>45150</v>
      </c>
      <c r="D990" s="688" t="s">
        <v>68</v>
      </c>
      <c r="E990" s="689">
        <v>0.1</v>
      </c>
      <c r="F990" s="687">
        <f t="shared" si="15"/>
        <v>4515</v>
      </c>
    </row>
    <row r="991" spans="1:6">
      <c r="A991" s="685"/>
      <c r="B991" s="686">
        <v>2083</v>
      </c>
      <c r="C991" s="687">
        <v>32052</v>
      </c>
      <c r="D991" s="688" t="s">
        <v>68</v>
      </c>
      <c r="E991" s="689">
        <v>0.01</v>
      </c>
      <c r="F991" s="687">
        <f t="shared" si="15"/>
        <v>320.52</v>
      </c>
    </row>
    <row r="992" spans="1:6">
      <c r="A992" s="685"/>
      <c r="B992" s="686">
        <v>2083</v>
      </c>
      <c r="C992" s="687">
        <v>133272</v>
      </c>
      <c r="D992" s="688" t="s">
        <v>68</v>
      </c>
      <c r="E992" s="689">
        <v>0.01</v>
      </c>
      <c r="F992" s="687">
        <f t="shared" si="15"/>
        <v>1332.72</v>
      </c>
    </row>
    <row r="993" spans="1:6">
      <c r="A993" s="685"/>
      <c r="B993" s="686">
        <v>2078</v>
      </c>
      <c r="C993" s="687">
        <v>476167</v>
      </c>
      <c r="D993" s="688" t="s">
        <v>68</v>
      </c>
      <c r="E993" s="689">
        <v>0.01</v>
      </c>
      <c r="F993" s="687">
        <f t="shared" si="15"/>
        <v>4761.67</v>
      </c>
    </row>
    <row r="994" spans="1:6">
      <c r="A994" s="685"/>
      <c r="B994" s="686">
        <v>2076</v>
      </c>
      <c r="C994" s="687">
        <v>879000</v>
      </c>
      <c r="D994" s="688" t="s">
        <v>68</v>
      </c>
      <c r="E994" s="689">
        <v>0.01</v>
      </c>
      <c r="F994" s="687">
        <f t="shared" si="15"/>
        <v>8790</v>
      </c>
    </row>
    <row r="995" spans="1:6">
      <c r="A995" s="685"/>
      <c r="B995" s="686">
        <v>2074</v>
      </c>
      <c r="C995" s="687">
        <v>12030000</v>
      </c>
      <c r="D995" s="688" t="s">
        <v>68</v>
      </c>
      <c r="E995" s="689">
        <v>0.01</v>
      </c>
      <c r="F995" s="687">
        <f t="shared" si="15"/>
        <v>120300</v>
      </c>
    </row>
    <row r="996" spans="1:6">
      <c r="A996" s="685"/>
      <c r="B996" s="686">
        <v>2072</v>
      </c>
      <c r="C996" s="687">
        <v>41742</v>
      </c>
      <c r="D996" s="688" t="s">
        <v>68</v>
      </c>
      <c r="E996" s="689">
        <v>0.01</v>
      </c>
      <c r="F996" s="687">
        <f t="shared" si="15"/>
        <v>417.42</v>
      </c>
    </row>
    <row r="997" spans="1:6">
      <c r="A997" s="685"/>
      <c r="B997" s="686">
        <v>2074</v>
      </c>
      <c r="C997" s="687">
        <v>7526</v>
      </c>
      <c r="D997" s="688" t="s">
        <v>68</v>
      </c>
      <c r="E997" s="689">
        <v>0.01</v>
      </c>
      <c r="F997" s="687">
        <f t="shared" si="15"/>
        <v>75.260000000000005</v>
      </c>
    </row>
    <row r="998" spans="1:6">
      <c r="A998" s="685"/>
      <c r="B998" s="686">
        <v>2073</v>
      </c>
      <c r="C998" s="687">
        <v>238231</v>
      </c>
      <c r="D998" s="688" t="s">
        <v>68</v>
      </c>
      <c r="E998" s="689">
        <v>0.01</v>
      </c>
      <c r="F998" s="687">
        <f t="shared" si="15"/>
        <v>2382.31</v>
      </c>
    </row>
    <row r="999" spans="1:6">
      <c r="A999" s="685"/>
      <c r="B999" s="686">
        <v>2069</v>
      </c>
      <c r="C999" s="687">
        <v>57471</v>
      </c>
      <c r="D999" s="688" t="s">
        <v>68</v>
      </c>
      <c r="E999" s="689">
        <v>0.01</v>
      </c>
      <c r="F999" s="687">
        <f t="shared" si="15"/>
        <v>574.71</v>
      </c>
    </row>
    <row r="1000" spans="1:6">
      <c r="A1000" s="685"/>
      <c r="B1000" s="686">
        <v>2065</v>
      </c>
      <c r="C1000" s="687">
        <v>87543</v>
      </c>
      <c r="D1000" s="688" t="s">
        <v>68</v>
      </c>
      <c r="E1000" s="689">
        <v>0.01</v>
      </c>
      <c r="F1000" s="687">
        <f t="shared" si="15"/>
        <v>875.43000000000006</v>
      </c>
    </row>
    <row r="1001" spans="1:6">
      <c r="A1001" s="685"/>
      <c r="B1001" s="686">
        <v>2060</v>
      </c>
      <c r="C1001" s="687">
        <v>64502</v>
      </c>
      <c r="D1001" s="688" t="s">
        <v>68</v>
      </c>
      <c r="E1001" s="689">
        <v>0.01</v>
      </c>
      <c r="F1001" s="687">
        <f t="shared" si="15"/>
        <v>645.02</v>
      </c>
    </row>
    <row r="1002" spans="1:6">
      <c r="A1002" s="685"/>
      <c r="B1002" s="686">
        <v>2059</v>
      </c>
      <c r="C1002" s="687">
        <v>18484</v>
      </c>
      <c r="D1002" s="688" t="s">
        <v>68</v>
      </c>
      <c r="E1002" s="689">
        <v>0.01</v>
      </c>
      <c r="F1002" s="687">
        <f t="shared" si="15"/>
        <v>184.84</v>
      </c>
    </row>
    <row r="1003" spans="1:6">
      <c r="A1003" s="685"/>
      <c r="B1003" s="686">
        <v>2059</v>
      </c>
      <c r="C1003" s="687">
        <v>443074</v>
      </c>
      <c r="D1003" s="688" t="s">
        <v>68</v>
      </c>
      <c r="E1003" s="689">
        <v>0.01</v>
      </c>
      <c r="F1003" s="687">
        <f t="shared" si="15"/>
        <v>4430.74</v>
      </c>
    </row>
    <row r="1004" spans="1:6">
      <c r="A1004" s="685"/>
      <c r="B1004" s="686">
        <v>2058</v>
      </c>
      <c r="C1004" s="687">
        <v>31290</v>
      </c>
      <c r="D1004" s="688" t="s">
        <v>68</v>
      </c>
      <c r="E1004" s="689">
        <v>0.01</v>
      </c>
      <c r="F1004" s="687">
        <f t="shared" si="15"/>
        <v>312.90000000000003</v>
      </c>
    </row>
    <row r="1005" spans="1:6">
      <c r="A1005" s="685"/>
      <c r="B1005" s="686">
        <v>2057</v>
      </c>
      <c r="C1005" s="687">
        <v>145600</v>
      </c>
      <c r="D1005" s="688" t="s">
        <v>68</v>
      </c>
      <c r="E1005" s="689">
        <v>0.01</v>
      </c>
      <c r="F1005" s="687">
        <f t="shared" si="15"/>
        <v>1456</v>
      </c>
    </row>
    <row r="1006" spans="1:6">
      <c r="A1006" s="685"/>
      <c r="B1006" s="686">
        <v>2055</v>
      </c>
      <c r="C1006" s="687">
        <v>126380</v>
      </c>
      <c r="D1006" s="688" t="s">
        <v>68</v>
      </c>
      <c r="E1006" s="689">
        <v>0.01</v>
      </c>
      <c r="F1006" s="687">
        <f t="shared" si="15"/>
        <v>1263.8</v>
      </c>
    </row>
    <row r="1007" spans="1:6">
      <c r="A1007" s="685"/>
      <c r="B1007" s="686">
        <v>2052</v>
      </c>
      <c r="C1007" s="687">
        <v>41399</v>
      </c>
      <c r="D1007" s="688" t="s">
        <v>68</v>
      </c>
      <c r="E1007" s="689">
        <v>0.01</v>
      </c>
      <c r="F1007" s="687">
        <f t="shared" si="15"/>
        <v>413.99</v>
      </c>
    </row>
    <row r="1008" spans="1:6">
      <c r="A1008" s="685"/>
      <c r="B1008" s="686">
        <v>2051</v>
      </c>
      <c r="C1008" s="687">
        <v>776817</v>
      </c>
      <c r="D1008" s="688" t="s">
        <v>68</v>
      </c>
      <c r="E1008" s="689">
        <v>0.01</v>
      </c>
      <c r="F1008" s="687">
        <f t="shared" si="15"/>
        <v>7768.17</v>
      </c>
    </row>
    <row r="1009" spans="1:6">
      <c r="A1009" s="685"/>
      <c r="B1009" s="686">
        <v>2050</v>
      </c>
      <c r="C1009" s="687">
        <v>33243</v>
      </c>
      <c r="D1009" s="688" t="s">
        <v>68</v>
      </c>
      <c r="E1009" s="689">
        <v>0.01</v>
      </c>
      <c r="F1009" s="687">
        <f t="shared" si="15"/>
        <v>332.43</v>
      </c>
    </row>
    <row r="1010" spans="1:6">
      <c r="A1010" s="685"/>
      <c r="B1010" s="686">
        <v>2053</v>
      </c>
      <c r="C1010" s="687">
        <v>336000</v>
      </c>
      <c r="D1010" s="688" t="s">
        <v>68</v>
      </c>
      <c r="E1010" s="689">
        <v>0.01</v>
      </c>
      <c r="F1010" s="687">
        <f t="shared" si="15"/>
        <v>3360</v>
      </c>
    </row>
    <row r="1011" spans="1:6">
      <c r="A1011" s="685"/>
      <c r="B1011" s="686">
        <v>2048</v>
      </c>
      <c r="C1011" s="687">
        <v>80663</v>
      </c>
      <c r="D1011" s="688" t="s">
        <v>68</v>
      </c>
      <c r="E1011" s="689">
        <v>0.01</v>
      </c>
      <c r="F1011" s="687">
        <f t="shared" si="15"/>
        <v>806.63</v>
      </c>
    </row>
    <row r="1012" spans="1:6">
      <c r="A1012" s="685"/>
      <c r="B1012" s="686">
        <v>2047</v>
      </c>
      <c r="C1012" s="687">
        <v>31290</v>
      </c>
      <c r="D1012" s="688" t="s">
        <v>68</v>
      </c>
      <c r="E1012" s="689">
        <v>0.01</v>
      </c>
      <c r="F1012" s="687">
        <f t="shared" si="15"/>
        <v>312.90000000000003</v>
      </c>
    </row>
    <row r="1013" spans="1:6">
      <c r="A1013" s="685"/>
      <c r="B1013" s="686">
        <v>2044</v>
      </c>
      <c r="C1013" s="687">
        <v>96270</v>
      </c>
      <c r="D1013" s="688" t="s">
        <v>68</v>
      </c>
      <c r="E1013" s="689">
        <v>0.01</v>
      </c>
      <c r="F1013" s="687">
        <f t="shared" si="15"/>
        <v>962.7</v>
      </c>
    </row>
    <row r="1014" spans="1:6">
      <c r="A1014" s="685"/>
      <c r="B1014" s="686">
        <v>2033</v>
      </c>
      <c r="C1014" s="687">
        <v>115994</v>
      </c>
      <c r="D1014" s="688" t="s">
        <v>68</v>
      </c>
      <c r="E1014" s="689">
        <v>0.01</v>
      </c>
      <c r="F1014" s="687">
        <f t="shared" si="15"/>
        <v>1159.94</v>
      </c>
    </row>
    <row r="1015" spans="1:6">
      <c r="A1015" s="685"/>
      <c r="B1015" s="686">
        <v>2018</v>
      </c>
      <c r="C1015" s="687">
        <v>25116</v>
      </c>
      <c r="D1015" s="688" t="s">
        <v>68</v>
      </c>
      <c r="E1015" s="689">
        <v>0.01</v>
      </c>
      <c r="F1015" s="687">
        <f t="shared" si="15"/>
        <v>251.16</v>
      </c>
    </row>
    <row r="1016" spans="1:6">
      <c r="A1016" s="685"/>
      <c r="B1016" s="686">
        <v>1983</v>
      </c>
      <c r="C1016" s="687">
        <v>62383</v>
      </c>
      <c r="D1016" s="688" t="s">
        <v>68</v>
      </c>
      <c r="E1016" s="689">
        <v>0.01</v>
      </c>
      <c r="F1016" s="687">
        <f t="shared" si="15"/>
        <v>623.83000000000004</v>
      </c>
    </row>
    <row r="1017" spans="1:6">
      <c r="A1017" s="685"/>
      <c r="B1017" s="686">
        <v>2155</v>
      </c>
      <c r="C1017" s="687">
        <v>133272</v>
      </c>
      <c r="D1017" s="688" t="s">
        <v>68</v>
      </c>
      <c r="E1017" s="689">
        <v>0.01</v>
      </c>
      <c r="F1017" s="687">
        <f t="shared" si="15"/>
        <v>1332.72</v>
      </c>
    </row>
    <row r="1018" spans="1:6">
      <c r="A1018" s="685"/>
      <c r="B1018" s="686">
        <v>2150</v>
      </c>
      <c r="C1018" s="687">
        <v>7181</v>
      </c>
      <c r="D1018" s="688" t="s">
        <v>68</v>
      </c>
      <c r="E1018" s="689">
        <v>0.01</v>
      </c>
      <c r="F1018" s="687">
        <f t="shared" si="15"/>
        <v>71.81</v>
      </c>
    </row>
    <row r="1019" spans="1:6">
      <c r="A1019" s="685"/>
      <c r="B1019" s="686">
        <v>2148</v>
      </c>
      <c r="C1019" s="687">
        <v>4310</v>
      </c>
      <c r="D1019" s="688" t="s">
        <v>68</v>
      </c>
      <c r="E1019" s="689">
        <v>0.01</v>
      </c>
      <c r="F1019" s="687">
        <f t="shared" si="15"/>
        <v>43.1</v>
      </c>
    </row>
    <row r="1020" spans="1:6">
      <c r="A1020" s="685"/>
      <c r="B1020" s="686">
        <v>2146</v>
      </c>
      <c r="C1020" s="687">
        <v>34743</v>
      </c>
      <c r="D1020" s="688" t="s">
        <v>68</v>
      </c>
      <c r="E1020" s="689">
        <v>0.01</v>
      </c>
      <c r="F1020" s="687">
        <f t="shared" si="15"/>
        <v>347.43</v>
      </c>
    </row>
    <row r="1021" spans="1:6">
      <c r="A1021" s="685"/>
      <c r="B1021" s="686">
        <v>2246</v>
      </c>
      <c r="C1021" s="687">
        <v>209407</v>
      </c>
      <c r="D1021" s="688" t="s">
        <v>68</v>
      </c>
      <c r="E1021" s="689">
        <v>0.01</v>
      </c>
      <c r="F1021" s="687">
        <f t="shared" si="15"/>
        <v>2094.0700000000002</v>
      </c>
    </row>
    <row r="1022" spans="1:6">
      <c r="A1022" s="685"/>
      <c r="B1022" s="686">
        <v>2246</v>
      </c>
      <c r="C1022" s="687">
        <v>179199</v>
      </c>
      <c r="D1022" s="688" t="s">
        <v>68</v>
      </c>
      <c r="E1022" s="689">
        <v>0.01</v>
      </c>
      <c r="F1022" s="687">
        <f t="shared" si="15"/>
        <v>1791.99</v>
      </c>
    </row>
    <row r="1023" spans="1:6">
      <c r="A1023" s="685"/>
      <c r="B1023" s="686">
        <v>2244</v>
      </c>
      <c r="C1023" s="687">
        <v>95122</v>
      </c>
      <c r="D1023" s="688" t="s">
        <v>68</v>
      </c>
      <c r="E1023" s="689">
        <v>0.01</v>
      </c>
      <c r="F1023" s="687">
        <f t="shared" si="15"/>
        <v>951.22</v>
      </c>
    </row>
    <row r="1024" spans="1:6">
      <c r="A1024" s="685"/>
      <c r="B1024" s="686">
        <v>2241</v>
      </c>
      <c r="C1024" s="687">
        <v>127938</v>
      </c>
      <c r="D1024" s="688" t="s">
        <v>68</v>
      </c>
      <c r="E1024" s="689">
        <v>0.01</v>
      </c>
      <c r="F1024" s="687">
        <f t="shared" si="15"/>
        <v>1279.3800000000001</v>
      </c>
    </row>
    <row r="1025" spans="1:6">
      <c r="A1025" s="685"/>
      <c r="B1025" s="686">
        <v>2239</v>
      </c>
      <c r="C1025" s="687">
        <v>316483</v>
      </c>
      <c r="D1025" s="688" t="s">
        <v>68</v>
      </c>
      <c r="E1025" s="689">
        <v>0.01</v>
      </c>
      <c r="F1025" s="687">
        <f t="shared" si="15"/>
        <v>3164.83</v>
      </c>
    </row>
    <row r="1026" spans="1:6">
      <c r="A1026" s="685"/>
      <c r="B1026" s="686">
        <v>2239</v>
      </c>
      <c r="C1026" s="687">
        <v>257399</v>
      </c>
      <c r="D1026" s="688" t="s">
        <v>68</v>
      </c>
      <c r="E1026" s="689">
        <v>0.01</v>
      </c>
      <c r="F1026" s="687">
        <f t="shared" si="15"/>
        <v>2573.9900000000002</v>
      </c>
    </row>
    <row r="1027" spans="1:6">
      <c r="A1027" s="685"/>
      <c r="B1027" s="686">
        <v>2238</v>
      </c>
      <c r="C1027" s="687">
        <v>71597</v>
      </c>
      <c r="D1027" s="688" t="s">
        <v>68</v>
      </c>
      <c r="E1027" s="689">
        <v>0.01</v>
      </c>
      <c r="F1027" s="687">
        <f t="shared" ref="F1027:F1090" si="16">+C1027*E1027</f>
        <v>715.97</v>
      </c>
    </row>
    <row r="1028" spans="1:6">
      <c r="A1028" s="685"/>
      <c r="B1028" s="686">
        <v>2237</v>
      </c>
      <c r="C1028" s="687">
        <v>484654</v>
      </c>
      <c r="D1028" s="688" t="s">
        <v>68</v>
      </c>
      <c r="E1028" s="689">
        <v>0.01</v>
      </c>
      <c r="F1028" s="687">
        <f t="shared" si="16"/>
        <v>4846.54</v>
      </c>
    </row>
    <row r="1029" spans="1:6">
      <c r="A1029" s="685"/>
      <c r="B1029" s="686">
        <v>2234</v>
      </c>
      <c r="C1029" s="687">
        <v>124387</v>
      </c>
      <c r="D1029" s="688" t="s">
        <v>68</v>
      </c>
      <c r="E1029" s="689">
        <v>0.01</v>
      </c>
      <c r="F1029" s="687">
        <f t="shared" si="16"/>
        <v>1243.8700000000001</v>
      </c>
    </row>
    <row r="1030" spans="1:6">
      <c r="A1030" s="685"/>
      <c r="B1030" s="686">
        <v>2234</v>
      </c>
      <c r="C1030" s="687">
        <v>45832</v>
      </c>
      <c r="D1030" s="688" t="s">
        <v>68</v>
      </c>
      <c r="E1030" s="689">
        <v>0.01</v>
      </c>
      <c r="F1030" s="687">
        <f t="shared" si="16"/>
        <v>458.32</v>
      </c>
    </row>
    <row r="1031" spans="1:6">
      <c r="A1031" s="685"/>
      <c r="B1031" s="686">
        <v>2233</v>
      </c>
      <c r="C1031" s="687">
        <v>420184</v>
      </c>
      <c r="D1031" s="688" t="s">
        <v>68</v>
      </c>
      <c r="E1031" s="689">
        <v>0.01</v>
      </c>
      <c r="F1031" s="687">
        <f t="shared" si="16"/>
        <v>4201.84</v>
      </c>
    </row>
    <row r="1032" spans="1:6">
      <c r="A1032" s="685"/>
      <c r="B1032" s="686">
        <v>2232</v>
      </c>
      <c r="C1032" s="687">
        <v>12284</v>
      </c>
      <c r="D1032" s="688" t="s">
        <v>68</v>
      </c>
      <c r="E1032" s="689">
        <v>0.01</v>
      </c>
      <c r="F1032" s="687">
        <f t="shared" si="16"/>
        <v>122.84</v>
      </c>
    </row>
    <row r="1033" spans="1:6">
      <c r="A1033" s="685"/>
      <c r="B1033" s="686">
        <v>2230</v>
      </c>
      <c r="C1033" s="687">
        <v>645522</v>
      </c>
      <c r="D1033" s="688" t="s">
        <v>68</v>
      </c>
      <c r="E1033" s="689">
        <v>0.01</v>
      </c>
      <c r="F1033" s="687">
        <f t="shared" si="16"/>
        <v>6455.22</v>
      </c>
    </row>
    <row r="1034" spans="1:6">
      <c r="A1034" s="685"/>
      <c r="B1034" s="686">
        <v>2230</v>
      </c>
      <c r="C1034" s="687">
        <v>295773</v>
      </c>
      <c r="D1034" s="688" t="s">
        <v>68</v>
      </c>
      <c r="E1034" s="689">
        <v>0.01</v>
      </c>
      <c r="F1034" s="687">
        <f t="shared" si="16"/>
        <v>2957.73</v>
      </c>
    </row>
    <row r="1035" spans="1:6">
      <c r="A1035" s="685"/>
      <c r="B1035" s="686">
        <v>2229</v>
      </c>
      <c r="C1035" s="687">
        <v>98983</v>
      </c>
      <c r="D1035" s="688" t="s">
        <v>68</v>
      </c>
      <c r="E1035" s="689">
        <v>0.01</v>
      </c>
      <c r="F1035" s="687">
        <f t="shared" si="16"/>
        <v>989.83</v>
      </c>
    </row>
    <row r="1036" spans="1:6">
      <c r="A1036" s="685"/>
      <c r="B1036" s="686">
        <v>2229</v>
      </c>
      <c r="C1036" s="687">
        <v>11869</v>
      </c>
      <c r="D1036" s="688" t="s">
        <v>68</v>
      </c>
      <c r="E1036" s="689">
        <v>0.01</v>
      </c>
      <c r="F1036" s="687">
        <f t="shared" si="16"/>
        <v>118.69</v>
      </c>
    </row>
    <row r="1037" spans="1:6">
      <c r="A1037" s="685"/>
      <c r="B1037" s="686">
        <v>2227</v>
      </c>
      <c r="C1037" s="687">
        <v>190509</v>
      </c>
      <c r="D1037" s="688" t="s">
        <v>68</v>
      </c>
      <c r="E1037" s="689">
        <v>0.01</v>
      </c>
      <c r="F1037" s="687">
        <f t="shared" si="16"/>
        <v>1905.0900000000001</v>
      </c>
    </row>
    <row r="1038" spans="1:6">
      <c r="A1038" s="685"/>
      <c r="B1038" s="686">
        <v>2224</v>
      </c>
      <c r="C1038" s="687">
        <v>274192</v>
      </c>
      <c r="D1038" s="688" t="s">
        <v>68</v>
      </c>
      <c r="E1038" s="689">
        <v>0.01</v>
      </c>
      <c r="F1038" s="687">
        <f t="shared" si="16"/>
        <v>2741.92</v>
      </c>
    </row>
    <row r="1039" spans="1:6">
      <c r="A1039" s="685"/>
      <c r="B1039" s="686">
        <v>2223</v>
      </c>
      <c r="C1039" s="687">
        <v>63064</v>
      </c>
      <c r="D1039" s="688" t="s">
        <v>68</v>
      </c>
      <c r="E1039" s="689">
        <v>0.01</v>
      </c>
      <c r="F1039" s="687">
        <f t="shared" si="16"/>
        <v>630.64</v>
      </c>
    </row>
    <row r="1040" spans="1:6">
      <c r="A1040" s="685"/>
      <c r="B1040" s="686">
        <v>2222</v>
      </c>
      <c r="C1040" s="687">
        <v>81027</v>
      </c>
      <c r="D1040" s="688" t="s">
        <v>68</v>
      </c>
      <c r="E1040" s="689">
        <v>0.01</v>
      </c>
      <c r="F1040" s="687">
        <f t="shared" si="16"/>
        <v>810.27</v>
      </c>
    </row>
    <row r="1041" spans="1:6">
      <c r="A1041" s="685"/>
      <c r="B1041" s="686">
        <v>2221</v>
      </c>
      <c r="C1041" s="687">
        <v>110646</v>
      </c>
      <c r="D1041" s="688" t="s">
        <v>68</v>
      </c>
      <c r="E1041" s="689">
        <v>0.01</v>
      </c>
      <c r="F1041" s="687">
        <f t="shared" si="16"/>
        <v>1106.46</v>
      </c>
    </row>
    <row r="1042" spans="1:6">
      <c r="A1042" s="685"/>
      <c r="B1042" s="686">
        <v>2221</v>
      </c>
      <c r="C1042" s="687">
        <v>24516</v>
      </c>
      <c r="D1042" s="688" t="s">
        <v>68</v>
      </c>
      <c r="E1042" s="689">
        <v>0.01</v>
      </c>
      <c r="F1042" s="687">
        <f t="shared" si="16"/>
        <v>245.16</v>
      </c>
    </row>
    <row r="1043" spans="1:6">
      <c r="A1043" s="685"/>
      <c r="B1043" s="686">
        <v>2221</v>
      </c>
      <c r="C1043" s="687">
        <v>23196</v>
      </c>
      <c r="D1043" s="688" t="s">
        <v>68</v>
      </c>
      <c r="E1043" s="689">
        <v>0.01</v>
      </c>
      <c r="F1043" s="687">
        <f t="shared" si="16"/>
        <v>231.96</v>
      </c>
    </row>
    <row r="1044" spans="1:6">
      <c r="A1044" s="685"/>
      <c r="B1044" s="686">
        <v>2221</v>
      </c>
      <c r="C1044" s="687">
        <v>38726</v>
      </c>
      <c r="D1044" s="688" t="s">
        <v>68</v>
      </c>
      <c r="E1044" s="689">
        <v>0.01</v>
      </c>
      <c r="F1044" s="687">
        <f t="shared" si="16"/>
        <v>387.26</v>
      </c>
    </row>
    <row r="1045" spans="1:6">
      <c r="A1045" s="685"/>
      <c r="B1045" s="686">
        <v>2220</v>
      </c>
      <c r="C1045" s="687">
        <v>128594</v>
      </c>
      <c r="D1045" s="688" t="s">
        <v>68</v>
      </c>
      <c r="E1045" s="689">
        <v>0.01</v>
      </c>
      <c r="F1045" s="687">
        <f t="shared" si="16"/>
        <v>1285.94</v>
      </c>
    </row>
    <row r="1046" spans="1:6">
      <c r="A1046" s="685"/>
      <c r="B1046" s="686">
        <v>2219</v>
      </c>
      <c r="C1046" s="687">
        <v>50635</v>
      </c>
      <c r="D1046" s="688" t="s">
        <v>68</v>
      </c>
      <c r="E1046" s="689">
        <v>0.01</v>
      </c>
      <c r="F1046" s="687">
        <f t="shared" si="16"/>
        <v>506.35</v>
      </c>
    </row>
    <row r="1047" spans="1:6">
      <c r="A1047" s="685"/>
      <c r="B1047" s="686">
        <v>2219</v>
      </c>
      <c r="C1047" s="687">
        <v>25095</v>
      </c>
      <c r="D1047" s="688" t="s">
        <v>68</v>
      </c>
      <c r="E1047" s="689">
        <v>0.01</v>
      </c>
      <c r="F1047" s="687">
        <f t="shared" si="16"/>
        <v>250.95000000000002</v>
      </c>
    </row>
    <row r="1048" spans="1:6">
      <c r="A1048" s="685"/>
      <c r="B1048" s="686">
        <v>2212</v>
      </c>
      <c r="C1048" s="687">
        <v>361987</v>
      </c>
      <c r="D1048" s="688" t="s">
        <v>68</v>
      </c>
      <c r="E1048" s="689">
        <v>0.01</v>
      </c>
      <c r="F1048" s="687">
        <f t="shared" si="16"/>
        <v>3619.87</v>
      </c>
    </row>
    <row r="1049" spans="1:6">
      <c r="A1049" s="685"/>
      <c r="B1049" s="686">
        <v>2209</v>
      </c>
      <c r="C1049" s="687">
        <v>107200</v>
      </c>
      <c r="D1049" s="688" t="s">
        <v>68</v>
      </c>
      <c r="E1049" s="689">
        <v>0.01</v>
      </c>
      <c r="F1049" s="687">
        <f t="shared" si="16"/>
        <v>1072</v>
      </c>
    </row>
    <row r="1050" spans="1:6">
      <c r="A1050" s="685"/>
      <c r="B1050" s="686">
        <v>2204</v>
      </c>
      <c r="C1050" s="687">
        <v>41353</v>
      </c>
      <c r="D1050" s="688" t="s">
        <v>68</v>
      </c>
      <c r="E1050" s="689">
        <v>0.01</v>
      </c>
      <c r="F1050" s="687">
        <f t="shared" si="16"/>
        <v>413.53000000000003</v>
      </c>
    </row>
    <row r="1051" spans="1:6">
      <c r="A1051" s="685"/>
      <c r="B1051" s="686">
        <v>2203</v>
      </c>
      <c r="C1051" s="687">
        <v>68953</v>
      </c>
      <c r="D1051" s="688" t="s">
        <v>68</v>
      </c>
      <c r="E1051" s="689">
        <v>0.01</v>
      </c>
      <c r="F1051" s="687">
        <f t="shared" si="16"/>
        <v>689.53</v>
      </c>
    </row>
    <row r="1052" spans="1:6">
      <c r="A1052" s="685"/>
      <c r="B1052" s="686">
        <v>2198</v>
      </c>
      <c r="C1052" s="687">
        <v>81880</v>
      </c>
      <c r="D1052" s="688" t="s">
        <v>68</v>
      </c>
      <c r="E1052" s="689">
        <v>0.01</v>
      </c>
      <c r="F1052" s="687">
        <f t="shared" si="16"/>
        <v>818.80000000000007</v>
      </c>
    </row>
    <row r="1053" spans="1:6">
      <c r="A1053" s="685"/>
      <c r="B1053" s="686">
        <v>2198</v>
      </c>
      <c r="C1053" s="687">
        <v>58761</v>
      </c>
      <c r="D1053" s="688" t="s">
        <v>68</v>
      </c>
      <c r="E1053" s="689">
        <v>0.01</v>
      </c>
      <c r="F1053" s="687">
        <f t="shared" si="16"/>
        <v>587.61</v>
      </c>
    </row>
    <row r="1054" spans="1:6">
      <c r="A1054" s="685"/>
      <c r="B1054" s="686">
        <v>2197</v>
      </c>
      <c r="C1054" s="687">
        <v>17731</v>
      </c>
      <c r="D1054" s="688" t="s">
        <v>68</v>
      </c>
      <c r="E1054" s="689">
        <v>0.01</v>
      </c>
      <c r="F1054" s="687">
        <f t="shared" si="16"/>
        <v>177.31</v>
      </c>
    </row>
    <row r="1055" spans="1:6">
      <c r="A1055" s="685"/>
      <c r="B1055" s="686">
        <v>2196</v>
      </c>
      <c r="C1055" s="687">
        <v>231171</v>
      </c>
      <c r="D1055" s="688" t="s">
        <v>68</v>
      </c>
      <c r="E1055" s="689">
        <v>0.01</v>
      </c>
      <c r="F1055" s="687">
        <f t="shared" si="16"/>
        <v>2311.71</v>
      </c>
    </row>
    <row r="1056" spans="1:6">
      <c r="A1056" s="685"/>
      <c r="B1056" s="686">
        <v>2195</v>
      </c>
      <c r="C1056" s="687">
        <v>313597</v>
      </c>
      <c r="D1056" s="688" t="s">
        <v>68</v>
      </c>
      <c r="E1056" s="689">
        <v>0.01</v>
      </c>
      <c r="F1056" s="687">
        <f t="shared" si="16"/>
        <v>3135.9700000000003</v>
      </c>
    </row>
    <row r="1057" spans="1:6">
      <c r="A1057" s="685"/>
      <c r="B1057" s="686">
        <v>2191</v>
      </c>
      <c r="C1057" s="687">
        <v>289695</v>
      </c>
      <c r="D1057" s="688" t="s">
        <v>68</v>
      </c>
      <c r="E1057" s="689">
        <v>0.01</v>
      </c>
      <c r="F1057" s="687">
        <f t="shared" si="16"/>
        <v>2896.9500000000003</v>
      </c>
    </row>
    <row r="1058" spans="1:6">
      <c r="A1058" s="685"/>
      <c r="B1058" s="686">
        <v>2191</v>
      </c>
      <c r="C1058" s="687">
        <v>19223</v>
      </c>
      <c r="D1058" s="688" t="s">
        <v>68</v>
      </c>
      <c r="E1058" s="689">
        <v>0.01</v>
      </c>
      <c r="F1058" s="687">
        <f t="shared" si="16"/>
        <v>192.23000000000002</v>
      </c>
    </row>
    <row r="1059" spans="1:6">
      <c r="A1059" s="685"/>
      <c r="B1059" s="686">
        <v>2189</v>
      </c>
      <c r="C1059" s="687">
        <v>23078</v>
      </c>
      <c r="D1059" s="688" t="s">
        <v>68</v>
      </c>
      <c r="E1059" s="689">
        <v>0.01</v>
      </c>
      <c r="F1059" s="687">
        <f t="shared" si="16"/>
        <v>230.78</v>
      </c>
    </row>
    <row r="1060" spans="1:6">
      <c r="A1060" s="685"/>
      <c r="B1060" s="686">
        <v>2188</v>
      </c>
      <c r="C1060" s="687">
        <v>2009</v>
      </c>
      <c r="D1060" s="688" t="s">
        <v>68</v>
      </c>
      <c r="E1060" s="689">
        <v>0.01</v>
      </c>
      <c r="F1060" s="687">
        <f t="shared" si="16"/>
        <v>20.09</v>
      </c>
    </row>
    <row r="1061" spans="1:6">
      <c r="A1061" s="685"/>
      <c r="B1061" s="686">
        <v>2188</v>
      </c>
      <c r="C1061" s="687">
        <v>8960</v>
      </c>
      <c r="D1061" s="688" t="s">
        <v>68</v>
      </c>
      <c r="E1061" s="689">
        <v>0.01</v>
      </c>
      <c r="F1061" s="687">
        <f t="shared" si="16"/>
        <v>89.600000000000009</v>
      </c>
    </row>
    <row r="1062" spans="1:6">
      <c r="A1062" s="685"/>
      <c r="B1062" s="686">
        <v>2186</v>
      </c>
      <c r="C1062" s="687">
        <v>133925</v>
      </c>
      <c r="D1062" s="688" t="s">
        <v>68</v>
      </c>
      <c r="E1062" s="689">
        <v>0.01</v>
      </c>
      <c r="F1062" s="687">
        <f t="shared" si="16"/>
        <v>1339.25</v>
      </c>
    </row>
    <row r="1063" spans="1:6">
      <c r="A1063" s="685"/>
      <c r="B1063" s="686">
        <v>2185</v>
      </c>
      <c r="C1063" s="687">
        <v>619038</v>
      </c>
      <c r="D1063" s="688" t="s">
        <v>68</v>
      </c>
      <c r="E1063" s="689">
        <v>0.01</v>
      </c>
      <c r="F1063" s="687">
        <f t="shared" si="16"/>
        <v>6190.38</v>
      </c>
    </row>
    <row r="1064" spans="1:6">
      <c r="A1064" s="685"/>
      <c r="B1064" s="686">
        <v>2214</v>
      </c>
      <c r="C1064" s="687">
        <v>3368</v>
      </c>
      <c r="D1064" s="688" t="s">
        <v>68</v>
      </c>
      <c r="E1064" s="689">
        <v>0.01</v>
      </c>
      <c r="F1064" s="687">
        <f t="shared" si="16"/>
        <v>33.68</v>
      </c>
    </row>
    <row r="1065" spans="1:6">
      <c r="A1065" s="685"/>
      <c r="B1065" s="686">
        <v>2182</v>
      </c>
      <c r="C1065" s="687">
        <v>6735</v>
      </c>
      <c r="D1065" s="688" t="s">
        <v>68</v>
      </c>
      <c r="E1065" s="689">
        <v>0.01</v>
      </c>
      <c r="F1065" s="687">
        <f t="shared" si="16"/>
        <v>67.349999999999994</v>
      </c>
    </row>
    <row r="1066" spans="1:6">
      <c r="A1066" s="685"/>
      <c r="B1066" s="686">
        <v>2177</v>
      </c>
      <c r="C1066" s="687">
        <v>1278266</v>
      </c>
      <c r="D1066" s="688" t="s">
        <v>68</v>
      </c>
      <c r="E1066" s="689">
        <v>0.01</v>
      </c>
      <c r="F1066" s="687">
        <f t="shared" si="16"/>
        <v>12782.66</v>
      </c>
    </row>
    <row r="1067" spans="1:6">
      <c r="A1067" s="685"/>
      <c r="B1067" s="686">
        <v>2200</v>
      </c>
      <c r="C1067" s="687">
        <v>98308</v>
      </c>
      <c r="D1067" s="688" t="s">
        <v>68</v>
      </c>
      <c r="E1067" s="689">
        <v>0.01</v>
      </c>
      <c r="F1067" s="687">
        <f t="shared" si="16"/>
        <v>983.08</v>
      </c>
    </row>
    <row r="1068" spans="1:6">
      <c r="A1068" s="685"/>
      <c r="B1068" s="686">
        <v>2199</v>
      </c>
      <c r="C1068" s="687">
        <v>556281</v>
      </c>
      <c r="D1068" s="688" t="s">
        <v>68</v>
      </c>
      <c r="E1068" s="689">
        <v>0.01</v>
      </c>
      <c r="F1068" s="687">
        <f t="shared" si="16"/>
        <v>5562.81</v>
      </c>
    </row>
    <row r="1069" spans="1:6">
      <c r="A1069" s="685"/>
      <c r="B1069" s="686">
        <v>2196</v>
      </c>
      <c r="C1069" s="687">
        <v>83601</v>
      </c>
      <c r="D1069" s="688" t="s">
        <v>68</v>
      </c>
      <c r="E1069" s="689">
        <v>0.01</v>
      </c>
      <c r="F1069" s="687">
        <f t="shared" si="16"/>
        <v>836.01</v>
      </c>
    </row>
    <row r="1070" spans="1:6">
      <c r="A1070" s="685"/>
      <c r="B1070" s="686">
        <v>2196</v>
      </c>
      <c r="C1070" s="687">
        <v>5667</v>
      </c>
      <c r="D1070" s="688" t="s">
        <v>68</v>
      </c>
      <c r="E1070" s="689">
        <v>0.01</v>
      </c>
      <c r="F1070" s="687">
        <f t="shared" si="16"/>
        <v>56.67</v>
      </c>
    </row>
    <row r="1071" spans="1:6">
      <c r="A1071" s="685"/>
      <c r="B1071" s="686">
        <v>2165</v>
      </c>
      <c r="C1071" s="687">
        <v>33194</v>
      </c>
      <c r="D1071" s="688" t="s">
        <v>68</v>
      </c>
      <c r="E1071" s="689">
        <v>0.01</v>
      </c>
      <c r="F1071" s="687">
        <f t="shared" si="16"/>
        <v>331.94</v>
      </c>
    </row>
    <row r="1072" spans="1:6">
      <c r="A1072" s="685"/>
      <c r="B1072" s="686">
        <v>2194</v>
      </c>
      <c r="C1072" s="687">
        <v>47558</v>
      </c>
      <c r="D1072" s="688" t="s">
        <v>68</v>
      </c>
      <c r="E1072" s="689">
        <v>0.01</v>
      </c>
      <c r="F1072" s="687">
        <f t="shared" si="16"/>
        <v>475.58</v>
      </c>
    </row>
    <row r="1073" spans="1:6">
      <c r="A1073" s="685"/>
      <c r="B1073" s="686">
        <v>2192</v>
      </c>
      <c r="C1073" s="687">
        <v>110646</v>
      </c>
      <c r="D1073" s="688" t="s">
        <v>68</v>
      </c>
      <c r="E1073" s="689">
        <v>0.01</v>
      </c>
      <c r="F1073" s="687">
        <f t="shared" si="16"/>
        <v>1106.46</v>
      </c>
    </row>
    <row r="1074" spans="1:6">
      <c r="A1074" s="685"/>
      <c r="B1074" s="686">
        <v>2160</v>
      </c>
      <c r="C1074" s="687">
        <v>437022</v>
      </c>
      <c r="D1074" s="688" t="s">
        <v>68</v>
      </c>
      <c r="E1074" s="689">
        <v>0.01</v>
      </c>
      <c r="F1074" s="687">
        <f t="shared" si="16"/>
        <v>4370.22</v>
      </c>
    </row>
    <row r="1075" spans="1:6">
      <c r="A1075" s="685"/>
      <c r="B1075" s="686">
        <v>2189</v>
      </c>
      <c r="C1075" s="687">
        <v>14305</v>
      </c>
      <c r="D1075" s="688" t="s">
        <v>68</v>
      </c>
      <c r="E1075" s="689">
        <v>0.01</v>
      </c>
      <c r="F1075" s="687">
        <f t="shared" si="16"/>
        <v>143.05000000000001</v>
      </c>
    </row>
    <row r="1076" spans="1:6">
      <c r="A1076" s="685"/>
      <c r="B1076" s="686">
        <v>2189</v>
      </c>
      <c r="C1076" s="687">
        <v>97116</v>
      </c>
      <c r="D1076" s="688" t="s">
        <v>68</v>
      </c>
      <c r="E1076" s="689">
        <v>0.01</v>
      </c>
      <c r="F1076" s="687">
        <f t="shared" si="16"/>
        <v>971.16</v>
      </c>
    </row>
    <row r="1077" spans="1:6">
      <c r="A1077" s="685"/>
      <c r="B1077" s="686">
        <v>2187</v>
      </c>
      <c r="C1077" s="687">
        <v>274731</v>
      </c>
      <c r="D1077" s="688" t="s">
        <v>68</v>
      </c>
      <c r="E1077" s="689">
        <v>0.01</v>
      </c>
      <c r="F1077" s="687">
        <f t="shared" si="16"/>
        <v>2747.31</v>
      </c>
    </row>
    <row r="1078" spans="1:6">
      <c r="A1078" s="685"/>
      <c r="B1078" s="686">
        <v>2186</v>
      </c>
      <c r="C1078" s="687">
        <v>35792</v>
      </c>
      <c r="D1078" s="688" t="s">
        <v>68</v>
      </c>
      <c r="E1078" s="689">
        <v>0.01</v>
      </c>
      <c r="F1078" s="687">
        <f t="shared" si="16"/>
        <v>357.92</v>
      </c>
    </row>
    <row r="1079" spans="1:6">
      <c r="A1079" s="685"/>
      <c r="B1079" s="686">
        <v>2183</v>
      </c>
      <c r="C1079" s="687">
        <v>17065</v>
      </c>
      <c r="D1079" s="688" t="s">
        <v>68</v>
      </c>
      <c r="E1079" s="689">
        <v>0.01</v>
      </c>
      <c r="F1079" s="687">
        <f t="shared" si="16"/>
        <v>170.65</v>
      </c>
    </row>
    <row r="1080" spans="1:6">
      <c r="A1080" s="685"/>
      <c r="B1080" s="686">
        <v>2183</v>
      </c>
      <c r="C1080" s="687">
        <v>66645</v>
      </c>
      <c r="D1080" s="688" t="s">
        <v>68</v>
      </c>
      <c r="E1080" s="689">
        <v>0.01</v>
      </c>
      <c r="F1080" s="687">
        <f t="shared" si="16"/>
        <v>666.45</v>
      </c>
    </row>
    <row r="1081" spans="1:6">
      <c r="A1081" s="685"/>
      <c r="B1081" s="686">
        <v>2182</v>
      </c>
      <c r="C1081" s="687">
        <v>1920422</v>
      </c>
      <c r="D1081" s="688" t="s">
        <v>68</v>
      </c>
      <c r="E1081" s="689">
        <v>0.01</v>
      </c>
      <c r="F1081" s="687">
        <f t="shared" si="16"/>
        <v>19204.22</v>
      </c>
    </row>
    <row r="1082" spans="1:6">
      <c r="A1082" s="685"/>
      <c r="B1082" s="686">
        <v>2178</v>
      </c>
      <c r="C1082" s="687">
        <v>28293</v>
      </c>
      <c r="D1082" s="688" t="s">
        <v>68</v>
      </c>
      <c r="E1082" s="689">
        <v>0.01</v>
      </c>
      <c r="F1082" s="687">
        <f t="shared" si="16"/>
        <v>282.93</v>
      </c>
    </row>
    <row r="1083" spans="1:6">
      <c r="A1083" s="685"/>
      <c r="B1083" s="686">
        <v>2172</v>
      </c>
      <c r="C1083" s="687">
        <v>457674</v>
      </c>
      <c r="D1083" s="688" t="s">
        <v>68</v>
      </c>
      <c r="E1083" s="689">
        <v>0.01</v>
      </c>
      <c r="F1083" s="687">
        <f t="shared" si="16"/>
        <v>4576.74</v>
      </c>
    </row>
    <row r="1084" spans="1:6">
      <c r="A1084" s="685"/>
      <c r="B1084" s="686">
        <v>2171</v>
      </c>
      <c r="C1084" s="687">
        <v>26787</v>
      </c>
      <c r="D1084" s="688" t="s">
        <v>68</v>
      </c>
      <c r="E1084" s="689">
        <v>0.01</v>
      </c>
      <c r="F1084" s="687">
        <f t="shared" si="16"/>
        <v>267.87</v>
      </c>
    </row>
    <row r="1085" spans="1:6">
      <c r="A1085" s="685"/>
      <c r="B1085" s="686">
        <v>2169</v>
      </c>
      <c r="C1085" s="687">
        <v>12900</v>
      </c>
      <c r="D1085" s="688" t="s">
        <v>68</v>
      </c>
      <c r="E1085" s="689">
        <v>0.01</v>
      </c>
      <c r="F1085" s="687">
        <f t="shared" si="16"/>
        <v>129</v>
      </c>
    </row>
    <row r="1086" spans="1:6">
      <c r="A1086" s="685"/>
      <c r="B1086" s="686">
        <v>2137</v>
      </c>
      <c r="C1086" s="687">
        <v>183819</v>
      </c>
      <c r="D1086" s="688" t="s">
        <v>68</v>
      </c>
      <c r="E1086" s="689">
        <v>0.01</v>
      </c>
      <c r="F1086" s="687">
        <f t="shared" si="16"/>
        <v>1838.19</v>
      </c>
    </row>
    <row r="1087" spans="1:6">
      <c r="A1087" s="685"/>
      <c r="B1087" s="686">
        <v>2167</v>
      </c>
      <c r="C1087" s="687">
        <v>56237</v>
      </c>
      <c r="D1087" s="688" t="s">
        <v>68</v>
      </c>
      <c r="E1087" s="689">
        <v>0.01</v>
      </c>
      <c r="F1087" s="687">
        <f t="shared" si="16"/>
        <v>562.37</v>
      </c>
    </row>
    <row r="1088" spans="1:6">
      <c r="A1088" s="685"/>
      <c r="B1088" s="686">
        <v>2164</v>
      </c>
      <c r="C1088" s="687">
        <v>49164</v>
      </c>
      <c r="D1088" s="688" t="s">
        <v>68</v>
      </c>
      <c r="E1088" s="689">
        <v>0.01</v>
      </c>
      <c r="F1088" s="687">
        <f t="shared" si="16"/>
        <v>491.64</v>
      </c>
    </row>
    <row r="1089" spans="1:6">
      <c r="A1089" s="685"/>
      <c r="B1089" s="686">
        <v>2163</v>
      </c>
      <c r="C1089" s="687">
        <v>619177</v>
      </c>
      <c r="D1089" s="688" t="s">
        <v>68</v>
      </c>
      <c r="E1089" s="689">
        <v>0.01</v>
      </c>
      <c r="F1089" s="687">
        <f t="shared" si="16"/>
        <v>6191.77</v>
      </c>
    </row>
    <row r="1090" spans="1:6">
      <c r="A1090" s="685"/>
      <c r="B1090" s="686">
        <v>2131</v>
      </c>
      <c r="C1090" s="687">
        <v>922218</v>
      </c>
      <c r="D1090" s="688" t="s">
        <v>68</v>
      </c>
      <c r="E1090" s="689">
        <v>0.01</v>
      </c>
      <c r="F1090" s="687">
        <f t="shared" si="16"/>
        <v>9222.18</v>
      </c>
    </row>
    <row r="1091" spans="1:6">
      <c r="A1091" s="685"/>
      <c r="B1091" s="686">
        <v>2126</v>
      </c>
      <c r="C1091" s="687">
        <v>131940</v>
      </c>
      <c r="D1091" s="688" t="s">
        <v>68</v>
      </c>
      <c r="E1091" s="689">
        <v>0.01</v>
      </c>
      <c r="F1091" s="687">
        <f t="shared" ref="F1091:F1154" si="17">+C1091*E1091</f>
        <v>1319.4</v>
      </c>
    </row>
    <row r="1092" spans="1:6">
      <c r="A1092" s="685"/>
      <c r="B1092" s="686">
        <v>2120</v>
      </c>
      <c r="C1092" s="687">
        <v>64572</v>
      </c>
      <c r="D1092" s="688" t="s">
        <v>68</v>
      </c>
      <c r="E1092" s="689">
        <v>0.01</v>
      </c>
      <c r="F1092" s="687">
        <f t="shared" si="17"/>
        <v>645.72</v>
      </c>
    </row>
    <row r="1093" spans="1:6">
      <c r="A1093" s="685"/>
      <c r="B1093" s="686">
        <v>2118</v>
      </c>
      <c r="C1093" s="687">
        <v>23214</v>
      </c>
      <c r="D1093" s="688" t="s">
        <v>68</v>
      </c>
      <c r="E1093" s="689">
        <v>0.01</v>
      </c>
      <c r="F1093" s="687">
        <f t="shared" si="17"/>
        <v>232.14000000000001</v>
      </c>
    </row>
    <row r="1094" spans="1:6">
      <c r="A1094" s="685"/>
      <c r="B1094" s="686">
        <v>2115</v>
      </c>
      <c r="C1094" s="687">
        <v>250767</v>
      </c>
      <c r="D1094" s="688" t="s">
        <v>68</v>
      </c>
      <c r="E1094" s="689">
        <v>0.01</v>
      </c>
      <c r="F1094" s="687">
        <f t="shared" si="17"/>
        <v>2507.67</v>
      </c>
    </row>
    <row r="1095" spans="1:6">
      <c r="A1095" s="685"/>
      <c r="B1095" s="686">
        <v>2115</v>
      </c>
      <c r="C1095" s="687">
        <v>123101</v>
      </c>
      <c r="D1095" s="688" t="s">
        <v>68</v>
      </c>
      <c r="E1095" s="689">
        <v>0.01</v>
      </c>
      <c r="F1095" s="687">
        <f t="shared" si="17"/>
        <v>1231.01</v>
      </c>
    </row>
    <row r="1096" spans="1:6">
      <c r="A1096" s="685"/>
      <c r="B1096" s="686">
        <v>2113</v>
      </c>
      <c r="C1096" s="687">
        <v>100361</v>
      </c>
      <c r="D1096" s="688" t="s">
        <v>68</v>
      </c>
      <c r="E1096" s="689">
        <v>0.01</v>
      </c>
      <c r="F1096" s="687">
        <f t="shared" si="17"/>
        <v>1003.61</v>
      </c>
    </row>
    <row r="1097" spans="1:6">
      <c r="A1097" s="685"/>
      <c r="B1097" s="686">
        <v>2109</v>
      </c>
      <c r="C1097" s="687">
        <v>23235</v>
      </c>
      <c r="D1097" s="688" t="s">
        <v>68</v>
      </c>
      <c r="E1097" s="689">
        <v>0.01</v>
      </c>
      <c r="F1097" s="687">
        <f t="shared" si="17"/>
        <v>232.35</v>
      </c>
    </row>
    <row r="1098" spans="1:6">
      <c r="A1098" s="685"/>
      <c r="B1098" s="686">
        <v>2109</v>
      </c>
      <c r="C1098" s="687">
        <v>39770</v>
      </c>
      <c r="D1098" s="688" t="s">
        <v>68</v>
      </c>
      <c r="E1098" s="689">
        <v>0.01</v>
      </c>
      <c r="F1098" s="687">
        <f t="shared" si="17"/>
        <v>397.7</v>
      </c>
    </row>
    <row r="1099" spans="1:6">
      <c r="A1099" s="685"/>
      <c r="B1099" s="686">
        <v>2106</v>
      </c>
      <c r="C1099" s="687">
        <v>208059</v>
      </c>
      <c r="D1099" s="688" t="s">
        <v>68</v>
      </c>
      <c r="E1099" s="689">
        <v>0.01</v>
      </c>
      <c r="F1099" s="687">
        <f t="shared" si="17"/>
        <v>2080.59</v>
      </c>
    </row>
    <row r="1100" spans="1:6">
      <c r="A1100" s="685"/>
      <c r="B1100" s="686">
        <v>2103</v>
      </c>
      <c r="C1100" s="687">
        <v>640000</v>
      </c>
      <c r="D1100" s="688" t="s">
        <v>68</v>
      </c>
      <c r="E1100" s="689">
        <v>0.01</v>
      </c>
      <c r="F1100" s="687">
        <f t="shared" si="17"/>
        <v>6400</v>
      </c>
    </row>
    <row r="1101" spans="1:6">
      <c r="A1101" s="685"/>
      <c r="B1101" s="686">
        <v>2101</v>
      </c>
      <c r="C1101" s="687">
        <v>102711</v>
      </c>
      <c r="D1101" s="688" t="s">
        <v>68</v>
      </c>
      <c r="E1101" s="689">
        <v>0.01</v>
      </c>
      <c r="F1101" s="687">
        <f t="shared" si="17"/>
        <v>1027.1100000000001</v>
      </c>
    </row>
    <row r="1102" spans="1:6">
      <c r="A1102" s="685"/>
      <c r="B1102" s="686">
        <v>2101</v>
      </c>
      <c r="C1102" s="687">
        <v>123505</v>
      </c>
      <c r="D1102" s="688" t="s">
        <v>68</v>
      </c>
      <c r="E1102" s="689">
        <v>0.01</v>
      </c>
      <c r="F1102" s="687">
        <f t="shared" si="17"/>
        <v>1235.05</v>
      </c>
    </row>
    <row r="1103" spans="1:6">
      <c r="A1103" s="685"/>
      <c r="B1103" s="686">
        <v>2101</v>
      </c>
      <c r="C1103" s="687">
        <v>27269</v>
      </c>
      <c r="D1103" s="688" t="s">
        <v>68</v>
      </c>
      <c r="E1103" s="689">
        <v>0.01</v>
      </c>
      <c r="F1103" s="687">
        <f t="shared" si="17"/>
        <v>272.69</v>
      </c>
    </row>
    <row r="1104" spans="1:6">
      <c r="A1104" s="685"/>
      <c r="B1104" s="686">
        <v>2184</v>
      </c>
      <c r="C1104" s="687">
        <v>21457</v>
      </c>
      <c r="D1104" s="688" t="s">
        <v>68</v>
      </c>
      <c r="E1104" s="689">
        <v>0.01</v>
      </c>
      <c r="F1104" s="687">
        <f t="shared" si="17"/>
        <v>214.57</v>
      </c>
    </row>
    <row r="1105" spans="1:6">
      <c r="A1105" s="685"/>
      <c r="B1105" s="686">
        <v>2151</v>
      </c>
      <c r="C1105" s="687">
        <v>97580</v>
      </c>
      <c r="D1105" s="688" t="s">
        <v>68</v>
      </c>
      <c r="E1105" s="689">
        <v>0.01</v>
      </c>
      <c r="F1105" s="687">
        <f t="shared" si="17"/>
        <v>975.80000000000007</v>
      </c>
    </row>
    <row r="1106" spans="1:6">
      <c r="A1106" s="685"/>
      <c r="B1106" s="686">
        <v>1891</v>
      </c>
      <c r="C1106" s="687">
        <v>474700</v>
      </c>
      <c r="D1106" s="688" t="s">
        <v>68</v>
      </c>
      <c r="E1106" s="689">
        <v>0.01</v>
      </c>
      <c r="F1106" s="687">
        <f t="shared" si="17"/>
        <v>4747</v>
      </c>
    </row>
    <row r="1107" spans="1:6">
      <c r="A1107" s="685"/>
      <c r="B1107" s="686">
        <v>1903</v>
      </c>
      <c r="C1107" s="687">
        <v>241450</v>
      </c>
      <c r="D1107" s="688" t="s">
        <v>68</v>
      </c>
      <c r="E1107" s="689">
        <v>0.01</v>
      </c>
      <c r="F1107" s="687">
        <f t="shared" si="17"/>
        <v>2414.5</v>
      </c>
    </row>
    <row r="1108" spans="1:6">
      <c r="A1108" s="685"/>
      <c r="B1108" s="686">
        <v>1849</v>
      </c>
      <c r="C1108" s="687">
        <v>241450</v>
      </c>
      <c r="D1108" s="688" t="s">
        <v>68</v>
      </c>
      <c r="E1108" s="689">
        <v>0.01</v>
      </c>
      <c r="F1108" s="687">
        <f t="shared" si="17"/>
        <v>2414.5</v>
      </c>
    </row>
    <row r="1109" spans="1:6">
      <c r="A1109" s="685"/>
      <c r="B1109" s="686">
        <v>3816</v>
      </c>
      <c r="C1109" s="687">
        <v>4842379</v>
      </c>
      <c r="D1109" s="688" t="s">
        <v>503</v>
      </c>
      <c r="E1109" s="689">
        <v>0</v>
      </c>
      <c r="F1109" s="687">
        <f t="shared" si="17"/>
        <v>0</v>
      </c>
    </row>
    <row r="1110" spans="1:6">
      <c r="A1110" s="685"/>
      <c r="B1110" s="686">
        <v>885</v>
      </c>
      <c r="C1110" s="687">
        <v>125432</v>
      </c>
      <c r="D1110" s="688" t="s">
        <v>68</v>
      </c>
      <c r="E1110" s="689">
        <v>0.05</v>
      </c>
      <c r="F1110" s="687">
        <f t="shared" si="17"/>
        <v>6271.6</v>
      </c>
    </row>
    <row r="1111" spans="1:6">
      <c r="A1111" s="685"/>
      <c r="B1111" s="686">
        <v>1994</v>
      </c>
      <c r="C1111" s="687">
        <v>371800</v>
      </c>
      <c r="D1111" s="688" t="s">
        <v>68</v>
      </c>
      <c r="E1111" s="689">
        <v>0.01</v>
      </c>
      <c r="F1111" s="687">
        <f t="shared" si="17"/>
        <v>3718</v>
      </c>
    </row>
    <row r="1112" spans="1:6">
      <c r="A1112" s="685"/>
      <c r="B1112" s="686">
        <v>1927</v>
      </c>
      <c r="C1112" s="687">
        <v>96900</v>
      </c>
      <c r="D1112" s="688" t="s">
        <v>68</v>
      </c>
      <c r="E1112" s="689">
        <v>0.01</v>
      </c>
      <c r="F1112" s="687">
        <f t="shared" si="17"/>
        <v>969</v>
      </c>
    </row>
    <row r="1113" spans="1:6">
      <c r="A1113" s="685"/>
      <c r="B1113" s="686">
        <v>1924</v>
      </c>
      <c r="C1113" s="687">
        <v>61500</v>
      </c>
      <c r="D1113" s="688" t="s">
        <v>68</v>
      </c>
      <c r="E1113" s="689">
        <v>0.01</v>
      </c>
      <c r="F1113" s="687">
        <f t="shared" si="17"/>
        <v>615</v>
      </c>
    </row>
    <row r="1114" spans="1:6">
      <c r="A1114" s="685"/>
      <c r="B1114" s="686">
        <v>1921</v>
      </c>
      <c r="C1114" s="687">
        <v>52600</v>
      </c>
      <c r="D1114" s="688" t="s">
        <v>68</v>
      </c>
      <c r="E1114" s="689">
        <v>0.01</v>
      </c>
      <c r="F1114" s="687">
        <f t="shared" si="17"/>
        <v>526</v>
      </c>
    </row>
    <row r="1115" spans="1:6">
      <c r="A1115" s="685"/>
      <c r="B1115" s="686">
        <v>1916</v>
      </c>
      <c r="C1115" s="687">
        <v>298000</v>
      </c>
      <c r="D1115" s="688" t="s">
        <v>68</v>
      </c>
      <c r="E1115" s="689">
        <v>0.01</v>
      </c>
      <c r="F1115" s="687">
        <f t="shared" si="17"/>
        <v>2980</v>
      </c>
    </row>
    <row r="1116" spans="1:6">
      <c r="A1116" s="685"/>
      <c r="B1116" s="686">
        <v>1917</v>
      </c>
      <c r="C1116" s="687">
        <v>138350</v>
      </c>
      <c r="D1116" s="688" t="s">
        <v>68</v>
      </c>
      <c r="E1116" s="689">
        <v>0.01</v>
      </c>
      <c r="F1116" s="687">
        <f t="shared" si="17"/>
        <v>1383.5</v>
      </c>
    </row>
    <row r="1117" spans="1:6">
      <c r="A1117" s="685"/>
      <c r="B1117" s="686">
        <v>1916</v>
      </c>
      <c r="C1117" s="687">
        <v>758300</v>
      </c>
      <c r="D1117" s="688" t="s">
        <v>68</v>
      </c>
      <c r="E1117" s="689">
        <v>0.01</v>
      </c>
      <c r="F1117" s="687">
        <f t="shared" si="17"/>
        <v>7583</v>
      </c>
    </row>
    <row r="1118" spans="1:6">
      <c r="A1118" s="685"/>
      <c r="B1118" s="686">
        <v>1915</v>
      </c>
      <c r="C1118" s="687">
        <v>149000</v>
      </c>
      <c r="D1118" s="688" t="s">
        <v>68</v>
      </c>
      <c r="E1118" s="689">
        <v>0.01</v>
      </c>
      <c r="F1118" s="687">
        <f t="shared" si="17"/>
        <v>1490</v>
      </c>
    </row>
    <row r="1119" spans="1:6">
      <c r="A1119" s="685"/>
      <c r="B1119" s="686">
        <v>1867</v>
      </c>
      <c r="C1119" s="687">
        <v>72000</v>
      </c>
      <c r="D1119" s="688" t="s">
        <v>68</v>
      </c>
      <c r="E1119" s="689">
        <v>0.01</v>
      </c>
      <c r="F1119" s="687">
        <f t="shared" si="17"/>
        <v>720</v>
      </c>
    </row>
    <row r="1120" spans="1:6">
      <c r="A1120" s="685"/>
      <c r="B1120" s="686">
        <v>1495</v>
      </c>
      <c r="C1120" s="687">
        <v>259200</v>
      </c>
      <c r="D1120" s="688" t="s">
        <v>68</v>
      </c>
      <c r="E1120" s="689">
        <v>0.01</v>
      </c>
      <c r="F1120" s="687">
        <f t="shared" si="17"/>
        <v>2592</v>
      </c>
    </row>
    <row r="1121" spans="1:6">
      <c r="A1121" s="685"/>
      <c r="B1121" s="686">
        <v>981</v>
      </c>
      <c r="C1121" s="687">
        <v>3192000</v>
      </c>
      <c r="D1121" s="688" t="s">
        <v>68</v>
      </c>
      <c r="E1121" s="689">
        <v>0.05</v>
      </c>
      <c r="F1121" s="687">
        <f t="shared" si="17"/>
        <v>159600</v>
      </c>
    </row>
    <row r="1122" spans="1:6">
      <c r="A1122" s="685"/>
      <c r="B1122" s="686">
        <v>627</v>
      </c>
      <c r="C1122" s="687">
        <v>2087000</v>
      </c>
      <c r="D1122" s="688" t="s">
        <v>68</v>
      </c>
      <c r="E1122" s="689">
        <v>0.1</v>
      </c>
      <c r="F1122" s="687">
        <f t="shared" si="17"/>
        <v>208700</v>
      </c>
    </row>
    <row r="1123" spans="1:6">
      <c r="A1123" s="685"/>
      <c r="B1123" s="686">
        <v>575</v>
      </c>
      <c r="C1123" s="687">
        <v>1272650</v>
      </c>
      <c r="D1123" s="688" t="s">
        <v>68</v>
      </c>
      <c r="E1123" s="689">
        <v>0.1</v>
      </c>
      <c r="F1123" s="687">
        <f t="shared" si="17"/>
        <v>127265</v>
      </c>
    </row>
    <row r="1124" spans="1:6">
      <c r="A1124" s="685"/>
      <c r="B1124" s="686">
        <v>986</v>
      </c>
      <c r="C1124" s="687">
        <v>607700</v>
      </c>
      <c r="D1124" s="688" t="s">
        <v>68</v>
      </c>
      <c r="E1124" s="689">
        <v>0.05</v>
      </c>
      <c r="F1124" s="687">
        <f t="shared" si="17"/>
        <v>30385</v>
      </c>
    </row>
    <row r="1125" spans="1:6">
      <c r="A1125" s="685"/>
      <c r="B1125" s="686">
        <v>977</v>
      </c>
      <c r="C1125" s="687">
        <v>476000</v>
      </c>
      <c r="D1125" s="688" t="s">
        <v>68</v>
      </c>
      <c r="E1125" s="689">
        <v>0.05</v>
      </c>
      <c r="F1125" s="687">
        <f t="shared" si="17"/>
        <v>23800</v>
      </c>
    </row>
    <row r="1126" spans="1:6">
      <c r="A1126" s="685"/>
      <c r="B1126" s="686">
        <v>976</v>
      </c>
      <c r="C1126" s="687">
        <v>476000</v>
      </c>
      <c r="D1126" s="688" t="s">
        <v>68</v>
      </c>
      <c r="E1126" s="689">
        <v>0.05</v>
      </c>
      <c r="F1126" s="687">
        <f t="shared" si="17"/>
        <v>23800</v>
      </c>
    </row>
    <row r="1127" spans="1:6">
      <c r="A1127" s="685"/>
      <c r="B1127" s="686">
        <v>968</v>
      </c>
      <c r="C1127" s="687">
        <v>160800</v>
      </c>
      <c r="D1127" s="688" t="s">
        <v>68</v>
      </c>
      <c r="E1127" s="689">
        <v>0.05</v>
      </c>
      <c r="F1127" s="687">
        <f t="shared" si="17"/>
        <v>8040</v>
      </c>
    </row>
    <row r="1128" spans="1:6">
      <c r="A1128" s="685"/>
      <c r="B1128" s="686">
        <v>949</v>
      </c>
      <c r="C1128" s="687">
        <v>1273450</v>
      </c>
      <c r="D1128" s="688" t="s">
        <v>68</v>
      </c>
      <c r="E1128" s="689">
        <v>0.05</v>
      </c>
      <c r="F1128" s="687">
        <f t="shared" si="17"/>
        <v>63672.5</v>
      </c>
    </row>
    <row r="1129" spans="1:6">
      <c r="A1129" s="685"/>
      <c r="B1129" s="686">
        <v>945</v>
      </c>
      <c r="C1129" s="687">
        <v>37100</v>
      </c>
      <c r="D1129" s="688" t="s">
        <v>68</v>
      </c>
      <c r="E1129" s="689">
        <v>0.05</v>
      </c>
      <c r="F1129" s="687">
        <f t="shared" si="17"/>
        <v>1855</v>
      </c>
    </row>
    <row r="1130" spans="1:6">
      <c r="A1130" s="685"/>
      <c r="B1130" s="686">
        <v>942</v>
      </c>
      <c r="C1130" s="687">
        <v>674300</v>
      </c>
      <c r="D1130" s="688" t="s">
        <v>68</v>
      </c>
      <c r="E1130" s="689">
        <v>0.05</v>
      </c>
      <c r="F1130" s="687">
        <f t="shared" si="17"/>
        <v>33715</v>
      </c>
    </row>
    <row r="1131" spans="1:6">
      <c r="A1131" s="685"/>
      <c r="B1131" s="686">
        <v>937</v>
      </c>
      <c r="C1131" s="687">
        <v>127700</v>
      </c>
      <c r="D1131" s="688" t="s">
        <v>68</v>
      </c>
      <c r="E1131" s="689">
        <v>0.05</v>
      </c>
      <c r="F1131" s="687">
        <f t="shared" si="17"/>
        <v>6385</v>
      </c>
    </row>
    <row r="1132" spans="1:6">
      <c r="A1132" s="685"/>
      <c r="B1132" s="686">
        <v>1022</v>
      </c>
      <c r="C1132" s="687">
        <v>3329900</v>
      </c>
      <c r="D1132" s="688" t="s">
        <v>68</v>
      </c>
      <c r="E1132" s="689">
        <v>0.05</v>
      </c>
      <c r="F1132" s="687">
        <f t="shared" si="17"/>
        <v>166495</v>
      </c>
    </row>
    <row r="1133" spans="1:6">
      <c r="A1133" s="685"/>
      <c r="B1133" s="686">
        <v>982</v>
      </c>
      <c r="C1133" s="687">
        <v>166300</v>
      </c>
      <c r="D1133" s="688" t="s">
        <v>68</v>
      </c>
      <c r="E1133" s="689">
        <v>0.05</v>
      </c>
      <c r="F1133" s="687">
        <f t="shared" si="17"/>
        <v>8315</v>
      </c>
    </row>
    <row r="1134" spans="1:6">
      <c r="A1134" s="685"/>
      <c r="B1134" s="686">
        <v>4018</v>
      </c>
      <c r="C1134" s="687">
        <v>4230000</v>
      </c>
      <c r="D1134" s="688" t="s">
        <v>68</v>
      </c>
      <c r="E1134" s="689">
        <v>0.01</v>
      </c>
      <c r="F1134" s="687">
        <f t="shared" si="17"/>
        <v>42300</v>
      </c>
    </row>
    <row r="1135" spans="1:6">
      <c r="A1135" s="685"/>
      <c r="B1135" s="686">
        <v>4011</v>
      </c>
      <c r="C1135" s="687">
        <v>1551000</v>
      </c>
      <c r="D1135" s="688" t="s">
        <v>68</v>
      </c>
      <c r="E1135" s="689">
        <v>0.01</v>
      </c>
      <c r="F1135" s="687">
        <f t="shared" si="17"/>
        <v>15510</v>
      </c>
    </row>
    <row r="1136" spans="1:6">
      <c r="A1136" s="685"/>
      <c r="B1136" s="686">
        <v>4006</v>
      </c>
      <c r="C1136" s="687">
        <v>705000</v>
      </c>
      <c r="D1136" s="688" t="s">
        <v>68</v>
      </c>
      <c r="E1136" s="689">
        <v>0.01</v>
      </c>
      <c r="F1136" s="687">
        <f t="shared" si="17"/>
        <v>7050</v>
      </c>
    </row>
    <row r="1137" spans="1:6">
      <c r="A1137" s="685"/>
      <c r="B1137" s="686">
        <v>3919</v>
      </c>
      <c r="C1137" s="687">
        <v>275200</v>
      </c>
      <c r="D1137" s="688" t="s">
        <v>68</v>
      </c>
      <c r="E1137" s="689">
        <v>0.01</v>
      </c>
      <c r="F1137" s="687">
        <f t="shared" si="17"/>
        <v>2752</v>
      </c>
    </row>
    <row r="1138" spans="1:6">
      <c r="A1138" s="685"/>
      <c r="B1138" s="686">
        <v>3540</v>
      </c>
      <c r="C1138" s="687">
        <v>2140000</v>
      </c>
      <c r="D1138" s="688" t="s">
        <v>68</v>
      </c>
      <c r="E1138" s="689">
        <v>0.01</v>
      </c>
      <c r="F1138" s="687">
        <f t="shared" si="17"/>
        <v>21400</v>
      </c>
    </row>
    <row r="1139" spans="1:6">
      <c r="A1139" s="685"/>
      <c r="B1139" s="686">
        <v>664</v>
      </c>
      <c r="C1139" s="687">
        <v>826551</v>
      </c>
      <c r="D1139" s="688" t="s">
        <v>68</v>
      </c>
      <c r="E1139" s="689">
        <v>0.1</v>
      </c>
      <c r="F1139" s="687">
        <f t="shared" si="17"/>
        <v>82655.100000000006</v>
      </c>
    </row>
    <row r="1140" spans="1:6">
      <c r="A1140" s="685"/>
      <c r="B1140" s="686">
        <v>1763</v>
      </c>
      <c r="C1140" s="687">
        <v>2030127</v>
      </c>
      <c r="D1140" s="688" t="s">
        <v>68</v>
      </c>
      <c r="E1140" s="689">
        <v>0.01</v>
      </c>
      <c r="F1140" s="687">
        <f t="shared" si="17"/>
        <v>20301.27</v>
      </c>
    </row>
    <row r="1141" spans="1:6">
      <c r="A1141" s="685"/>
      <c r="B1141" s="686">
        <v>1175</v>
      </c>
      <c r="C1141" s="687">
        <v>134762</v>
      </c>
      <c r="D1141" s="688" t="s">
        <v>68</v>
      </c>
      <c r="E1141" s="689">
        <v>0.01</v>
      </c>
      <c r="F1141" s="687">
        <f t="shared" si="17"/>
        <v>1347.6200000000001</v>
      </c>
    </row>
    <row r="1142" spans="1:6">
      <c r="A1142" s="685"/>
      <c r="B1142" s="686">
        <v>1170</v>
      </c>
      <c r="C1142" s="687">
        <v>169550</v>
      </c>
      <c r="D1142" s="688" t="s">
        <v>68</v>
      </c>
      <c r="E1142" s="689">
        <v>0.01</v>
      </c>
      <c r="F1142" s="687">
        <f t="shared" si="17"/>
        <v>1695.5</v>
      </c>
    </row>
    <row r="1143" spans="1:6">
      <c r="A1143" s="685"/>
      <c r="B1143" s="686">
        <v>661</v>
      </c>
      <c r="C1143" s="687">
        <v>892000</v>
      </c>
      <c r="D1143" s="688" t="s">
        <v>68</v>
      </c>
      <c r="E1143" s="689">
        <v>0.1</v>
      </c>
      <c r="F1143" s="687">
        <f t="shared" si="17"/>
        <v>89200</v>
      </c>
    </row>
    <row r="1144" spans="1:6">
      <c r="A1144" s="685"/>
      <c r="B1144" s="686">
        <v>1477</v>
      </c>
      <c r="C1144" s="687">
        <v>242100</v>
      </c>
      <c r="D1144" s="688" t="s">
        <v>68</v>
      </c>
      <c r="E1144" s="689">
        <v>0.01</v>
      </c>
      <c r="F1144" s="687">
        <f t="shared" si="17"/>
        <v>2421</v>
      </c>
    </row>
    <row r="1145" spans="1:6">
      <c r="A1145" s="685"/>
      <c r="B1145" s="686">
        <v>1473</v>
      </c>
      <c r="C1145" s="687">
        <v>86800</v>
      </c>
      <c r="D1145" s="688" t="s">
        <v>68</v>
      </c>
      <c r="E1145" s="689">
        <v>0.01</v>
      </c>
      <c r="F1145" s="687">
        <f t="shared" si="17"/>
        <v>868</v>
      </c>
    </row>
    <row r="1146" spans="1:6">
      <c r="A1146" s="685"/>
      <c r="B1146" s="686">
        <v>1472</v>
      </c>
      <c r="C1146" s="687">
        <v>166700</v>
      </c>
      <c r="D1146" s="688" t="s">
        <v>68</v>
      </c>
      <c r="E1146" s="689">
        <v>0.01</v>
      </c>
      <c r="F1146" s="687">
        <f t="shared" si="17"/>
        <v>1667</v>
      </c>
    </row>
    <row r="1147" spans="1:6">
      <c r="A1147" s="688"/>
      <c r="B1147" s="686">
        <v>1941</v>
      </c>
      <c r="C1147" s="687">
        <v>194300</v>
      </c>
      <c r="D1147" s="688" t="s">
        <v>68</v>
      </c>
      <c r="E1147" s="689">
        <v>0.01</v>
      </c>
      <c r="F1147" s="687">
        <f t="shared" si="17"/>
        <v>1943</v>
      </c>
    </row>
    <row r="1148" spans="1:6">
      <c r="A1148" s="685"/>
      <c r="B1148" s="686">
        <v>1472</v>
      </c>
      <c r="C1148" s="687">
        <v>260400</v>
      </c>
      <c r="D1148" s="688" t="s">
        <v>68</v>
      </c>
      <c r="E1148" s="689">
        <v>0.01</v>
      </c>
      <c r="F1148" s="687">
        <f t="shared" si="17"/>
        <v>2604</v>
      </c>
    </row>
    <row r="1149" spans="1:6">
      <c r="A1149" s="685"/>
      <c r="B1149" s="686">
        <v>618</v>
      </c>
      <c r="C1149" s="687">
        <v>4133650</v>
      </c>
      <c r="D1149" s="688" t="s">
        <v>68</v>
      </c>
      <c r="E1149" s="689">
        <v>0.1</v>
      </c>
      <c r="F1149" s="687">
        <f t="shared" si="17"/>
        <v>413365</v>
      </c>
    </row>
    <row r="1150" spans="1:6">
      <c r="A1150" s="685"/>
      <c r="B1150" s="686">
        <v>666</v>
      </c>
      <c r="C1150" s="687">
        <v>94501</v>
      </c>
      <c r="D1150" s="688" t="s">
        <v>68</v>
      </c>
      <c r="E1150" s="689">
        <v>0.1</v>
      </c>
      <c r="F1150" s="687">
        <f t="shared" si="17"/>
        <v>9450.1</v>
      </c>
    </row>
    <row r="1151" spans="1:6">
      <c r="A1151" s="685"/>
      <c r="B1151" s="686">
        <v>3355</v>
      </c>
      <c r="C1151" s="687">
        <v>35352</v>
      </c>
      <c r="D1151" s="688" t="s">
        <v>68</v>
      </c>
      <c r="E1151" s="689">
        <v>0.01</v>
      </c>
      <c r="F1151" s="687">
        <f t="shared" si="17"/>
        <v>353.52</v>
      </c>
    </row>
    <row r="1152" spans="1:6">
      <c r="A1152" s="685"/>
      <c r="B1152" s="686">
        <v>3198</v>
      </c>
      <c r="C1152" s="687">
        <v>355846</v>
      </c>
      <c r="D1152" s="688" t="s">
        <v>68</v>
      </c>
      <c r="E1152" s="689">
        <v>0.01</v>
      </c>
      <c r="F1152" s="687">
        <f t="shared" si="17"/>
        <v>3558.46</v>
      </c>
    </row>
    <row r="1153" spans="1:6">
      <c r="A1153" s="685"/>
      <c r="B1153" s="686">
        <v>3177</v>
      </c>
      <c r="C1153" s="687">
        <v>238054</v>
      </c>
      <c r="D1153" s="688" t="s">
        <v>68</v>
      </c>
      <c r="E1153" s="689">
        <v>0.01</v>
      </c>
      <c r="F1153" s="687">
        <f t="shared" si="17"/>
        <v>2380.54</v>
      </c>
    </row>
    <row r="1154" spans="1:6">
      <c r="A1154" s="685"/>
      <c r="B1154" s="686">
        <v>3138</v>
      </c>
      <c r="C1154" s="687">
        <v>19736</v>
      </c>
      <c r="D1154" s="688" t="s">
        <v>68</v>
      </c>
      <c r="E1154" s="689">
        <v>0.01</v>
      </c>
      <c r="F1154" s="687">
        <f t="shared" si="17"/>
        <v>197.36</v>
      </c>
    </row>
    <row r="1155" spans="1:6">
      <c r="A1155" s="685"/>
      <c r="B1155" s="686">
        <v>3222</v>
      </c>
      <c r="C1155" s="687">
        <v>3933</v>
      </c>
      <c r="D1155" s="688" t="s">
        <v>68</v>
      </c>
      <c r="E1155" s="689">
        <v>0.01</v>
      </c>
      <c r="F1155" s="687">
        <f t="shared" ref="F1155:F1218" si="18">+C1155*E1155</f>
        <v>39.33</v>
      </c>
    </row>
    <row r="1156" spans="1:6">
      <c r="A1156" s="685"/>
      <c r="B1156" s="686">
        <v>3207</v>
      </c>
      <c r="C1156" s="687">
        <v>184608</v>
      </c>
      <c r="D1156" s="688" t="s">
        <v>68</v>
      </c>
      <c r="E1156" s="689">
        <v>0.01</v>
      </c>
      <c r="F1156" s="687">
        <f t="shared" si="18"/>
        <v>1846.08</v>
      </c>
    </row>
    <row r="1157" spans="1:6">
      <c r="A1157" s="685"/>
      <c r="B1157" s="686">
        <v>3168</v>
      </c>
      <c r="C1157" s="687">
        <v>19736</v>
      </c>
      <c r="D1157" s="688" t="s">
        <v>68</v>
      </c>
      <c r="E1157" s="689">
        <v>0.01</v>
      </c>
      <c r="F1157" s="687">
        <f t="shared" si="18"/>
        <v>197.36</v>
      </c>
    </row>
    <row r="1158" spans="1:6">
      <c r="A1158" s="685"/>
      <c r="B1158" s="686">
        <v>3149</v>
      </c>
      <c r="C1158" s="687">
        <v>140946</v>
      </c>
      <c r="D1158" s="688" t="s">
        <v>68</v>
      </c>
      <c r="E1158" s="689">
        <v>0.01</v>
      </c>
      <c r="F1158" s="687">
        <f t="shared" si="18"/>
        <v>1409.46</v>
      </c>
    </row>
    <row r="1159" spans="1:6">
      <c r="A1159" s="685"/>
      <c r="B1159" s="686">
        <v>3270</v>
      </c>
      <c r="C1159" s="687">
        <v>1399689</v>
      </c>
      <c r="D1159" s="688" t="s">
        <v>68</v>
      </c>
      <c r="E1159" s="689">
        <v>0.01</v>
      </c>
      <c r="F1159" s="687">
        <f t="shared" si="18"/>
        <v>13996.89</v>
      </c>
    </row>
    <row r="1160" spans="1:6">
      <c r="A1160" s="685"/>
      <c r="B1160" s="686">
        <v>3387</v>
      </c>
      <c r="C1160" s="687">
        <v>969588</v>
      </c>
      <c r="D1160" s="688" t="s">
        <v>68</v>
      </c>
      <c r="E1160" s="689">
        <v>0.01</v>
      </c>
      <c r="F1160" s="687">
        <f t="shared" si="18"/>
        <v>9695.880000000001</v>
      </c>
    </row>
    <row r="1161" spans="1:6">
      <c r="A1161" s="685"/>
      <c r="B1161" s="686">
        <v>1508</v>
      </c>
      <c r="C1161" s="687">
        <v>5040000</v>
      </c>
      <c r="D1161" s="688" t="s">
        <v>68</v>
      </c>
      <c r="E1161" s="689">
        <v>0.01</v>
      </c>
      <c r="F1161" s="687">
        <f t="shared" si="18"/>
        <v>50400</v>
      </c>
    </row>
    <row r="1162" spans="1:6">
      <c r="A1162" s="685"/>
      <c r="B1162" s="686">
        <v>1486</v>
      </c>
      <c r="C1162" s="687">
        <v>3341000</v>
      </c>
      <c r="D1162" s="688" t="s">
        <v>68</v>
      </c>
      <c r="E1162" s="689">
        <v>0.01</v>
      </c>
      <c r="F1162" s="687">
        <f t="shared" si="18"/>
        <v>33410</v>
      </c>
    </row>
    <row r="1163" spans="1:6">
      <c r="A1163" s="685"/>
      <c r="B1163" s="686">
        <v>3015</v>
      </c>
      <c r="C1163" s="687">
        <v>9310</v>
      </c>
      <c r="D1163" s="688" t="s">
        <v>68</v>
      </c>
      <c r="E1163" s="689">
        <v>0.01</v>
      </c>
      <c r="F1163" s="687">
        <f t="shared" si="18"/>
        <v>93.100000000000009</v>
      </c>
    </row>
    <row r="1164" spans="1:6">
      <c r="A1164" s="685"/>
      <c r="B1164" s="686">
        <v>1881</v>
      </c>
      <c r="C1164" s="687">
        <v>1416292</v>
      </c>
      <c r="D1164" s="688" t="s">
        <v>503</v>
      </c>
      <c r="E1164" s="689">
        <v>0</v>
      </c>
      <c r="F1164" s="687">
        <f t="shared" si="18"/>
        <v>0</v>
      </c>
    </row>
    <row r="1165" spans="1:6">
      <c r="A1165" s="685"/>
      <c r="B1165" s="686">
        <v>1732</v>
      </c>
      <c r="C1165" s="687">
        <v>2300</v>
      </c>
      <c r="D1165" s="688" t="s">
        <v>503</v>
      </c>
      <c r="E1165" s="689">
        <v>0</v>
      </c>
      <c r="F1165" s="687">
        <f t="shared" si="18"/>
        <v>0</v>
      </c>
    </row>
    <row r="1166" spans="1:6">
      <c r="A1166" s="685"/>
      <c r="B1166" s="686">
        <v>1728</v>
      </c>
      <c r="C1166" s="687">
        <v>63200</v>
      </c>
      <c r="D1166" s="688" t="s">
        <v>503</v>
      </c>
      <c r="E1166" s="689">
        <v>0</v>
      </c>
      <c r="F1166" s="687">
        <f t="shared" si="18"/>
        <v>0</v>
      </c>
    </row>
    <row r="1167" spans="1:6">
      <c r="A1167" s="685"/>
      <c r="B1167" s="686">
        <v>1728</v>
      </c>
      <c r="C1167" s="687">
        <v>24000</v>
      </c>
      <c r="D1167" s="688" t="s">
        <v>503</v>
      </c>
      <c r="E1167" s="689">
        <v>0</v>
      </c>
      <c r="F1167" s="687">
        <f t="shared" si="18"/>
        <v>0</v>
      </c>
    </row>
    <row r="1168" spans="1:6">
      <c r="A1168" s="685"/>
      <c r="B1168" s="686">
        <v>1728</v>
      </c>
      <c r="C1168" s="687">
        <v>5400</v>
      </c>
      <c r="D1168" s="688" t="s">
        <v>503</v>
      </c>
      <c r="E1168" s="689">
        <v>0</v>
      </c>
      <c r="F1168" s="687">
        <f t="shared" si="18"/>
        <v>0</v>
      </c>
    </row>
    <row r="1169" spans="1:6">
      <c r="A1169" s="685"/>
      <c r="B1169" s="686">
        <v>1726</v>
      </c>
      <c r="C1169" s="687">
        <v>2700</v>
      </c>
      <c r="D1169" s="688" t="s">
        <v>503</v>
      </c>
      <c r="E1169" s="689">
        <v>0</v>
      </c>
      <c r="F1169" s="687">
        <f t="shared" si="18"/>
        <v>0</v>
      </c>
    </row>
    <row r="1170" spans="1:6">
      <c r="A1170" s="685"/>
      <c r="B1170" s="686">
        <v>1725</v>
      </c>
      <c r="C1170" s="687">
        <v>96140</v>
      </c>
      <c r="D1170" s="688" t="s">
        <v>503</v>
      </c>
      <c r="E1170" s="689">
        <v>0</v>
      </c>
      <c r="F1170" s="687">
        <f t="shared" si="18"/>
        <v>0</v>
      </c>
    </row>
    <row r="1171" spans="1:6">
      <c r="A1171" s="685"/>
      <c r="B1171" s="686">
        <v>1723</v>
      </c>
      <c r="C1171" s="687">
        <v>11600</v>
      </c>
      <c r="D1171" s="688" t="s">
        <v>503</v>
      </c>
      <c r="E1171" s="689">
        <v>0</v>
      </c>
      <c r="F1171" s="687">
        <f t="shared" si="18"/>
        <v>0</v>
      </c>
    </row>
    <row r="1172" spans="1:6">
      <c r="A1172" s="685"/>
      <c r="B1172" s="686">
        <v>1722</v>
      </c>
      <c r="C1172" s="687">
        <v>25390</v>
      </c>
      <c r="D1172" s="688" t="s">
        <v>503</v>
      </c>
      <c r="E1172" s="689">
        <v>0</v>
      </c>
      <c r="F1172" s="687">
        <f t="shared" si="18"/>
        <v>0</v>
      </c>
    </row>
    <row r="1173" spans="1:6">
      <c r="A1173" s="685"/>
      <c r="B1173" s="686">
        <v>1721</v>
      </c>
      <c r="C1173" s="687">
        <v>71850</v>
      </c>
      <c r="D1173" s="688" t="s">
        <v>503</v>
      </c>
      <c r="E1173" s="689">
        <v>0</v>
      </c>
      <c r="F1173" s="687">
        <f t="shared" si="18"/>
        <v>0</v>
      </c>
    </row>
    <row r="1174" spans="1:6">
      <c r="A1174" s="685"/>
      <c r="B1174" s="686">
        <v>1721</v>
      </c>
      <c r="C1174" s="687">
        <v>72000</v>
      </c>
      <c r="D1174" s="688" t="s">
        <v>503</v>
      </c>
      <c r="E1174" s="689">
        <v>0</v>
      </c>
      <c r="F1174" s="687">
        <f t="shared" si="18"/>
        <v>0</v>
      </c>
    </row>
    <row r="1175" spans="1:6">
      <c r="A1175" s="685"/>
      <c r="B1175" s="686">
        <v>1718</v>
      </c>
      <c r="C1175" s="687">
        <v>2100</v>
      </c>
      <c r="D1175" s="688" t="s">
        <v>503</v>
      </c>
      <c r="E1175" s="689">
        <v>0</v>
      </c>
      <c r="F1175" s="687">
        <f t="shared" si="18"/>
        <v>0</v>
      </c>
    </row>
    <row r="1176" spans="1:6">
      <c r="A1176" s="685"/>
      <c r="B1176" s="686">
        <v>1716</v>
      </c>
      <c r="C1176" s="687">
        <v>24000</v>
      </c>
      <c r="D1176" s="688" t="s">
        <v>503</v>
      </c>
      <c r="E1176" s="689">
        <v>0</v>
      </c>
      <c r="F1176" s="687">
        <f t="shared" si="18"/>
        <v>0</v>
      </c>
    </row>
    <row r="1177" spans="1:6">
      <c r="A1177" s="685"/>
      <c r="B1177" s="686">
        <v>1716</v>
      </c>
      <c r="C1177" s="687">
        <v>170090</v>
      </c>
      <c r="D1177" s="688" t="s">
        <v>503</v>
      </c>
      <c r="E1177" s="689">
        <v>0</v>
      </c>
      <c r="F1177" s="687">
        <f t="shared" si="18"/>
        <v>0</v>
      </c>
    </row>
    <row r="1178" spans="1:6">
      <c r="A1178" s="685"/>
      <c r="B1178" s="686">
        <v>1715</v>
      </c>
      <c r="C1178" s="687">
        <v>54400</v>
      </c>
      <c r="D1178" s="688" t="s">
        <v>503</v>
      </c>
      <c r="E1178" s="689">
        <v>0</v>
      </c>
      <c r="F1178" s="687">
        <f t="shared" si="18"/>
        <v>0</v>
      </c>
    </row>
    <row r="1179" spans="1:6">
      <c r="A1179" s="685"/>
      <c r="B1179" s="686">
        <v>1714</v>
      </c>
      <c r="C1179" s="687">
        <v>116700</v>
      </c>
      <c r="D1179" s="688" t="s">
        <v>503</v>
      </c>
      <c r="E1179" s="689">
        <v>0</v>
      </c>
      <c r="F1179" s="687">
        <f t="shared" si="18"/>
        <v>0</v>
      </c>
    </row>
    <row r="1180" spans="1:6">
      <c r="A1180" s="685"/>
      <c r="B1180" s="686">
        <v>1971</v>
      </c>
      <c r="C1180" s="687">
        <v>58890</v>
      </c>
      <c r="D1180" s="688" t="s">
        <v>503</v>
      </c>
      <c r="E1180" s="689">
        <v>0</v>
      </c>
      <c r="F1180" s="687">
        <f t="shared" si="18"/>
        <v>0</v>
      </c>
    </row>
    <row r="1181" spans="1:6">
      <c r="A1181" s="685"/>
      <c r="B1181" s="686">
        <v>1971</v>
      </c>
      <c r="C1181" s="687">
        <v>12800</v>
      </c>
      <c r="D1181" s="688" t="s">
        <v>503</v>
      </c>
      <c r="E1181" s="689">
        <v>0</v>
      </c>
      <c r="F1181" s="687">
        <f t="shared" si="18"/>
        <v>0</v>
      </c>
    </row>
    <row r="1182" spans="1:6">
      <c r="A1182" s="685"/>
      <c r="B1182" s="686">
        <v>1971</v>
      </c>
      <c r="C1182" s="687">
        <v>10650</v>
      </c>
      <c r="D1182" s="688" t="s">
        <v>503</v>
      </c>
      <c r="E1182" s="689">
        <v>0</v>
      </c>
      <c r="F1182" s="687">
        <f t="shared" si="18"/>
        <v>0</v>
      </c>
    </row>
    <row r="1183" spans="1:6">
      <c r="A1183" s="685"/>
      <c r="B1183" s="686">
        <v>1881</v>
      </c>
      <c r="C1183" s="687">
        <v>2797600</v>
      </c>
      <c r="D1183" s="688" t="s">
        <v>503</v>
      </c>
      <c r="E1183" s="689">
        <v>0</v>
      </c>
      <c r="F1183" s="687">
        <f t="shared" si="18"/>
        <v>0</v>
      </c>
    </row>
    <row r="1184" spans="1:6">
      <c r="A1184" s="685"/>
      <c r="B1184" s="686">
        <v>1971</v>
      </c>
      <c r="C1184" s="687">
        <v>12300</v>
      </c>
      <c r="D1184" s="688" t="s">
        <v>503</v>
      </c>
      <c r="E1184" s="689">
        <v>0</v>
      </c>
      <c r="F1184" s="687">
        <f t="shared" si="18"/>
        <v>0</v>
      </c>
    </row>
    <row r="1185" spans="1:6">
      <c r="A1185" s="685"/>
      <c r="B1185" s="686">
        <v>1971</v>
      </c>
      <c r="C1185" s="687">
        <v>4400</v>
      </c>
      <c r="D1185" s="688" t="s">
        <v>503</v>
      </c>
      <c r="E1185" s="689">
        <v>0</v>
      </c>
      <c r="F1185" s="687">
        <f t="shared" si="18"/>
        <v>0</v>
      </c>
    </row>
    <row r="1186" spans="1:6">
      <c r="A1186" s="685"/>
      <c r="B1186" s="686">
        <v>1971</v>
      </c>
      <c r="C1186" s="687">
        <v>4400</v>
      </c>
      <c r="D1186" s="688" t="s">
        <v>503</v>
      </c>
      <c r="E1186" s="689">
        <v>0</v>
      </c>
      <c r="F1186" s="687">
        <f t="shared" si="18"/>
        <v>0</v>
      </c>
    </row>
    <row r="1187" spans="1:6">
      <c r="A1187" s="685"/>
      <c r="B1187" s="686">
        <v>1969</v>
      </c>
      <c r="C1187" s="687">
        <v>48991</v>
      </c>
      <c r="D1187" s="688" t="s">
        <v>503</v>
      </c>
      <c r="E1187" s="689">
        <v>0</v>
      </c>
      <c r="F1187" s="687">
        <f t="shared" si="18"/>
        <v>0</v>
      </c>
    </row>
    <row r="1188" spans="1:6">
      <c r="A1188" s="685"/>
      <c r="B1188" s="686">
        <v>1879</v>
      </c>
      <c r="C1188" s="687">
        <v>5211900</v>
      </c>
      <c r="D1188" s="688" t="s">
        <v>503</v>
      </c>
      <c r="E1188" s="689">
        <v>0</v>
      </c>
      <c r="F1188" s="687">
        <f t="shared" si="18"/>
        <v>0</v>
      </c>
    </row>
    <row r="1189" spans="1:6">
      <c r="A1189" s="685"/>
      <c r="B1189" s="686">
        <v>1879</v>
      </c>
      <c r="C1189" s="687">
        <v>5211900</v>
      </c>
      <c r="D1189" s="688" t="s">
        <v>503</v>
      </c>
      <c r="E1189" s="689">
        <v>0</v>
      </c>
      <c r="F1189" s="687">
        <f t="shared" si="18"/>
        <v>0</v>
      </c>
    </row>
    <row r="1190" spans="1:6">
      <c r="A1190" s="685"/>
      <c r="B1190" s="686">
        <v>1879</v>
      </c>
      <c r="C1190" s="687">
        <v>2414300</v>
      </c>
      <c r="D1190" s="688" t="s">
        <v>503</v>
      </c>
      <c r="E1190" s="689">
        <v>0</v>
      </c>
      <c r="F1190" s="687">
        <f t="shared" si="18"/>
        <v>0</v>
      </c>
    </row>
    <row r="1191" spans="1:6">
      <c r="A1191" s="685"/>
      <c r="B1191" s="686">
        <v>1878</v>
      </c>
      <c r="C1191" s="687">
        <v>2797600</v>
      </c>
      <c r="D1191" s="688" t="s">
        <v>503</v>
      </c>
      <c r="E1191" s="689">
        <v>0</v>
      </c>
      <c r="F1191" s="687">
        <f t="shared" si="18"/>
        <v>0</v>
      </c>
    </row>
    <row r="1192" spans="1:6">
      <c r="A1192" s="685"/>
      <c r="B1192" s="686">
        <v>1876</v>
      </c>
      <c r="C1192" s="687">
        <v>5211900</v>
      </c>
      <c r="D1192" s="688" t="s">
        <v>503</v>
      </c>
      <c r="E1192" s="689">
        <v>0</v>
      </c>
      <c r="F1192" s="687">
        <f t="shared" si="18"/>
        <v>0</v>
      </c>
    </row>
    <row r="1193" spans="1:6">
      <c r="A1193" s="685"/>
      <c r="B1193" s="686">
        <v>1876</v>
      </c>
      <c r="C1193" s="687">
        <v>5211900</v>
      </c>
      <c r="D1193" s="688" t="s">
        <v>503</v>
      </c>
      <c r="E1193" s="689">
        <v>0</v>
      </c>
      <c r="F1193" s="687">
        <f t="shared" si="18"/>
        <v>0</v>
      </c>
    </row>
    <row r="1194" spans="1:6">
      <c r="A1194" s="685"/>
      <c r="B1194" s="686">
        <v>1876</v>
      </c>
      <c r="C1194" s="687">
        <v>4828600</v>
      </c>
      <c r="D1194" s="688" t="s">
        <v>503</v>
      </c>
      <c r="E1194" s="689">
        <v>0</v>
      </c>
      <c r="F1194" s="687">
        <f t="shared" si="18"/>
        <v>0</v>
      </c>
    </row>
    <row r="1195" spans="1:6">
      <c r="A1195" s="685"/>
      <c r="B1195" s="686">
        <v>1876</v>
      </c>
      <c r="C1195" s="687">
        <v>4828600</v>
      </c>
      <c r="D1195" s="688" t="s">
        <v>503</v>
      </c>
      <c r="E1195" s="689">
        <v>0</v>
      </c>
      <c r="F1195" s="687">
        <f t="shared" si="18"/>
        <v>0</v>
      </c>
    </row>
    <row r="1196" spans="1:6">
      <c r="A1196" s="685"/>
      <c r="B1196" s="686">
        <v>1966</v>
      </c>
      <c r="C1196" s="687">
        <v>24800</v>
      </c>
      <c r="D1196" s="688" t="s">
        <v>503</v>
      </c>
      <c r="E1196" s="689">
        <v>0</v>
      </c>
      <c r="F1196" s="687">
        <f t="shared" si="18"/>
        <v>0</v>
      </c>
    </row>
    <row r="1197" spans="1:6">
      <c r="A1197" s="685"/>
      <c r="B1197" s="686">
        <v>1964</v>
      </c>
      <c r="C1197" s="687">
        <v>26600</v>
      </c>
      <c r="D1197" s="688" t="s">
        <v>503</v>
      </c>
      <c r="E1197" s="689">
        <v>0</v>
      </c>
      <c r="F1197" s="687">
        <f t="shared" si="18"/>
        <v>0</v>
      </c>
    </row>
    <row r="1198" spans="1:6">
      <c r="A1198" s="685"/>
      <c r="B1198" s="686">
        <v>1964</v>
      </c>
      <c r="C1198" s="687">
        <v>470850</v>
      </c>
      <c r="D1198" s="688" t="s">
        <v>503</v>
      </c>
      <c r="E1198" s="689">
        <v>0</v>
      </c>
      <c r="F1198" s="687">
        <f t="shared" si="18"/>
        <v>0</v>
      </c>
    </row>
    <row r="1199" spans="1:6">
      <c r="A1199" s="685"/>
      <c r="B1199" s="686">
        <v>1874</v>
      </c>
      <c r="C1199" s="687">
        <v>1601900</v>
      </c>
      <c r="D1199" s="688" t="s">
        <v>503</v>
      </c>
      <c r="E1199" s="689">
        <v>0</v>
      </c>
      <c r="F1199" s="687">
        <f t="shared" si="18"/>
        <v>0</v>
      </c>
    </row>
    <row r="1200" spans="1:6">
      <c r="A1200" s="685"/>
      <c r="B1200" s="686">
        <v>1874</v>
      </c>
      <c r="C1200" s="687">
        <v>2414300</v>
      </c>
      <c r="D1200" s="688" t="s">
        <v>503</v>
      </c>
      <c r="E1200" s="689">
        <v>0</v>
      </c>
      <c r="F1200" s="687">
        <f t="shared" si="18"/>
        <v>0</v>
      </c>
    </row>
    <row r="1201" spans="1:6">
      <c r="A1201" s="685"/>
      <c r="B1201" s="686">
        <v>1874</v>
      </c>
      <c r="C1201" s="687">
        <v>4828600</v>
      </c>
      <c r="D1201" s="688" t="s">
        <v>503</v>
      </c>
      <c r="E1201" s="689">
        <v>0</v>
      </c>
      <c r="F1201" s="687">
        <f t="shared" si="18"/>
        <v>0</v>
      </c>
    </row>
    <row r="1202" spans="1:6">
      <c r="A1202" s="685"/>
      <c r="B1202" s="686">
        <v>1964</v>
      </c>
      <c r="C1202" s="687">
        <v>82000</v>
      </c>
      <c r="D1202" s="688" t="s">
        <v>503</v>
      </c>
      <c r="E1202" s="689">
        <v>0</v>
      </c>
      <c r="F1202" s="687">
        <f t="shared" si="18"/>
        <v>0</v>
      </c>
    </row>
    <row r="1203" spans="1:6">
      <c r="A1203" s="685"/>
      <c r="B1203" s="686">
        <v>1964</v>
      </c>
      <c r="C1203" s="687">
        <v>21600</v>
      </c>
      <c r="D1203" s="688" t="s">
        <v>503</v>
      </c>
      <c r="E1203" s="689">
        <v>0</v>
      </c>
      <c r="F1203" s="687">
        <f t="shared" si="18"/>
        <v>0</v>
      </c>
    </row>
    <row r="1204" spans="1:6">
      <c r="A1204" s="685"/>
      <c r="B1204" s="686">
        <v>1964</v>
      </c>
      <c r="C1204" s="687">
        <v>21600</v>
      </c>
      <c r="D1204" s="688" t="s">
        <v>503</v>
      </c>
      <c r="E1204" s="689">
        <v>0</v>
      </c>
      <c r="F1204" s="687">
        <f t="shared" si="18"/>
        <v>0</v>
      </c>
    </row>
    <row r="1205" spans="1:6">
      <c r="A1205" s="685"/>
      <c r="B1205" s="686">
        <v>1964</v>
      </c>
      <c r="C1205" s="687">
        <v>21600</v>
      </c>
      <c r="D1205" s="688" t="s">
        <v>503</v>
      </c>
      <c r="E1205" s="689">
        <v>0</v>
      </c>
      <c r="F1205" s="687">
        <f t="shared" si="18"/>
        <v>0</v>
      </c>
    </row>
    <row r="1206" spans="1:6">
      <c r="A1206" s="685"/>
      <c r="B1206" s="686">
        <v>1964</v>
      </c>
      <c r="C1206" s="687">
        <v>21600</v>
      </c>
      <c r="D1206" s="688" t="s">
        <v>503</v>
      </c>
      <c r="E1206" s="689">
        <v>0</v>
      </c>
      <c r="F1206" s="687">
        <f t="shared" si="18"/>
        <v>0</v>
      </c>
    </row>
    <row r="1207" spans="1:6">
      <c r="A1207" s="685"/>
      <c r="B1207" s="686">
        <v>1963</v>
      </c>
      <c r="C1207" s="687">
        <v>58549</v>
      </c>
      <c r="D1207" s="688" t="s">
        <v>503</v>
      </c>
      <c r="E1207" s="689">
        <v>0</v>
      </c>
      <c r="F1207" s="687">
        <f t="shared" si="18"/>
        <v>0</v>
      </c>
    </row>
    <row r="1208" spans="1:6">
      <c r="A1208" s="685"/>
      <c r="B1208" s="686">
        <v>1963</v>
      </c>
      <c r="C1208" s="687">
        <v>27500</v>
      </c>
      <c r="D1208" s="688" t="s">
        <v>503</v>
      </c>
      <c r="E1208" s="689">
        <v>0</v>
      </c>
      <c r="F1208" s="687">
        <f t="shared" si="18"/>
        <v>0</v>
      </c>
    </row>
    <row r="1209" spans="1:6">
      <c r="A1209" s="685"/>
      <c r="B1209" s="686">
        <v>1872</v>
      </c>
      <c r="C1209" s="687">
        <v>5211900</v>
      </c>
      <c r="D1209" s="688" t="s">
        <v>503</v>
      </c>
      <c r="E1209" s="689">
        <v>0</v>
      </c>
      <c r="F1209" s="687">
        <f t="shared" si="18"/>
        <v>0</v>
      </c>
    </row>
    <row r="1210" spans="1:6">
      <c r="A1210" s="685"/>
      <c r="B1210" s="686">
        <v>1872</v>
      </c>
      <c r="C1210" s="687">
        <v>5211900</v>
      </c>
      <c r="D1210" s="688" t="s">
        <v>503</v>
      </c>
      <c r="E1210" s="689">
        <v>0</v>
      </c>
      <c r="F1210" s="687">
        <f t="shared" si="18"/>
        <v>0</v>
      </c>
    </row>
    <row r="1211" spans="1:6">
      <c r="A1211" s="685"/>
      <c r="B1211" s="686">
        <v>1872</v>
      </c>
      <c r="C1211" s="687">
        <v>3610000</v>
      </c>
      <c r="D1211" s="688" t="s">
        <v>503</v>
      </c>
      <c r="E1211" s="689">
        <v>0</v>
      </c>
      <c r="F1211" s="687">
        <f t="shared" si="18"/>
        <v>0</v>
      </c>
    </row>
    <row r="1212" spans="1:6">
      <c r="A1212" s="685"/>
      <c r="B1212" s="686">
        <v>1872</v>
      </c>
      <c r="C1212" s="687">
        <v>3610000</v>
      </c>
      <c r="D1212" s="688" t="s">
        <v>503</v>
      </c>
      <c r="E1212" s="689">
        <v>0</v>
      </c>
      <c r="F1212" s="687">
        <f t="shared" si="18"/>
        <v>0</v>
      </c>
    </row>
    <row r="1213" spans="1:6">
      <c r="A1213" s="685"/>
      <c r="B1213" s="686">
        <v>1961</v>
      </c>
      <c r="C1213" s="687">
        <v>272220</v>
      </c>
      <c r="D1213" s="688" t="s">
        <v>503</v>
      </c>
      <c r="E1213" s="689">
        <v>0</v>
      </c>
      <c r="F1213" s="687">
        <f t="shared" si="18"/>
        <v>0</v>
      </c>
    </row>
    <row r="1214" spans="1:6">
      <c r="A1214" s="685"/>
      <c r="B1214" s="686">
        <v>1961</v>
      </c>
      <c r="C1214" s="687">
        <v>22000</v>
      </c>
      <c r="D1214" s="688" t="s">
        <v>503</v>
      </c>
      <c r="E1214" s="689">
        <v>0</v>
      </c>
      <c r="F1214" s="687">
        <f t="shared" si="18"/>
        <v>0</v>
      </c>
    </row>
    <row r="1215" spans="1:6">
      <c r="A1215" s="685"/>
      <c r="B1215" s="686">
        <v>1870</v>
      </c>
      <c r="C1215" s="687">
        <v>2008100</v>
      </c>
      <c r="D1215" s="688" t="s">
        <v>503</v>
      </c>
      <c r="E1215" s="689">
        <v>0</v>
      </c>
      <c r="F1215" s="687">
        <f t="shared" si="18"/>
        <v>0</v>
      </c>
    </row>
    <row r="1216" spans="1:6">
      <c r="A1216" s="685"/>
      <c r="B1216" s="686">
        <v>1869</v>
      </c>
      <c r="C1216" s="687">
        <v>4016200</v>
      </c>
      <c r="D1216" s="688" t="s">
        <v>503</v>
      </c>
      <c r="E1216" s="689">
        <v>0</v>
      </c>
      <c r="F1216" s="687">
        <f t="shared" si="18"/>
        <v>0</v>
      </c>
    </row>
    <row r="1217" spans="1:6">
      <c r="A1217" s="685"/>
      <c r="B1217" s="686">
        <v>1869</v>
      </c>
      <c r="C1217" s="687">
        <v>4016200</v>
      </c>
      <c r="D1217" s="688" t="s">
        <v>503</v>
      </c>
      <c r="E1217" s="689">
        <v>0</v>
      </c>
      <c r="F1217" s="687">
        <f t="shared" si="18"/>
        <v>0</v>
      </c>
    </row>
    <row r="1218" spans="1:6">
      <c r="A1218" s="685"/>
      <c r="B1218" s="686">
        <v>1869</v>
      </c>
      <c r="C1218" s="687">
        <v>4016200</v>
      </c>
      <c r="D1218" s="688" t="s">
        <v>503</v>
      </c>
      <c r="E1218" s="689">
        <v>0</v>
      </c>
      <c r="F1218" s="687">
        <f t="shared" si="18"/>
        <v>0</v>
      </c>
    </row>
    <row r="1219" spans="1:6">
      <c r="A1219" s="685"/>
      <c r="B1219" s="686">
        <v>1959</v>
      </c>
      <c r="C1219" s="687">
        <v>683900</v>
      </c>
      <c r="D1219" s="688" t="s">
        <v>503</v>
      </c>
      <c r="E1219" s="689">
        <v>0</v>
      </c>
      <c r="F1219" s="687">
        <f t="shared" ref="F1219:F1282" si="19">+C1219*E1219</f>
        <v>0</v>
      </c>
    </row>
    <row r="1220" spans="1:6">
      <c r="A1220" s="685"/>
      <c r="B1220" s="686">
        <v>1867</v>
      </c>
      <c r="C1220" s="687">
        <v>1601900</v>
      </c>
      <c r="D1220" s="688" t="s">
        <v>503</v>
      </c>
      <c r="E1220" s="689">
        <v>0</v>
      </c>
      <c r="F1220" s="687">
        <f t="shared" si="19"/>
        <v>0</v>
      </c>
    </row>
    <row r="1221" spans="1:6">
      <c r="A1221" s="685"/>
      <c r="B1221" s="686">
        <v>1957</v>
      </c>
      <c r="C1221" s="687">
        <v>183000</v>
      </c>
      <c r="D1221" s="688" t="s">
        <v>503</v>
      </c>
      <c r="E1221" s="689">
        <v>0</v>
      </c>
      <c r="F1221" s="687">
        <f t="shared" si="19"/>
        <v>0</v>
      </c>
    </row>
    <row r="1222" spans="1:6">
      <c r="A1222" s="685"/>
      <c r="B1222" s="686">
        <v>1957</v>
      </c>
      <c r="C1222" s="687">
        <v>82000</v>
      </c>
      <c r="D1222" s="688" t="s">
        <v>503</v>
      </c>
      <c r="E1222" s="689">
        <v>0</v>
      </c>
      <c r="F1222" s="687">
        <f t="shared" si="19"/>
        <v>0</v>
      </c>
    </row>
    <row r="1223" spans="1:6">
      <c r="A1223" s="685"/>
      <c r="B1223" s="686">
        <v>1866</v>
      </c>
      <c r="C1223" s="687">
        <v>1218600</v>
      </c>
      <c r="D1223" s="688" t="s">
        <v>503</v>
      </c>
      <c r="E1223" s="689">
        <v>0</v>
      </c>
      <c r="F1223" s="687">
        <f t="shared" si="19"/>
        <v>0</v>
      </c>
    </row>
    <row r="1224" spans="1:6">
      <c r="A1224" s="685"/>
      <c r="B1224" s="686">
        <v>1865</v>
      </c>
      <c r="C1224" s="687">
        <v>1218600</v>
      </c>
      <c r="D1224" s="688" t="s">
        <v>503</v>
      </c>
      <c r="E1224" s="689">
        <v>0</v>
      </c>
      <c r="F1224" s="687">
        <f t="shared" si="19"/>
        <v>0</v>
      </c>
    </row>
    <row r="1225" spans="1:6">
      <c r="A1225" s="685"/>
      <c r="B1225" s="686">
        <v>1865</v>
      </c>
      <c r="C1225" s="687">
        <v>812400</v>
      </c>
      <c r="D1225" s="688" t="s">
        <v>503</v>
      </c>
      <c r="E1225" s="689">
        <v>0</v>
      </c>
      <c r="F1225" s="687">
        <f t="shared" si="19"/>
        <v>0</v>
      </c>
    </row>
    <row r="1226" spans="1:6">
      <c r="A1226" s="685"/>
      <c r="B1226" s="686">
        <v>1865</v>
      </c>
      <c r="C1226" s="687">
        <v>4445300</v>
      </c>
      <c r="D1226" s="688" t="s">
        <v>503</v>
      </c>
      <c r="E1226" s="689">
        <v>0</v>
      </c>
      <c r="F1226" s="687">
        <f t="shared" si="19"/>
        <v>0</v>
      </c>
    </row>
    <row r="1227" spans="1:6">
      <c r="A1227" s="685"/>
      <c r="B1227" s="686">
        <v>1955</v>
      </c>
      <c r="C1227" s="687">
        <v>5000</v>
      </c>
      <c r="D1227" s="688" t="s">
        <v>503</v>
      </c>
      <c r="E1227" s="689">
        <v>0</v>
      </c>
      <c r="F1227" s="687">
        <f t="shared" si="19"/>
        <v>0</v>
      </c>
    </row>
    <row r="1228" spans="1:6">
      <c r="A1228" s="685"/>
      <c r="B1228" s="686">
        <v>1865</v>
      </c>
      <c r="C1228" s="687">
        <v>3610000</v>
      </c>
      <c r="D1228" s="688" t="s">
        <v>503</v>
      </c>
      <c r="E1228" s="689">
        <v>0</v>
      </c>
      <c r="F1228" s="687">
        <f t="shared" si="19"/>
        <v>0</v>
      </c>
    </row>
    <row r="1229" spans="1:6">
      <c r="A1229" s="685"/>
      <c r="B1229" s="686">
        <v>1863</v>
      </c>
      <c r="C1229" s="687">
        <v>2414300</v>
      </c>
      <c r="D1229" s="688" t="s">
        <v>503</v>
      </c>
      <c r="E1229" s="689">
        <v>0</v>
      </c>
      <c r="F1229" s="687">
        <f t="shared" si="19"/>
        <v>0</v>
      </c>
    </row>
    <row r="1230" spans="1:6">
      <c r="A1230" s="685"/>
      <c r="B1230" s="686">
        <v>1863</v>
      </c>
      <c r="C1230" s="687">
        <v>2797600</v>
      </c>
      <c r="D1230" s="688" t="s">
        <v>503</v>
      </c>
      <c r="E1230" s="689">
        <v>0</v>
      </c>
      <c r="F1230" s="687">
        <f t="shared" si="19"/>
        <v>0</v>
      </c>
    </row>
    <row r="1231" spans="1:6">
      <c r="A1231" s="685"/>
      <c r="B1231" s="686">
        <v>1863</v>
      </c>
      <c r="C1231" s="687">
        <v>2414300</v>
      </c>
      <c r="D1231" s="688" t="s">
        <v>503</v>
      </c>
      <c r="E1231" s="689">
        <v>0</v>
      </c>
      <c r="F1231" s="687">
        <f t="shared" si="19"/>
        <v>0</v>
      </c>
    </row>
    <row r="1232" spans="1:6">
      <c r="A1232" s="685"/>
      <c r="B1232" s="686">
        <v>1862</v>
      </c>
      <c r="C1232" s="687">
        <v>2414300</v>
      </c>
      <c r="D1232" s="688" t="s">
        <v>503</v>
      </c>
      <c r="E1232" s="689">
        <v>0</v>
      </c>
      <c r="F1232" s="687">
        <f t="shared" si="19"/>
        <v>0</v>
      </c>
    </row>
    <row r="1233" spans="1:6">
      <c r="A1233" s="685"/>
      <c r="B1233" s="686">
        <v>1952</v>
      </c>
      <c r="C1233" s="687">
        <v>25650</v>
      </c>
      <c r="D1233" s="688" t="s">
        <v>503</v>
      </c>
      <c r="E1233" s="689">
        <v>0</v>
      </c>
      <c r="F1233" s="687">
        <f t="shared" si="19"/>
        <v>0</v>
      </c>
    </row>
    <row r="1234" spans="1:6">
      <c r="A1234" s="685"/>
      <c r="B1234" s="686">
        <v>1860</v>
      </c>
      <c r="C1234" s="687">
        <v>1218600</v>
      </c>
      <c r="D1234" s="688" t="s">
        <v>503</v>
      </c>
      <c r="E1234" s="689">
        <v>0</v>
      </c>
      <c r="F1234" s="687">
        <f t="shared" si="19"/>
        <v>0</v>
      </c>
    </row>
    <row r="1235" spans="1:6">
      <c r="A1235" s="685"/>
      <c r="B1235" s="686">
        <v>1860</v>
      </c>
      <c r="C1235" s="687">
        <v>2797600</v>
      </c>
      <c r="D1235" s="688" t="s">
        <v>503</v>
      </c>
      <c r="E1235" s="689">
        <v>0</v>
      </c>
      <c r="F1235" s="687">
        <f t="shared" si="19"/>
        <v>0</v>
      </c>
    </row>
    <row r="1236" spans="1:6">
      <c r="A1236" s="685"/>
      <c r="B1236" s="686">
        <v>1860</v>
      </c>
      <c r="C1236" s="687">
        <v>5211900</v>
      </c>
      <c r="D1236" s="688" t="s">
        <v>503</v>
      </c>
      <c r="E1236" s="689">
        <v>0</v>
      </c>
      <c r="F1236" s="687">
        <f t="shared" si="19"/>
        <v>0</v>
      </c>
    </row>
    <row r="1237" spans="1:6">
      <c r="A1237" s="685"/>
      <c r="B1237" s="686">
        <v>1860</v>
      </c>
      <c r="C1237" s="687">
        <v>2797600</v>
      </c>
      <c r="D1237" s="688" t="s">
        <v>503</v>
      </c>
      <c r="E1237" s="689">
        <v>0</v>
      </c>
      <c r="F1237" s="687">
        <f t="shared" si="19"/>
        <v>0</v>
      </c>
    </row>
    <row r="1238" spans="1:6">
      <c r="A1238" s="685"/>
      <c r="B1238" s="686">
        <v>1860</v>
      </c>
      <c r="C1238" s="687">
        <v>2414300</v>
      </c>
      <c r="D1238" s="688" t="s">
        <v>503</v>
      </c>
      <c r="E1238" s="689">
        <v>0</v>
      </c>
      <c r="F1238" s="687">
        <f t="shared" si="19"/>
        <v>0</v>
      </c>
    </row>
    <row r="1239" spans="1:6">
      <c r="A1239" s="685"/>
      <c r="B1239" s="686">
        <v>1860</v>
      </c>
      <c r="C1239" s="687">
        <v>740000</v>
      </c>
      <c r="D1239" s="688" t="s">
        <v>503</v>
      </c>
      <c r="E1239" s="689">
        <v>0</v>
      </c>
      <c r="F1239" s="687">
        <f t="shared" si="19"/>
        <v>0</v>
      </c>
    </row>
    <row r="1240" spans="1:6">
      <c r="A1240" s="685"/>
      <c r="B1240" s="686">
        <v>1950</v>
      </c>
      <c r="C1240" s="687">
        <v>18650</v>
      </c>
      <c r="D1240" s="688" t="s">
        <v>503</v>
      </c>
      <c r="E1240" s="689">
        <v>0</v>
      </c>
      <c r="F1240" s="687">
        <f t="shared" si="19"/>
        <v>0</v>
      </c>
    </row>
    <row r="1241" spans="1:6">
      <c r="A1241" s="685"/>
      <c r="B1241" s="686">
        <v>1860</v>
      </c>
      <c r="C1241" s="687">
        <v>2414300</v>
      </c>
      <c r="D1241" s="688" t="s">
        <v>503</v>
      </c>
      <c r="E1241" s="689">
        <v>0</v>
      </c>
      <c r="F1241" s="687">
        <f t="shared" si="19"/>
        <v>0</v>
      </c>
    </row>
    <row r="1242" spans="1:6">
      <c r="A1242" s="685"/>
      <c r="B1242" s="686">
        <v>1950</v>
      </c>
      <c r="C1242" s="687">
        <v>251998</v>
      </c>
      <c r="D1242" s="688" t="s">
        <v>503</v>
      </c>
      <c r="E1242" s="689">
        <v>0</v>
      </c>
      <c r="F1242" s="687">
        <f t="shared" si="19"/>
        <v>0</v>
      </c>
    </row>
    <row r="1243" spans="1:6">
      <c r="A1243" s="685"/>
      <c r="B1243" s="686">
        <v>1860</v>
      </c>
      <c r="C1243" s="687">
        <v>812400</v>
      </c>
      <c r="D1243" s="688" t="s">
        <v>503</v>
      </c>
      <c r="E1243" s="689">
        <v>0</v>
      </c>
      <c r="F1243" s="687">
        <f t="shared" si="19"/>
        <v>0</v>
      </c>
    </row>
    <row r="1244" spans="1:6">
      <c r="A1244" s="685"/>
      <c r="B1244" s="686">
        <v>1860</v>
      </c>
      <c r="C1244" s="687">
        <v>2031000</v>
      </c>
      <c r="D1244" s="688" t="s">
        <v>503</v>
      </c>
      <c r="E1244" s="689">
        <v>0</v>
      </c>
      <c r="F1244" s="687">
        <f t="shared" si="19"/>
        <v>0</v>
      </c>
    </row>
    <row r="1245" spans="1:6">
      <c r="A1245" s="685"/>
      <c r="B1245" s="686">
        <v>1859</v>
      </c>
      <c r="C1245" s="687">
        <v>2797600</v>
      </c>
      <c r="D1245" s="688" t="s">
        <v>503</v>
      </c>
      <c r="E1245" s="689">
        <v>0</v>
      </c>
      <c r="F1245" s="687">
        <f t="shared" si="19"/>
        <v>0</v>
      </c>
    </row>
    <row r="1246" spans="1:6">
      <c r="A1246" s="685"/>
      <c r="B1246" s="686">
        <v>1859</v>
      </c>
      <c r="C1246" s="687">
        <v>2414300</v>
      </c>
      <c r="D1246" s="688" t="s">
        <v>503</v>
      </c>
      <c r="E1246" s="689">
        <v>0</v>
      </c>
      <c r="F1246" s="687">
        <f t="shared" si="19"/>
        <v>0</v>
      </c>
    </row>
    <row r="1247" spans="1:6">
      <c r="A1247" s="685"/>
      <c r="B1247" s="686">
        <v>1858</v>
      </c>
      <c r="C1247" s="687">
        <v>2031000</v>
      </c>
      <c r="D1247" s="688" t="s">
        <v>503</v>
      </c>
      <c r="E1247" s="689">
        <v>0</v>
      </c>
      <c r="F1247" s="687">
        <f t="shared" si="19"/>
        <v>0</v>
      </c>
    </row>
    <row r="1248" spans="1:6">
      <c r="A1248" s="685"/>
      <c r="B1248" s="686">
        <v>1947</v>
      </c>
      <c r="C1248" s="687">
        <v>27500</v>
      </c>
      <c r="D1248" s="688" t="s">
        <v>503</v>
      </c>
      <c r="E1248" s="689">
        <v>0</v>
      </c>
      <c r="F1248" s="687">
        <f t="shared" si="19"/>
        <v>0</v>
      </c>
    </row>
    <row r="1249" spans="1:6">
      <c r="A1249" s="685"/>
      <c r="B1249" s="686">
        <v>1947</v>
      </c>
      <c r="C1249" s="687">
        <v>16600</v>
      </c>
      <c r="D1249" s="688" t="s">
        <v>503</v>
      </c>
      <c r="E1249" s="689">
        <v>0</v>
      </c>
      <c r="F1249" s="687">
        <f t="shared" si="19"/>
        <v>0</v>
      </c>
    </row>
    <row r="1250" spans="1:6">
      <c r="A1250" s="685"/>
      <c r="B1250" s="686">
        <v>1945</v>
      </c>
      <c r="C1250" s="687">
        <v>20700</v>
      </c>
      <c r="D1250" s="688" t="s">
        <v>503</v>
      </c>
      <c r="E1250" s="689">
        <v>0</v>
      </c>
      <c r="F1250" s="687">
        <f t="shared" si="19"/>
        <v>0</v>
      </c>
    </row>
    <row r="1251" spans="1:6">
      <c r="A1251" s="685"/>
      <c r="B1251" s="686">
        <v>1945</v>
      </c>
      <c r="C1251" s="687">
        <v>10285</v>
      </c>
      <c r="D1251" s="688" t="s">
        <v>503</v>
      </c>
      <c r="E1251" s="689">
        <v>0</v>
      </c>
      <c r="F1251" s="687">
        <f t="shared" si="19"/>
        <v>0</v>
      </c>
    </row>
    <row r="1252" spans="1:6">
      <c r="A1252" s="685"/>
      <c r="B1252" s="686">
        <v>1945</v>
      </c>
      <c r="C1252" s="687">
        <v>11000</v>
      </c>
      <c r="D1252" s="688" t="s">
        <v>503</v>
      </c>
      <c r="E1252" s="689">
        <v>0</v>
      </c>
      <c r="F1252" s="687">
        <f t="shared" si="19"/>
        <v>0</v>
      </c>
    </row>
    <row r="1253" spans="1:6">
      <c r="A1253" s="685"/>
      <c r="B1253" s="686">
        <v>1945</v>
      </c>
      <c r="C1253" s="687">
        <v>123500</v>
      </c>
      <c r="D1253" s="688" t="s">
        <v>503</v>
      </c>
      <c r="E1253" s="689">
        <v>0</v>
      </c>
      <c r="F1253" s="687">
        <f t="shared" si="19"/>
        <v>0</v>
      </c>
    </row>
    <row r="1254" spans="1:6">
      <c r="A1254" s="685"/>
      <c r="B1254" s="686">
        <v>1945</v>
      </c>
      <c r="C1254" s="687">
        <v>11000</v>
      </c>
      <c r="D1254" s="688" t="s">
        <v>503</v>
      </c>
      <c r="E1254" s="689">
        <v>0</v>
      </c>
      <c r="F1254" s="687">
        <f t="shared" si="19"/>
        <v>0</v>
      </c>
    </row>
    <row r="1255" spans="1:6">
      <c r="A1255" s="685"/>
      <c r="B1255" s="686">
        <v>1855</v>
      </c>
      <c r="C1255" s="687">
        <v>2797600</v>
      </c>
      <c r="D1255" s="688" t="s">
        <v>503</v>
      </c>
      <c r="E1255" s="689">
        <v>0</v>
      </c>
      <c r="F1255" s="687">
        <f t="shared" si="19"/>
        <v>0</v>
      </c>
    </row>
    <row r="1256" spans="1:6">
      <c r="A1256" s="685"/>
      <c r="B1256" s="686">
        <v>1855</v>
      </c>
      <c r="C1256" s="687">
        <v>2414300</v>
      </c>
      <c r="D1256" s="688" t="s">
        <v>503</v>
      </c>
      <c r="E1256" s="689">
        <v>0</v>
      </c>
      <c r="F1256" s="687">
        <f t="shared" si="19"/>
        <v>0</v>
      </c>
    </row>
    <row r="1257" spans="1:6">
      <c r="A1257" s="685"/>
      <c r="B1257" s="686">
        <v>1853</v>
      </c>
      <c r="C1257" s="687">
        <v>2414300</v>
      </c>
      <c r="D1257" s="688" t="s">
        <v>503</v>
      </c>
      <c r="E1257" s="689">
        <v>0</v>
      </c>
      <c r="F1257" s="687">
        <f t="shared" si="19"/>
        <v>0</v>
      </c>
    </row>
    <row r="1258" spans="1:6">
      <c r="A1258" s="685"/>
      <c r="B1258" s="686">
        <v>1853</v>
      </c>
      <c r="C1258" s="687">
        <v>2414300</v>
      </c>
      <c r="D1258" s="688" t="s">
        <v>503</v>
      </c>
      <c r="E1258" s="689">
        <v>0</v>
      </c>
      <c r="F1258" s="687">
        <f t="shared" si="19"/>
        <v>0</v>
      </c>
    </row>
    <row r="1259" spans="1:6">
      <c r="A1259" s="685"/>
      <c r="B1259" s="686">
        <v>1943</v>
      </c>
      <c r="C1259" s="687">
        <v>1030700</v>
      </c>
      <c r="D1259" s="688" t="s">
        <v>503</v>
      </c>
      <c r="E1259" s="689">
        <v>0</v>
      </c>
      <c r="F1259" s="687">
        <f t="shared" si="19"/>
        <v>0</v>
      </c>
    </row>
    <row r="1260" spans="1:6">
      <c r="A1260" s="685"/>
      <c r="B1260" s="686">
        <v>1853</v>
      </c>
      <c r="C1260" s="687">
        <v>406200</v>
      </c>
      <c r="D1260" s="688" t="s">
        <v>503</v>
      </c>
      <c r="E1260" s="689">
        <v>0</v>
      </c>
      <c r="F1260" s="687">
        <f t="shared" si="19"/>
        <v>0</v>
      </c>
    </row>
    <row r="1261" spans="1:6">
      <c r="A1261" s="685"/>
      <c r="B1261" s="686">
        <v>1853</v>
      </c>
      <c r="C1261" s="687">
        <v>2797600</v>
      </c>
      <c r="D1261" s="688" t="s">
        <v>503</v>
      </c>
      <c r="E1261" s="689">
        <v>0</v>
      </c>
      <c r="F1261" s="687">
        <f t="shared" si="19"/>
        <v>0</v>
      </c>
    </row>
    <row r="1262" spans="1:6">
      <c r="A1262" s="685"/>
      <c r="B1262" s="686">
        <v>1943</v>
      </c>
      <c r="C1262" s="687">
        <v>514842</v>
      </c>
      <c r="D1262" s="688" t="s">
        <v>503</v>
      </c>
      <c r="E1262" s="689">
        <v>0</v>
      </c>
      <c r="F1262" s="687">
        <f t="shared" si="19"/>
        <v>0</v>
      </c>
    </row>
    <row r="1263" spans="1:6">
      <c r="A1263" s="685"/>
      <c r="B1263" s="686">
        <v>1851</v>
      </c>
      <c r="C1263" s="687">
        <v>1218600</v>
      </c>
      <c r="D1263" s="688" t="s">
        <v>503</v>
      </c>
      <c r="E1263" s="689">
        <v>0</v>
      </c>
      <c r="F1263" s="687">
        <f t="shared" si="19"/>
        <v>0</v>
      </c>
    </row>
    <row r="1264" spans="1:6">
      <c r="A1264" s="685"/>
      <c r="B1264" s="686">
        <v>1936</v>
      </c>
      <c r="C1264" s="687">
        <v>2303600</v>
      </c>
      <c r="D1264" s="688" t="s">
        <v>503</v>
      </c>
      <c r="E1264" s="689">
        <v>0</v>
      </c>
      <c r="F1264" s="687">
        <f t="shared" si="19"/>
        <v>0</v>
      </c>
    </row>
    <row r="1265" spans="1:6">
      <c r="A1265" s="685"/>
      <c r="B1265" s="686">
        <v>1936</v>
      </c>
      <c r="C1265" s="687">
        <v>82800</v>
      </c>
      <c r="D1265" s="688" t="s">
        <v>503</v>
      </c>
      <c r="E1265" s="689">
        <v>0</v>
      </c>
      <c r="F1265" s="687">
        <f t="shared" si="19"/>
        <v>0</v>
      </c>
    </row>
    <row r="1266" spans="1:6">
      <c r="A1266" s="685"/>
      <c r="B1266" s="686">
        <v>1935</v>
      </c>
      <c r="C1266" s="687">
        <v>201800</v>
      </c>
      <c r="D1266" s="688" t="s">
        <v>503</v>
      </c>
      <c r="E1266" s="689">
        <v>0</v>
      </c>
      <c r="F1266" s="687">
        <f t="shared" si="19"/>
        <v>0</v>
      </c>
    </row>
    <row r="1267" spans="1:6">
      <c r="A1267" s="685"/>
      <c r="B1267" s="686">
        <v>1935</v>
      </c>
      <c r="C1267" s="687">
        <v>3337800</v>
      </c>
      <c r="D1267" s="688" t="s">
        <v>503</v>
      </c>
      <c r="E1267" s="689">
        <v>0</v>
      </c>
      <c r="F1267" s="687">
        <f t="shared" si="19"/>
        <v>0</v>
      </c>
    </row>
    <row r="1268" spans="1:6">
      <c r="A1268" s="685"/>
      <c r="B1268" s="686">
        <v>1842</v>
      </c>
      <c r="C1268" s="687">
        <v>2031000</v>
      </c>
      <c r="D1268" s="688" t="s">
        <v>503</v>
      </c>
      <c r="E1268" s="689">
        <v>0</v>
      </c>
      <c r="F1268" s="687">
        <f t="shared" si="19"/>
        <v>0</v>
      </c>
    </row>
    <row r="1269" spans="1:6">
      <c r="A1269" s="685"/>
      <c r="B1269" s="686">
        <v>1932</v>
      </c>
      <c r="C1269" s="687">
        <v>167000</v>
      </c>
      <c r="D1269" s="688" t="s">
        <v>503</v>
      </c>
      <c r="E1269" s="689">
        <v>0</v>
      </c>
      <c r="F1269" s="687">
        <f t="shared" si="19"/>
        <v>0</v>
      </c>
    </row>
    <row r="1270" spans="1:6">
      <c r="A1270" s="685"/>
      <c r="B1270" s="686">
        <v>1932</v>
      </c>
      <c r="C1270" s="687">
        <v>11000</v>
      </c>
      <c r="D1270" s="688" t="s">
        <v>503</v>
      </c>
      <c r="E1270" s="689">
        <v>0</v>
      </c>
      <c r="F1270" s="687">
        <f t="shared" si="19"/>
        <v>0</v>
      </c>
    </row>
    <row r="1271" spans="1:6">
      <c r="A1271" s="685"/>
      <c r="B1271" s="686">
        <v>1841</v>
      </c>
      <c r="C1271" s="687">
        <v>2031000</v>
      </c>
      <c r="D1271" s="688" t="s">
        <v>503</v>
      </c>
      <c r="E1271" s="689">
        <v>0</v>
      </c>
      <c r="F1271" s="687">
        <f t="shared" si="19"/>
        <v>0</v>
      </c>
    </row>
    <row r="1272" spans="1:6">
      <c r="A1272" s="685"/>
      <c r="B1272" s="686">
        <v>1929</v>
      </c>
      <c r="C1272" s="687">
        <v>23900</v>
      </c>
      <c r="D1272" s="688" t="s">
        <v>503</v>
      </c>
      <c r="E1272" s="689">
        <v>0</v>
      </c>
      <c r="F1272" s="687">
        <f t="shared" si="19"/>
        <v>0</v>
      </c>
    </row>
    <row r="1273" spans="1:6">
      <c r="A1273" s="685"/>
      <c r="B1273" s="686">
        <v>1929</v>
      </c>
      <c r="C1273" s="687">
        <v>26750</v>
      </c>
      <c r="D1273" s="688" t="s">
        <v>503</v>
      </c>
      <c r="E1273" s="689">
        <v>0</v>
      </c>
      <c r="F1273" s="687">
        <f t="shared" si="19"/>
        <v>0</v>
      </c>
    </row>
    <row r="1274" spans="1:6">
      <c r="A1274" s="685"/>
      <c r="B1274" s="686">
        <v>1929</v>
      </c>
      <c r="C1274" s="687">
        <v>281700</v>
      </c>
      <c r="D1274" s="688" t="s">
        <v>503</v>
      </c>
      <c r="E1274" s="689">
        <v>0</v>
      </c>
      <c r="F1274" s="687">
        <f t="shared" si="19"/>
        <v>0</v>
      </c>
    </row>
    <row r="1275" spans="1:6">
      <c r="A1275" s="685"/>
      <c r="B1275" s="686">
        <v>1838</v>
      </c>
      <c r="C1275" s="687">
        <v>812400</v>
      </c>
      <c r="D1275" s="688" t="s">
        <v>503</v>
      </c>
      <c r="E1275" s="689">
        <v>0</v>
      </c>
      <c r="F1275" s="687">
        <f t="shared" si="19"/>
        <v>0</v>
      </c>
    </row>
    <row r="1276" spans="1:6">
      <c r="A1276" s="685"/>
      <c r="B1276" s="686">
        <v>1928</v>
      </c>
      <c r="C1276" s="687">
        <v>225100</v>
      </c>
      <c r="D1276" s="688" t="s">
        <v>503</v>
      </c>
      <c r="E1276" s="689">
        <v>0</v>
      </c>
      <c r="F1276" s="687">
        <f t="shared" si="19"/>
        <v>0</v>
      </c>
    </row>
    <row r="1277" spans="1:6">
      <c r="A1277" s="685"/>
      <c r="B1277" s="686">
        <v>1927</v>
      </c>
      <c r="C1277" s="687">
        <v>147100</v>
      </c>
      <c r="D1277" s="688" t="s">
        <v>503</v>
      </c>
      <c r="E1277" s="689">
        <v>0</v>
      </c>
      <c r="F1277" s="687">
        <f t="shared" si="19"/>
        <v>0</v>
      </c>
    </row>
    <row r="1278" spans="1:6">
      <c r="A1278" s="685"/>
      <c r="B1278" s="686">
        <v>1926</v>
      </c>
      <c r="C1278" s="687">
        <v>8550</v>
      </c>
      <c r="D1278" s="688" t="s">
        <v>503</v>
      </c>
      <c r="E1278" s="689">
        <v>0</v>
      </c>
      <c r="F1278" s="687">
        <f t="shared" si="19"/>
        <v>0</v>
      </c>
    </row>
    <row r="1279" spans="1:6">
      <c r="A1279" s="685"/>
      <c r="B1279" s="686">
        <v>1926</v>
      </c>
      <c r="C1279" s="687">
        <v>20400</v>
      </c>
      <c r="D1279" s="688" t="s">
        <v>503</v>
      </c>
      <c r="E1279" s="689">
        <v>0</v>
      </c>
      <c r="F1279" s="687">
        <f t="shared" si="19"/>
        <v>0</v>
      </c>
    </row>
    <row r="1280" spans="1:6">
      <c r="A1280" s="685"/>
      <c r="B1280" s="686">
        <v>1926</v>
      </c>
      <c r="C1280" s="687">
        <v>5850</v>
      </c>
      <c r="D1280" s="688" t="s">
        <v>503</v>
      </c>
      <c r="E1280" s="689">
        <v>0</v>
      </c>
      <c r="F1280" s="687">
        <f t="shared" si="19"/>
        <v>0</v>
      </c>
    </row>
    <row r="1281" spans="1:6">
      <c r="A1281" s="685"/>
      <c r="B1281" s="686">
        <v>1926</v>
      </c>
      <c r="C1281" s="687">
        <v>45641</v>
      </c>
      <c r="D1281" s="688" t="s">
        <v>503</v>
      </c>
      <c r="E1281" s="689">
        <v>0</v>
      </c>
      <c r="F1281" s="687">
        <f t="shared" si="19"/>
        <v>0</v>
      </c>
    </row>
    <row r="1282" spans="1:6">
      <c r="A1282" s="685"/>
      <c r="B1282" s="686">
        <v>1924</v>
      </c>
      <c r="C1282" s="687">
        <v>123500</v>
      </c>
      <c r="D1282" s="688" t="s">
        <v>503</v>
      </c>
      <c r="E1282" s="689">
        <v>0</v>
      </c>
      <c r="F1282" s="687">
        <f t="shared" si="19"/>
        <v>0</v>
      </c>
    </row>
    <row r="1283" spans="1:6">
      <c r="A1283" s="685"/>
      <c r="B1283" s="686">
        <v>1924</v>
      </c>
      <c r="C1283" s="687">
        <v>27850</v>
      </c>
      <c r="D1283" s="688" t="s">
        <v>503</v>
      </c>
      <c r="E1283" s="689">
        <v>0</v>
      </c>
      <c r="F1283" s="687">
        <f t="shared" ref="F1283:F1346" si="20">+C1283*E1283</f>
        <v>0</v>
      </c>
    </row>
    <row r="1284" spans="1:6">
      <c r="A1284" s="685"/>
      <c r="B1284" s="686">
        <v>1920</v>
      </c>
      <c r="C1284" s="687">
        <v>242474</v>
      </c>
      <c r="D1284" s="688" t="s">
        <v>503</v>
      </c>
      <c r="E1284" s="689">
        <v>0</v>
      </c>
      <c r="F1284" s="687">
        <f t="shared" si="20"/>
        <v>0</v>
      </c>
    </row>
    <row r="1285" spans="1:6">
      <c r="A1285" s="685"/>
      <c r="B1285" s="686">
        <v>1920</v>
      </c>
      <c r="C1285" s="687">
        <v>6100</v>
      </c>
      <c r="D1285" s="688" t="s">
        <v>503</v>
      </c>
      <c r="E1285" s="689">
        <v>0</v>
      </c>
      <c r="F1285" s="687">
        <f t="shared" si="20"/>
        <v>0</v>
      </c>
    </row>
    <row r="1286" spans="1:6">
      <c r="A1286" s="685"/>
      <c r="B1286" s="686">
        <v>1917</v>
      </c>
      <c r="C1286" s="687">
        <v>198600</v>
      </c>
      <c r="D1286" s="688" t="s">
        <v>503</v>
      </c>
      <c r="E1286" s="689">
        <v>0</v>
      </c>
      <c r="F1286" s="687">
        <f t="shared" si="20"/>
        <v>0</v>
      </c>
    </row>
    <row r="1287" spans="1:6">
      <c r="A1287" s="685"/>
      <c r="B1287" s="686">
        <v>1915</v>
      </c>
      <c r="C1287" s="687">
        <v>94350</v>
      </c>
      <c r="D1287" s="688" t="s">
        <v>503</v>
      </c>
      <c r="E1287" s="689">
        <v>0</v>
      </c>
      <c r="F1287" s="687">
        <f t="shared" si="20"/>
        <v>0</v>
      </c>
    </row>
    <row r="1288" spans="1:6">
      <c r="A1288" s="685"/>
      <c r="B1288" s="686">
        <v>1913</v>
      </c>
      <c r="C1288" s="687">
        <v>68300</v>
      </c>
      <c r="D1288" s="688" t="s">
        <v>503</v>
      </c>
      <c r="E1288" s="689">
        <v>0</v>
      </c>
      <c r="F1288" s="687">
        <f t="shared" si="20"/>
        <v>0</v>
      </c>
    </row>
    <row r="1289" spans="1:6">
      <c r="A1289" s="685"/>
      <c r="B1289" s="686">
        <v>1912</v>
      </c>
      <c r="C1289" s="687">
        <v>27366</v>
      </c>
      <c r="D1289" s="688" t="s">
        <v>503</v>
      </c>
      <c r="E1289" s="689">
        <v>0</v>
      </c>
      <c r="F1289" s="687">
        <f t="shared" si="20"/>
        <v>0</v>
      </c>
    </row>
    <row r="1290" spans="1:6">
      <c r="A1290" s="685"/>
      <c r="B1290" s="686">
        <v>1912</v>
      </c>
      <c r="C1290" s="687">
        <v>105330</v>
      </c>
      <c r="D1290" s="688" t="s">
        <v>503</v>
      </c>
      <c r="E1290" s="689">
        <v>0</v>
      </c>
      <c r="F1290" s="687">
        <f t="shared" si="20"/>
        <v>0</v>
      </c>
    </row>
    <row r="1291" spans="1:6">
      <c r="A1291" s="685"/>
      <c r="B1291" s="686">
        <v>1911</v>
      </c>
      <c r="C1291" s="687">
        <v>173700</v>
      </c>
      <c r="D1291" s="688" t="s">
        <v>503</v>
      </c>
      <c r="E1291" s="689">
        <v>0</v>
      </c>
      <c r="F1291" s="687">
        <f t="shared" si="20"/>
        <v>0</v>
      </c>
    </row>
    <row r="1292" spans="1:6">
      <c r="A1292" s="685"/>
      <c r="B1292" s="686">
        <v>1911</v>
      </c>
      <c r="C1292" s="687">
        <v>63950</v>
      </c>
      <c r="D1292" s="688" t="s">
        <v>503</v>
      </c>
      <c r="E1292" s="689">
        <v>0</v>
      </c>
      <c r="F1292" s="687">
        <f t="shared" si="20"/>
        <v>0</v>
      </c>
    </row>
    <row r="1293" spans="1:6">
      <c r="A1293" s="685"/>
      <c r="B1293" s="686">
        <v>1911</v>
      </c>
      <c r="C1293" s="687">
        <v>205200</v>
      </c>
      <c r="D1293" s="688" t="s">
        <v>503</v>
      </c>
      <c r="E1293" s="689">
        <v>0</v>
      </c>
      <c r="F1293" s="687">
        <f t="shared" si="20"/>
        <v>0</v>
      </c>
    </row>
    <row r="1294" spans="1:6">
      <c r="A1294" s="685"/>
      <c r="B1294" s="686">
        <v>1910</v>
      </c>
      <c r="C1294" s="687">
        <v>363726</v>
      </c>
      <c r="D1294" s="688" t="s">
        <v>503</v>
      </c>
      <c r="E1294" s="689">
        <v>0</v>
      </c>
      <c r="F1294" s="687">
        <f t="shared" si="20"/>
        <v>0</v>
      </c>
    </row>
    <row r="1295" spans="1:6">
      <c r="A1295" s="685"/>
      <c r="B1295" s="686">
        <v>1910</v>
      </c>
      <c r="C1295" s="687">
        <v>4800</v>
      </c>
      <c r="D1295" s="688" t="s">
        <v>503</v>
      </c>
      <c r="E1295" s="689">
        <v>0</v>
      </c>
      <c r="F1295" s="687">
        <f t="shared" si="20"/>
        <v>0</v>
      </c>
    </row>
    <row r="1296" spans="1:6">
      <c r="A1296" s="685"/>
      <c r="B1296" s="686">
        <v>1910</v>
      </c>
      <c r="C1296" s="687">
        <v>223086</v>
      </c>
      <c r="D1296" s="688" t="s">
        <v>503</v>
      </c>
      <c r="E1296" s="689">
        <v>0</v>
      </c>
      <c r="F1296" s="687">
        <f t="shared" si="20"/>
        <v>0</v>
      </c>
    </row>
    <row r="1297" spans="1:6">
      <c r="A1297" s="685"/>
      <c r="B1297" s="686">
        <v>1848</v>
      </c>
      <c r="C1297" s="687">
        <v>2280000</v>
      </c>
      <c r="D1297" s="688" t="s">
        <v>503</v>
      </c>
      <c r="E1297" s="689">
        <v>0</v>
      </c>
      <c r="F1297" s="687">
        <f t="shared" si="20"/>
        <v>0</v>
      </c>
    </row>
    <row r="1298" spans="1:6">
      <c r="A1298" s="685"/>
      <c r="B1298" s="686">
        <v>1908</v>
      </c>
      <c r="C1298" s="687">
        <v>1500</v>
      </c>
      <c r="D1298" s="688" t="s">
        <v>503</v>
      </c>
      <c r="E1298" s="689">
        <v>0</v>
      </c>
      <c r="F1298" s="687">
        <f t="shared" si="20"/>
        <v>0</v>
      </c>
    </row>
    <row r="1299" spans="1:6">
      <c r="A1299" s="685"/>
      <c r="B1299" s="686">
        <v>1908</v>
      </c>
      <c r="C1299" s="687">
        <v>3440600</v>
      </c>
      <c r="D1299" s="688" t="s">
        <v>503</v>
      </c>
      <c r="E1299" s="689">
        <v>0</v>
      </c>
      <c r="F1299" s="687">
        <f t="shared" si="20"/>
        <v>0</v>
      </c>
    </row>
    <row r="1300" spans="1:6">
      <c r="A1300" s="685"/>
      <c r="B1300" s="686">
        <v>1908</v>
      </c>
      <c r="C1300" s="687">
        <v>350400</v>
      </c>
      <c r="D1300" s="688" t="s">
        <v>503</v>
      </c>
      <c r="E1300" s="689">
        <v>0</v>
      </c>
      <c r="F1300" s="687">
        <f t="shared" si="20"/>
        <v>0</v>
      </c>
    </row>
    <row r="1301" spans="1:6">
      <c r="A1301" s="685"/>
      <c r="B1301" s="686">
        <v>1908</v>
      </c>
      <c r="C1301" s="687">
        <v>36750</v>
      </c>
      <c r="D1301" s="688" t="s">
        <v>503</v>
      </c>
      <c r="E1301" s="689">
        <v>0</v>
      </c>
      <c r="F1301" s="687">
        <f t="shared" si="20"/>
        <v>0</v>
      </c>
    </row>
    <row r="1302" spans="1:6">
      <c r="A1302" s="685"/>
      <c r="B1302" s="686">
        <v>1908</v>
      </c>
      <c r="C1302" s="687">
        <v>70950</v>
      </c>
      <c r="D1302" s="688" t="s">
        <v>503</v>
      </c>
      <c r="E1302" s="689">
        <v>0</v>
      </c>
      <c r="F1302" s="687">
        <f t="shared" si="20"/>
        <v>0</v>
      </c>
    </row>
    <row r="1303" spans="1:6">
      <c r="A1303" s="685"/>
      <c r="B1303" s="686">
        <v>1907</v>
      </c>
      <c r="C1303" s="687">
        <v>43400</v>
      </c>
      <c r="D1303" s="688" t="s">
        <v>503</v>
      </c>
      <c r="E1303" s="689">
        <v>0</v>
      </c>
      <c r="F1303" s="687">
        <f t="shared" si="20"/>
        <v>0</v>
      </c>
    </row>
    <row r="1304" spans="1:6">
      <c r="A1304" s="685"/>
      <c r="B1304" s="686">
        <v>1907</v>
      </c>
      <c r="C1304" s="687">
        <v>172950</v>
      </c>
      <c r="D1304" s="688" t="s">
        <v>503</v>
      </c>
      <c r="E1304" s="689">
        <v>0</v>
      </c>
      <c r="F1304" s="687">
        <f t="shared" si="20"/>
        <v>0</v>
      </c>
    </row>
    <row r="1305" spans="1:6">
      <c r="A1305" s="685"/>
      <c r="B1305" s="686">
        <v>1906</v>
      </c>
      <c r="C1305" s="687">
        <v>18989</v>
      </c>
      <c r="D1305" s="688" t="s">
        <v>503</v>
      </c>
      <c r="E1305" s="689">
        <v>0</v>
      </c>
      <c r="F1305" s="687">
        <f t="shared" si="20"/>
        <v>0</v>
      </c>
    </row>
    <row r="1306" spans="1:6">
      <c r="A1306" s="685"/>
      <c r="B1306" s="686">
        <v>1905</v>
      </c>
      <c r="C1306" s="687">
        <v>4200</v>
      </c>
      <c r="D1306" s="688" t="s">
        <v>503</v>
      </c>
      <c r="E1306" s="689">
        <v>0</v>
      </c>
      <c r="F1306" s="687">
        <f t="shared" si="20"/>
        <v>0</v>
      </c>
    </row>
    <row r="1307" spans="1:6">
      <c r="A1307" s="685"/>
      <c r="B1307" s="686">
        <v>1905</v>
      </c>
      <c r="C1307" s="687">
        <v>69600</v>
      </c>
      <c r="D1307" s="688" t="s">
        <v>503</v>
      </c>
      <c r="E1307" s="689">
        <v>0</v>
      </c>
      <c r="F1307" s="687">
        <f t="shared" si="20"/>
        <v>0</v>
      </c>
    </row>
    <row r="1308" spans="1:6">
      <c r="A1308" s="685"/>
      <c r="B1308" s="686">
        <v>1903</v>
      </c>
      <c r="C1308" s="687">
        <v>23000</v>
      </c>
      <c r="D1308" s="688" t="s">
        <v>503</v>
      </c>
      <c r="E1308" s="689">
        <v>0</v>
      </c>
      <c r="F1308" s="687">
        <f t="shared" si="20"/>
        <v>0</v>
      </c>
    </row>
    <row r="1309" spans="1:6">
      <c r="A1309" s="685"/>
      <c r="B1309" s="686">
        <v>1901</v>
      </c>
      <c r="C1309" s="687">
        <v>9750</v>
      </c>
      <c r="D1309" s="688" t="s">
        <v>503</v>
      </c>
      <c r="E1309" s="689">
        <v>0</v>
      </c>
      <c r="F1309" s="687">
        <f t="shared" si="20"/>
        <v>0</v>
      </c>
    </row>
    <row r="1310" spans="1:6">
      <c r="A1310" s="685"/>
      <c r="B1310" s="686">
        <v>1897</v>
      </c>
      <c r="C1310" s="687">
        <v>12800</v>
      </c>
      <c r="D1310" s="688" t="s">
        <v>503</v>
      </c>
      <c r="E1310" s="689">
        <v>0</v>
      </c>
      <c r="F1310" s="687">
        <f t="shared" si="20"/>
        <v>0</v>
      </c>
    </row>
    <row r="1311" spans="1:6">
      <c r="A1311" s="685"/>
      <c r="B1311" s="686">
        <v>1890</v>
      </c>
      <c r="C1311" s="687">
        <v>86750</v>
      </c>
      <c r="D1311" s="688" t="s">
        <v>503</v>
      </c>
      <c r="E1311" s="689">
        <v>0</v>
      </c>
      <c r="F1311" s="687">
        <f t="shared" si="20"/>
        <v>0</v>
      </c>
    </row>
    <row r="1312" spans="1:6">
      <c r="A1312" s="685"/>
      <c r="B1312" s="686">
        <v>1887</v>
      </c>
      <c r="C1312" s="687">
        <v>11400</v>
      </c>
      <c r="D1312" s="688" t="s">
        <v>503</v>
      </c>
      <c r="E1312" s="689">
        <v>0</v>
      </c>
      <c r="F1312" s="687">
        <f t="shared" si="20"/>
        <v>0</v>
      </c>
    </row>
    <row r="1313" spans="1:6">
      <c r="A1313" s="685"/>
      <c r="B1313" s="686">
        <v>1887</v>
      </c>
      <c r="C1313" s="687">
        <v>2338000</v>
      </c>
      <c r="D1313" s="688" t="s">
        <v>503</v>
      </c>
      <c r="E1313" s="689">
        <v>0</v>
      </c>
      <c r="F1313" s="687">
        <f t="shared" si="20"/>
        <v>0</v>
      </c>
    </row>
    <row r="1314" spans="1:6">
      <c r="A1314" s="685"/>
      <c r="B1314" s="686">
        <v>1887</v>
      </c>
      <c r="C1314" s="687">
        <v>526550</v>
      </c>
      <c r="D1314" s="688" t="s">
        <v>503</v>
      </c>
      <c r="E1314" s="689">
        <v>0</v>
      </c>
      <c r="F1314" s="687">
        <f t="shared" si="20"/>
        <v>0</v>
      </c>
    </row>
    <row r="1315" spans="1:6">
      <c r="A1315" s="685"/>
      <c r="B1315" s="686">
        <v>1887</v>
      </c>
      <c r="C1315" s="687">
        <v>85850</v>
      </c>
      <c r="D1315" s="688" t="s">
        <v>503</v>
      </c>
      <c r="E1315" s="689">
        <v>0</v>
      </c>
      <c r="F1315" s="687">
        <f t="shared" si="20"/>
        <v>0</v>
      </c>
    </row>
    <row r="1316" spans="1:6">
      <c r="A1316" s="685"/>
      <c r="B1316" s="686">
        <v>1885</v>
      </c>
      <c r="C1316" s="687">
        <v>68900</v>
      </c>
      <c r="D1316" s="688" t="s">
        <v>503</v>
      </c>
      <c r="E1316" s="689">
        <v>0</v>
      </c>
      <c r="F1316" s="687">
        <f t="shared" si="20"/>
        <v>0</v>
      </c>
    </row>
    <row r="1317" spans="1:6">
      <c r="A1317" s="685"/>
      <c r="B1317" s="686">
        <v>1885</v>
      </c>
      <c r="C1317" s="687">
        <v>107150</v>
      </c>
      <c r="D1317" s="688" t="s">
        <v>503</v>
      </c>
      <c r="E1317" s="689">
        <v>0</v>
      </c>
      <c r="F1317" s="687">
        <f t="shared" si="20"/>
        <v>0</v>
      </c>
    </row>
    <row r="1318" spans="1:6">
      <c r="A1318" s="685"/>
      <c r="B1318" s="686">
        <v>1883</v>
      </c>
      <c r="C1318" s="687">
        <v>13100</v>
      </c>
      <c r="D1318" s="688" t="s">
        <v>503</v>
      </c>
      <c r="E1318" s="689">
        <v>0</v>
      </c>
      <c r="F1318" s="687">
        <f t="shared" si="20"/>
        <v>0</v>
      </c>
    </row>
    <row r="1319" spans="1:6">
      <c r="A1319" s="685"/>
      <c r="B1319" s="686">
        <v>1883</v>
      </c>
      <c r="C1319" s="687">
        <v>98800</v>
      </c>
      <c r="D1319" s="688" t="s">
        <v>503</v>
      </c>
      <c r="E1319" s="689">
        <v>0</v>
      </c>
      <c r="F1319" s="687">
        <f t="shared" si="20"/>
        <v>0</v>
      </c>
    </row>
    <row r="1320" spans="1:6">
      <c r="A1320" s="685"/>
      <c r="B1320" s="686">
        <v>1883</v>
      </c>
      <c r="C1320" s="687">
        <v>11600</v>
      </c>
      <c r="D1320" s="688" t="s">
        <v>503</v>
      </c>
      <c r="E1320" s="689">
        <v>0</v>
      </c>
      <c r="F1320" s="687">
        <f t="shared" si="20"/>
        <v>0</v>
      </c>
    </row>
    <row r="1321" spans="1:6">
      <c r="A1321" s="685"/>
      <c r="B1321" s="686">
        <v>1883</v>
      </c>
      <c r="C1321" s="687">
        <v>14350</v>
      </c>
      <c r="D1321" s="688" t="s">
        <v>503</v>
      </c>
      <c r="E1321" s="689">
        <v>0</v>
      </c>
      <c r="F1321" s="687">
        <f t="shared" si="20"/>
        <v>0</v>
      </c>
    </row>
    <row r="1322" spans="1:6">
      <c r="A1322" s="685"/>
      <c r="B1322" s="686">
        <v>1879</v>
      </c>
      <c r="C1322" s="687">
        <v>55200</v>
      </c>
      <c r="D1322" s="688" t="s">
        <v>503</v>
      </c>
      <c r="E1322" s="689">
        <v>0</v>
      </c>
      <c r="F1322" s="687">
        <f t="shared" si="20"/>
        <v>0</v>
      </c>
    </row>
    <row r="1323" spans="1:6">
      <c r="A1323" s="685"/>
      <c r="B1323" s="686">
        <v>1878</v>
      </c>
      <c r="C1323" s="687">
        <v>15550</v>
      </c>
      <c r="D1323" s="688" t="s">
        <v>503</v>
      </c>
      <c r="E1323" s="689">
        <v>0</v>
      </c>
      <c r="F1323" s="687">
        <f t="shared" si="20"/>
        <v>0</v>
      </c>
    </row>
    <row r="1324" spans="1:6">
      <c r="A1324" s="685"/>
      <c r="B1324" s="686">
        <v>1877</v>
      </c>
      <c r="C1324" s="687">
        <v>2334000</v>
      </c>
      <c r="D1324" s="688" t="s">
        <v>503</v>
      </c>
      <c r="E1324" s="689">
        <v>0</v>
      </c>
      <c r="F1324" s="687">
        <f t="shared" si="20"/>
        <v>0</v>
      </c>
    </row>
    <row r="1325" spans="1:6">
      <c r="A1325" s="685"/>
      <c r="B1325" s="686">
        <v>1877</v>
      </c>
      <c r="C1325" s="687">
        <v>29250</v>
      </c>
      <c r="D1325" s="688" t="s">
        <v>503</v>
      </c>
      <c r="E1325" s="689">
        <v>0</v>
      </c>
      <c r="F1325" s="687">
        <f t="shared" si="20"/>
        <v>0</v>
      </c>
    </row>
    <row r="1326" spans="1:6">
      <c r="A1326" s="685"/>
      <c r="B1326" s="686">
        <v>1877</v>
      </c>
      <c r="C1326" s="687">
        <v>23200</v>
      </c>
      <c r="D1326" s="688" t="s">
        <v>503</v>
      </c>
      <c r="E1326" s="689">
        <v>0</v>
      </c>
      <c r="F1326" s="687">
        <f t="shared" si="20"/>
        <v>0</v>
      </c>
    </row>
    <row r="1327" spans="1:6">
      <c r="A1327" s="685"/>
      <c r="B1327" s="686">
        <v>1877</v>
      </c>
      <c r="C1327" s="687">
        <v>26550</v>
      </c>
      <c r="D1327" s="688" t="s">
        <v>503</v>
      </c>
      <c r="E1327" s="689">
        <v>0</v>
      </c>
      <c r="F1327" s="687">
        <f t="shared" si="20"/>
        <v>0</v>
      </c>
    </row>
    <row r="1328" spans="1:6">
      <c r="A1328" s="685"/>
      <c r="B1328" s="686">
        <v>1877</v>
      </c>
      <c r="C1328" s="687">
        <v>83950</v>
      </c>
      <c r="D1328" s="688" t="s">
        <v>503</v>
      </c>
      <c r="E1328" s="689">
        <v>0</v>
      </c>
      <c r="F1328" s="687">
        <f t="shared" si="20"/>
        <v>0</v>
      </c>
    </row>
    <row r="1329" spans="1:6">
      <c r="A1329" s="685"/>
      <c r="B1329" s="686">
        <v>1876</v>
      </c>
      <c r="C1329" s="687">
        <v>33600</v>
      </c>
      <c r="D1329" s="688" t="s">
        <v>503</v>
      </c>
      <c r="E1329" s="689">
        <v>0</v>
      </c>
      <c r="F1329" s="687">
        <f t="shared" si="20"/>
        <v>0</v>
      </c>
    </row>
    <row r="1330" spans="1:6">
      <c r="A1330" s="685"/>
      <c r="B1330" s="686">
        <v>1876</v>
      </c>
      <c r="C1330" s="687">
        <v>5389000</v>
      </c>
      <c r="D1330" s="688" t="s">
        <v>503</v>
      </c>
      <c r="E1330" s="689">
        <v>0</v>
      </c>
      <c r="F1330" s="687">
        <f t="shared" si="20"/>
        <v>0</v>
      </c>
    </row>
    <row r="1331" spans="1:6">
      <c r="A1331" s="685"/>
      <c r="B1331" s="686">
        <v>1876</v>
      </c>
      <c r="C1331" s="687">
        <v>16650</v>
      </c>
      <c r="D1331" s="688" t="s">
        <v>503</v>
      </c>
      <c r="E1331" s="689">
        <v>0</v>
      </c>
      <c r="F1331" s="687">
        <f t="shared" si="20"/>
        <v>0</v>
      </c>
    </row>
    <row r="1332" spans="1:6">
      <c r="A1332" s="685"/>
      <c r="B1332" s="686">
        <v>1876</v>
      </c>
      <c r="C1332" s="687">
        <v>16200</v>
      </c>
      <c r="D1332" s="688" t="s">
        <v>503</v>
      </c>
      <c r="E1332" s="689">
        <v>0</v>
      </c>
      <c r="F1332" s="687">
        <f t="shared" si="20"/>
        <v>0</v>
      </c>
    </row>
    <row r="1333" spans="1:6">
      <c r="A1333" s="685"/>
      <c r="B1333" s="686">
        <v>1876</v>
      </c>
      <c r="C1333" s="687">
        <v>1090100</v>
      </c>
      <c r="D1333" s="688" t="s">
        <v>503</v>
      </c>
      <c r="E1333" s="689">
        <v>0</v>
      </c>
      <c r="F1333" s="687">
        <f t="shared" si="20"/>
        <v>0</v>
      </c>
    </row>
    <row r="1334" spans="1:6">
      <c r="A1334" s="685"/>
      <c r="B1334" s="686">
        <v>1876</v>
      </c>
      <c r="C1334" s="687">
        <v>2431700</v>
      </c>
      <c r="D1334" s="688" t="s">
        <v>503</v>
      </c>
      <c r="E1334" s="689">
        <v>0</v>
      </c>
      <c r="F1334" s="687">
        <f t="shared" si="20"/>
        <v>0</v>
      </c>
    </row>
    <row r="1335" spans="1:6">
      <c r="A1335" s="685"/>
      <c r="B1335" s="686">
        <v>1875</v>
      </c>
      <c r="C1335" s="687">
        <v>84300</v>
      </c>
      <c r="D1335" s="688" t="s">
        <v>503</v>
      </c>
      <c r="E1335" s="689">
        <v>0</v>
      </c>
      <c r="F1335" s="687">
        <f t="shared" si="20"/>
        <v>0</v>
      </c>
    </row>
    <row r="1336" spans="1:6">
      <c r="A1336" s="685"/>
      <c r="B1336" s="686">
        <v>1875</v>
      </c>
      <c r="C1336" s="687">
        <v>170453</v>
      </c>
      <c r="D1336" s="688" t="s">
        <v>503</v>
      </c>
      <c r="E1336" s="689">
        <v>0</v>
      </c>
      <c r="F1336" s="687">
        <f t="shared" si="20"/>
        <v>0</v>
      </c>
    </row>
    <row r="1337" spans="1:6">
      <c r="A1337" s="685"/>
      <c r="B1337" s="686">
        <v>1875</v>
      </c>
      <c r="C1337" s="687">
        <v>48000</v>
      </c>
      <c r="D1337" s="688" t="s">
        <v>503</v>
      </c>
      <c r="E1337" s="689">
        <v>0</v>
      </c>
      <c r="F1337" s="687">
        <f t="shared" si="20"/>
        <v>0</v>
      </c>
    </row>
    <row r="1338" spans="1:6">
      <c r="A1338" s="685"/>
      <c r="B1338" s="686">
        <v>1875</v>
      </c>
      <c r="C1338" s="687">
        <v>11600</v>
      </c>
      <c r="D1338" s="688" t="s">
        <v>503</v>
      </c>
      <c r="E1338" s="689">
        <v>0</v>
      </c>
      <c r="F1338" s="687">
        <f t="shared" si="20"/>
        <v>0</v>
      </c>
    </row>
    <row r="1339" spans="1:6">
      <c r="A1339" s="685"/>
      <c r="B1339" s="686">
        <v>1873</v>
      </c>
      <c r="C1339" s="687">
        <v>8558000</v>
      </c>
      <c r="D1339" s="688" t="s">
        <v>503</v>
      </c>
      <c r="E1339" s="689">
        <v>0</v>
      </c>
      <c r="F1339" s="687">
        <f t="shared" si="20"/>
        <v>0</v>
      </c>
    </row>
    <row r="1340" spans="1:6">
      <c r="A1340" s="685"/>
      <c r="B1340" s="686">
        <v>1872</v>
      </c>
      <c r="C1340" s="687">
        <v>176850</v>
      </c>
      <c r="D1340" s="688" t="s">
        <v>503</v>
      </c>
      <c r="E1340" s="689">
        <v>0</v>
      </c>
      <c r="F1340" s="687">
        <f t="shared" si="20"/>
        <v>0</v>
      </c>
    </row>
    <row r="1341" spans="1:6">
      <c r="A1341" s="685"/>
      <c r="B1341" s="686">
        <v>1872</v>
      </c>
      <c r="C1341" s="687">
        <v>20400</v>
      </c>
      <c r="D1341" s="688" t="s">
        <v>503</v>
      </c>
      <c r="E1341" s="689">
        <v>0</v>
      </c>
      <c r="F1341" s="687">
        <f t="shared" si="20"/>
        <v>0</v>
      </c>
    </row>
    <row r="1342" spans="1:6">
      <c r="A1342" s="685"/>
      <c r="B1342" s="686">
        <v>1872</v>
      </c>
      <c r="C1342" s="687">
        <v>24000</v>
      </c>
      <c r="D1342" s="688" t="s">
        <v>503</v>
      </c>
      <c r="E1342" s="689">
        <v>0</v>
      </c>
      <c r="F1342" s="687">
        <f t="shared" si="20"/>
        <v>0</v>
      </c>
    </row>
    <row r="1343" spans="1:6">
      <c r="A1343" s="685"/>
      <c r="B1343" s="686">
        <v>1870</v>
      </c>
      <c r="C1343" s="687">
        <v>8990500</v>
      </c>
      <c r="D1343" s="688" t="s">
        <v>503</v>
      </c>
      <c r="E1343" s="689">
        <v>0</v>
      </c>
      <c r="F1343" s="687">
        <f t="shared" si="20"/>
        <v>0</v>
      </c>
    </row>
    <row r="1344" spans="1:6">
      <c r="A1344" s="685"/>
      <c r="B1344" s="686">
        <v>1870</v>
      </c>
      <c r="C1344" s="687">
        <v>128350</v>
      </c>
      <c r="D1344" s="688" t="s">
        <v>503</v>
      </c>
      <c r="E1344" s="689">
        <v>0</v>
      </c>
      <c r="F1344" s="687">
        <f t="shared" si="20"/>
        <v>0</v>
      </c>
    </row>
    <row r="1345" spans="1:6">
      <c r="A1345" s="685"/>
      <c r="B1345" s="686">
        <v>1866</v>
      </c>
      <c r="C1345" s="687">
        <v>1142650</v>
      </c>
      <c r="D1345" s="688" t="s">
        <v>503</v>
      </c>
      <c r="E1345" s="689">
        <v>0</v>
      </c>
      <c r="F1345" s="687">
        <f t="shared" si="20"/>
        <v>0</v>
      </c>
    </row>
    <row r="1346" spans="1:6">
      <c r="A1346" s="685"/>
      <c r="B1346" s="686">
        <v>1866</v>
      </c>
      <c r="C1346" s="687">
        <v>16700</v>
      </c>
      <c r="D1346" s="688" t="s">
        <v>503</v>
      </c>
      <c r="E1346" s="689">
        <v>0</v>
      </c>
      <c r="F1346" s="687">
        <f t="shared" si="20"/>
        <v>0</v>
      </c>
    </row>
    <row r="1347" spans="1:6">
      <c r="A1347" s="685"/>
      <c r="B1347" s="686">
        <v>1865</v>
      </c>
      <c r="C1347" s="687">
        <v>40850</v>
      </c>
      <c r="D1347" s="688" t="s">
        <v>503</v>
      </c>
      <c r="E1347" s="689">
        <v>0</v>
      </c>
      <c r="F1347" s="687">
        <f t="shared" ref="F1347:F1410" si="21">+C1347*E1347</f>
        <v>0</v>
      </c>
    </row>
    <row r="1348" spans="1:6">
      <c r="A1348" s="685"/>
      <c r="B1348" s="686">
        <v>1864</v>
      </c>
      <c r="C1348" s="687">
        <v>67835</v>
      </c>
      <c r="D1348" s="688" t="s">
        <v>503</v>
      </c>
      <c r="E1348" s="689">
        <v>0</v>
      </c>
      <c r="F1348" s="687">
        <f t="shared" si="21"/>
        <v>0</v>
      </c>
    </row>
    <row r="1349" spans="1:6">
      <c r="A1349" s="685"/>
      <c r="B1349" s="686">
        <v>1864</v>
      </c>
      <c r="C1349" s="687">
        <v>13500</v>
      </c>
      <c r="D1349" s="688" t="s">
        <v>503</v>
      </c>
      <c r="E1349" s="689">
        <v>0</v>
      </c>
      <c r="F1349" s="687">
        <f t="shared" si="21"/>
        <v>0</v>
      </c>
    </row>
    <row r="1350" spans="1:6">
      <c r="A1350" s="685"/>
      <c r="B1350" s="686">
        <v>1863</v>
      </c>
      <c r="C1350" s="687">
        <v>11600</v>
      </c>
      <c r="D1350" s="688" t="s">
        <v>503</v>
      </c>
      <c r="E1350" s="689">
        <v>0</v>
      </c>
      <c r="F1350" s="687">
        <f t="shared" si="21"/>
        <v>0</v>
      </c>
    </row>
    <row r="1351" spans="1:6">
      <c r="A1351" s="685"/>
      <c r="B1351" s="686">
        <v>1863</v>
      </c>
      <c r="C1351" s="687">
        <v>126050</v>
      </c>
      <c r="D1351" s="688" t="s">
        <v>503</v>
      </c>
      <c r="E1351" s="689">
        <v>0</v>
      </c>
      <c r="F1351" s="687">
        <f t="shared" si="21"/>
        <v>0</v>
      </c>
    </row>
    <row r="1352" spans="1:6">
      <c r="A1352" s="685"/>
      <c r="B1352" s="686">
        <v>1862</v>
      </c>
      <c r="C1352" s="687">
        <v>25900</v>
      </c>
      <c r="D1352" s="688" t="s">
        <v>503</v>
      </c>
      <c r="E1352" s="689">
        <v>0</v>
      </c>
      <c r="F1352" s="687">
        <f t="shared" si="21"/>
        <v>0</v>
      </c>
    </row>
    <row r="1353" spans="1:6">
      <c r="A1353" s="685"/>
      <c r="B1353" s="686">
        <v>1861</v>
      </c>
      <c r="C1353" s="687">
        <v>132850</v>
      </c>
      <c r="D1353" s="688" t="s">
        <v>503</v>
      </c>
      <c r="E1353" s="689">
        <v>0</v>
      </c>
      <c r="F1353" s="687">
        <f t="shared" si="21"/>
        <v>0</v>
      </c>
    </row>
    <row r="1354" spans="1:6">
      <c r="A1354" s="685"/>
      <c r="B1354" s="686">
        <v>1861</v>
      </c>
      <c r="C1354" s="687">
        <v>18500</v>
      </c>
      <c r="D1354" s="688" t="s">
        <v>503</v>
      </c>
      <c r="E1354" s="689">
        <v>0</v>
      </c>
      <c r="F1354" s="687">
        <f t="shared" si="21"/>
        <v>0</v>
      </c>
    </row>
    <row r="1355" spans="1:6">
      <c r="A1355" s="685"/>
      <c r="B1355" s="686">
        <v>1858</v>
      </c>
      <c r="C1355" s="687">
        <v>3890000</v>
      </c>
      <c r="D1355" s="688" t="s">
        <v>503</v>
      </c>
      <c r="E1355" s="689">
        <v>0</v>
      </c>
      <c r="F1355" s="687">
        <f t="shared" si="21"/>
        <v>0</v>
      </c>
    </row>
    <row r="1356" spans="1:6">
      <c r="A1356" s="685"/>
      <c r="B1356" s="686">
        <v>1858</v>
      </c>
      <c r="C1356" s="687">
        <v>117000</v>
      </c>
      <c r="D1356" s="688" t="s">
        <v>503</v>
      </c>
      <c r="E1356" s="689">
        <v>0</v>
      </c>
      <c r="F1356" s="687">
        <f t="shared" si="21"/>
        <v>0</v>
      </c>
    </row>
    <row r="1357" spans="1:6">
      <c r="A1357" s="685"/>
      <c r="B1357" s="686">
        <v>1858</v>
      </c>
      <c r="C1357" s="687">
        <v>292600</v>
      </c>
      <c r="D1357" s="688" t="s">
        <v>503</v>
      </c>
      <c r="E1357" s="689">
        <v>0</v>
      </c>
      <c r="F1357" s="687">
        <f t="shared" si="21"/>
        <v>0</v>
      </c>
    </row>
    <row r="1358" spans="1:6">
      <c r="A1358" s="685"/>
      <c r="B1358" s="686">
        <v>1857</v>
      </c>
      <c r="C1358" s="687">
        <v>15400</v>
      </c>
      <c r="D1358" s="688" t="s">
        <v>503</v>
      </c>
      <c r="E1358" s="689">
        <v>0</v>
      </c>
      <c r="F1358" s="687">
        <f t="shared" si="21"/>
        <v>0</v>
      </c>
    </row>
    <row r="1359" spans="1:6">
      <c r="A1359" s="685"/>
      <c r="B1359" s="686">
        <v>1857</v>
      </c>
      <c r="C1359" s="687">
        <v>29217</v>
      </c>
      <c r="D1359" s="688" t="s">
        <v>503</v>
      </c>
      <c r="E1359" s="689">
        <v>0</v>
      </c>
      <c r="F1359" s="687">
        <f t="shared" si="21"/>
        <v>0</v>
      </c>
    </row>
    <row r="1360" spans="1:6">
      <c r="A1360" s="685"/>
      <c r="B1360" s="686">
        <v>1855</v>
      </c>
      <c r="C1360" s="687">
        <v>40900</v>
      </c>
      <c r="D1360" s="688" t="s">
        <v>503</v>
      </c>
      <c r="E1360" s="689">
        <v>0</v>
      </c>
      <c r="F1360" s="687">
        <f t="shared" si="21"/>
        <v>0</v>
      </c>
    </row>
    <row r="1361" spans="1:6">
      <c r="A1361" s="685"/>
      <c r="B1361" s="686">
        <v>1855</v>
      </c>
      <c r="C1361" s="687">
        <v>38800</v>
      </c>
      <c r="D1361" s="688" t="s">
        <v>503</v>
      </c>
      <c r="E1361" s="689">
        <v>0</v>
      </c>
      <c r="F1361" s="687">
        <f t="shared" si="21"/>
        <v>0</v>
      </c>
    </row>
    <row r="1362" spans="1:6">
      <c r="A1362" s="685"/>
      <c r="B1362" s="686">
        <v>1855</v>
      </c>
      <c r="C1362" s="687">
        <v>15200</v>
      </c>
      <c r="D1362" s="688" t="s">
        <v>503</v>
      </c>
      <c r="E1362" s="689">
        <v>0</v>
      </c>
      <c r="F1362" s="687">
        <f t="shared" si="21"/>
        <v>0</v>
      </c>
    </row>
    <row r="1363" spans="1:6">
      <c r="A1363" s="685"/>
      <c r="B1363" s="686">
        <v>1855</v>
      </c>
      <c r="C1363" s="687">
        <v>34082</v>
      </c>
      <c r="D1363" s="688" t="s">
        <v>503</v>
      </c>
      <c r="E1363" s="689">
        <v>0</v>
      </c>
      <c r="F1363" s="687">
        <f t="shared" si="21"/>
        <v>0</v>
      </c>
    </row>
    <row r="1364" spans="1:6">
      <c r="A1364" s="685"/>
      <c r="B1364" s="686">
        <v>1855</v>
      </c>
      <c r="C1364" s="687">
        <v>1167000</v>
      </c>
      <c r="D1364" s="688" t="s">
        <v>503</v>
      </c>
      <c r="E1364" s="689">
        <v>0</v>
      </c>
      <c r="F1364" s="687">
        <f t="shared" si="21"/>
        <v>0</v>
      </c>
    </row>
    <row r="1365" spans="1:6">
      <c r="A1365" s="685"/>
      <c r="B1365" s="686">
        <v>1855</v>
      </c>
      <c r="C1365" s="687">
        <v>144700</v>
      </c>
      <c r="D1365" s="688" t="s">
        <v>503</v>
      </c>
      <c r="E1365" s="689">
        <v>0</v>
      </c>
      <c r="F1365" s="687">
        <f t="shared" si="21"/>
        <v>0</v>
      </c>
    </row>
    <row r="1366" spans="1:6">
      <c r="A1366" s="685"/>
      <c r="B1366" s="686">
        <v>1854</v>
      </c>
      <c r="C1366" s="687">
        <v>621500</v>
      </c>
      <c r="D1366" s="688" t="s">
        <v>503</v>
      </c>
      <c r="E1366" s="689">
        <v>0</v>
      </c>
      <c r="F1366" s="687">
        <f t="shared" si="21"/>
        <v>0</v>
      </c>
    </row>
    <row r="1367" spans="1:6">
      <c r="A1367" s="685"/>
      <c r="B1367" s="686">
        <v>1854</v>
      </c>
      <c r="C1367" s="687">
        <v>28150</v>
      </c>
      <c r="D1367" s="688" t="s">
        <v>503</v>
      </c>
      <c r="E1367" s="689">
        <v>0</v>
      </c>
      <c r="F1367" s="687">
        <f t="shared" si="21"/>
        <v>0</v>
      </c>
    </row>
    <row r="1368" spans="1:6">
      <c r="A1368" s="685"/>
      <c r="B1368" s="686">
        <v>1854</v>
      </c>
      <c r="C1368" s="687">
        <v>120900</v>
      </c>
      <c r="D1368" s="688" t="s">
        <v>503</v>
      </c>
      <c r="E1368" s="689">
        <v>0</v>
      </c>
      <c r="F1368" s="687">
        <f t="shared" si="21"/>
        <v>0</v>
      </c>
    </row>
    <row r="1369" spans="1:6">
      <c r="A1369" s="685"/>
      <c r="B1369" s="686">
        <v>1854</v>
      </c>
      <c r="C1369" s="687">
        <v>642146</v>
      </c>
      <c r="D1369" s="688" t="s">
        <v>503</v>
      </c>
      <c r="E1369" s="689">
        <v>0</v>
      </c>
      <c r="F1369" s="687">
        <f t="shared" si="21"/>
        <v>0</v>
      </c>
    </row>
    <row r="1370" spans="1:6">
      <c r="A1370" s="685"/>
      <c r="B1370" s="686">
        <v>1852</v>
      </c>
      <c r="C1370" s="687">
        <v>22600</v>
      </c>
      <c r="D1370" s="688" t="s">
        <v>503</v>
      </c>
      <c r="E1370" s="689">
        <v>0</v>
      </c>
      <c r="F1370" s="687">
        <f t="shared" si="21"/>
        <v>0</v>
      </c>
    </row>
    <row r="1371" spans="1:6">
      <c r="A1371" s="685"/>
      <c r="B1371" s="686">
        <v>1852</v>
      </c>
      <c r="C1371" s="687">
        <v>26500</v>
      </c>
      <c r="D1371" s="688" t="s">
        <v>503</v>
      </c>
      <c r="E1371" s="689">
        <v>0</v>
      </c>
      <c r="F1371" s="687">
        <f t="shared" si="21"/>
        <v>0</v>
      </c>
    </row>
    <row r="1372" spans="1:6">
      <c r="A1372" s="685"/>
      <c r="B1372" s="686">
        <v>1852</v>
      </c>
      <c r="C1372" s="687">
        <v>152150</v>
      </c>
      <c r="D1372" s="688" t="s">
        <v>503</v>
      </c>
      <c r="E1372" s="689">
        <v>0</v>
      </c>
      <c r="F1372" s="687">
        <f t="shared" si="21"/>
        <v>0</v>
      </c>
    </row>
    <row r="1373" spans="1:6">
      <c r="A1373" s="685"/>
      <c r="B1373" s="686">
        <v>1849</v>
      </c>
      <c r="C1373" s="687">
        <v>56100</v>
      </c>
      <c r="D1373" s="688" t="s">
        <v>503</v>
      </c>
      <c r="E1373" s="689">
        <v>0</v>
      </c>
      <c r="F1373" s="687">
        <f t="shared" si="21"/>
        <v>0</v>
      </c>
    </row>
    <row r="1374" spans="1:6">
      <c r="A1374" s="685"/>
      <c r="B1374" s="686">
        <v>1849</v>
      </c>
      <c r="C1374" s="687">
        <v>56100</v>
      </c>
      <c r="D1374" s="688" t="s">
        <v>503</v>
      </c>
      <c r="E1374" s="689">
        <v>0</v>
      </c>
      <c r="F1374" s="687">
        <f t="shared" si="21"/>
        <v>0</v>
      </c>
    </row>
    <row r="1375" spans="1:6">
      <c r="A1375" s="685"/>
      <c r="B1375" s="686">
        <v>1848</v>
      </c>
      <c r="C1375" s="687">
        <v>144900</v>
      </c>
      <c r="D1375" s="688" t="s">
        <v>503</v>
      </c>
      <c r="E1375" s="689">
        <v>0</v>
      </c>
      <c r="F1375" s="687">
        <f t="shared" si="21"/>
        <v>0</v>
      </c>
    </row>
    <row r="1376" spans="1:6">
      <c r="A1376" s="685"/>
      <c r="B1376" s="686">
        <v>1848</v>
      </c>
      <c r="C1376" s="687">
        <v>241288</v>
      </c>
      <c r="D1376" s="688" t="s">
        <v>503</v>
      </c>
      <c r="E1376" s="689">
        <v>0</v>
      </c>
      <c r="F1376" s="687">
        <f t="shared" si="21"/>
        <v>0</v>
      </c>
    </row>
    <row r="1377" spans="1:6">
      <c r="A1377" s="685"/>
      <c r="B1377" s="686">
        <v>1848</v>
      </c>
      <c r="C1377" s="687">
        <v>2900</v>
      </c>
      <c r="D1377" s="688" t="s">
        <v>503</v>
      </c>
      <c r="E1377" s="689">
        <v>0</v>
      </c>
      <c r="F1377" s="687">
        <f t="shared" si="21"/>
        <v>0</v>
      </c>
    </row>
    <row r="1378" spans="1:6">
      <c r="A1378" s="685"/>
      <c r="B1378" s="686">
        <v>1848</v>
      </c>
      <c r="C1378" s="687">
        <v>107100</v>
      </c>
      <c r="D1378" s="688" t="s">
        <v>503</v>
      </c>
      <c r="E1378" s="689">
        <v>0</v>
      </c>
      <c r="F1378" s="687">
        <f t="shared" si="21"/>
        <v>0</v>
      </c>
    </row>
    <row r="1379" spans="1:6">
      <c r="A1379" s="685"/>
      <c r="B1379" s="686">
        <v>1848</v>
      </c>
      <c r="C1379" s="687">
        <v>23550</v>
      </c>
      <c r="D1379" s="688" t="s">
        <v>503</v>
      </c>
      <c r="E1379" s="689">
        <v>0</v>
      </c>
      <c r="F1379" s="687">
        <f t="shared" si="21"/>
        <v>0</v>
      </c>
    </row>
    <row r="1380" spans="1:6">
      <c r="A1380" s="685"/>
      <c r="B1380" s="686">
        <v>1847</v>
      </c>
      <c r="C1380" s="687">
        <v>86000</v>
      </c>
      <c r="D1380" s="688" t="s">
        <v>503</v>
      </c>
      <c r="E1380" s="689">
        <v>0</v>
      </c>
      <c r="F1380" s="687">
        <f t="shared" si="21"/>
        <v>0</v>
      </c>
    </row>
    <row r="1381" spans="1:6">
      <c r="A1381" s="685"/>
      <c r="B1381" s="686">
        <v>1845</v>
      </c>
      <c r="C1381" s="687">
        <v>66585</v>
      </c>
      <c r="D1381" s="688" t="s">
        <v>503</v>
      </c>
      <c r="E1381" s="689">
        <v>0</v>
      </c>
      <c r="F1381" s="687">
        <f t="shared" si="21"/>
        <v>0</v>
      </c>
    </row>
    <row r="1382" spans="1:6">
      <c r="A1382" s="685"/>
      <c r="B1382" s="686">
        <v>1845</v>
      </c>
      <c r="C1382" s="687">
        <v>145700</v>
      </c>
      <c r="D1382" s="688" t="s">
        <v>503</v>
      </c>
      <c r="E1382" s="689">
        <v>0</v>
      </c>
      <c r="F1382" s="687">
        <f t="shared" si="21"/>
        <v>0</v>
      </c>
    </row>
    <row r="1383" spans="1:6">
      <c r="A1383" s="685"/>
      <c r="B1383" s="686">
        <v>1845</v>
      </c>
      <c r="C1383" s="687">
        <v>56100</v>
      </c>
      <c r="D1383" s="688" t="s">
        <v>503</v>
      </c>
      <c r="E1383" s="689">
        <v>0</v>
      </c>
      <c r="F1383" s="687">
        <f t="shared" si="21"/>
        <v>0</v>
      </c>
    </row>
    <row r="1384" spans="1:6">
      <c r="A1384" s="685"/>
      <c r="B1384" s="686">
        <v>1844</v>
      </c>
      <c r="C1384" s="687">
        <v>170882</v>
      </c>
      <c r="D1384" s="688" t="s">
        <v>503</v>
      </c>
      <c r="E1384" s="689">
        <v>0</v>
      </c>
      <c r="F1384" s="687">
        <f t="shared" si="21"/>
        <v>0</v>
      </c>
    </row>
    <row r="1385" spans="1:6">
      <c r="A1385" s="685"/>
      <c r="B1385" s="686">
        <v>1844</v>
      </c>
      <c r="C1385" s="687">
        <v>48000</v>
      </c>
      <c r="D1385" s="688" t="s">
        <v>503</v>
      </c>
      <c r="E1385" s="689">
        <v>0</v>
      </c>
      <c r="F1385" s="687">
        <f t="shared" si="21"/>
        <v>0</v>
      </c>
    </row>
    <row r="1386" spans="1:6">
      <c r="A1386" s="685"/>
      <c r="B1386" s="686">
        <v>1841</v>
      </c>
      <c r="C1386" s="687">
        <v>83400</v>
      </c>
      <c r="D1386" s="688" t="s">
        <v>503</v>
      </c>
      <c r="E1386" s="689">
        <v>0</v>
      </c>
      <c r="F1386" s="687">
        <f t="shared" si="21"/>
        <v>0</v>
      </c>
    </row>
    <row r="1387" spans="1:6">
      <c r="A1387" s="685"/>
      <c r="B1387" s="686">
        <v>1841</v>
      </c>
      <c r="C1387" s="687">
        <v>69150</v>
      </c>
      <c r="D1387" s="688" t="s">
        <v>503</v>
      </c>
      <c r="E1387" s="689">
        <v>0</v>
      </c>
      <c r="F1387" s="687">
        <f t="shared" si="21"/>
        <v>0</v>
      </c>
    </row>
    <row r="1388" spans="1:6">
      <c r="A1388" s="685"/>
      <c r="B1388" s="686">
        <v>1840</v>
      </c>
      <c r="C1388" s="687">
        <v>966000</v>
      </c>
      <c r="D1388" s="688" t="s">
        <v>503</v>
      </c>
      <c r="E1388" s="689">
        <v>0</v>
      </c>
      <c r="F1388" s="687">
        <f t="shared" si="21"/>
        <v>0</v>
      </c>
    </row>
    <row r="1389" spans="1:6">
      <c r="A1389" s="685"/>
      <c r="B1389" s="686">
        <v>1840</v>
      </c>
      <c r="C1389" s="687">
        <v>118950</v>
      </c>
      <c r="D1389" s="688" t="s">
        <v>503</v>
      </c>
      <c r="E1389" s="689">
        <v>0</v>
      </c>
      <c r="F1389" s="687">
        <f t="shared" si="21"/>
        <v>0</v>
      </c>
    </row>
    <row r="1390" spans="1:6">
      <c r="A1390" s="685"/>
      <c r="B1390" s="686">
        <v>1840</v>
      </c>
      <c r="C1390" s="687">
        <v>170000</v>
      </c>
      <c r="D1390" s="688" t="s">
        <v>503</v>
      </c>
      <c r="E1390" s="689">
        <v>0</v>
      </c>
      <c r="F1390" s="687">
        <f t="shared" si="21"/>
        <v>0</v>
      </c>
    </row>
    <row r="1391" spans="1:6">
      <c r="A1391" s="685"/>
      <c r="B1391" s="686">
        <v>1840</v>
      </c>
      <c r="C1391" s="687">
        <v>62750</v>
      </c>
      <c r="D1391" s="688" t="s">
        <v>503</v>
      </c>
      <c r="E1391" s="689">
        <v>0</v>
      </c>
      <c r="F1391" s="687">
        <f t="shared" si="21"/>
        <v>0</v>
      </c>
    </row>
    <row r="1392" spans="1:6">
      <c r="A1392" s="685"/>
      <c r="B1392" s="686">
        <v>1840</v>
      </c>
      <c r="C1392" s="687">
        <v>24000</v>
      </c>
      <c r="D1392" s="688" t="s">
        <v>503</v>
      </c>
      <c r="E1392" s="689">
        <v>0</v>
      </c>
      <c r="F1392" s="687">
        <f t="shared" si="21"/>
        <v>0</v>
      </c>
    </row>
    <row r="1393" spans="1:6">
      <c r="A1393" s="685"/>
      <c r="B1393" s="686">
        <v>1840</v>
      </c>
      <c r="C1393" s="687">
        <v>129800</v>
      </c>
      <c r="D1393" s="688" t="s">
        <v>503</v>
      </c>
      <c r="E1393" s="689">
        <v>0</v>
      </c>
      <c r="F1393" s="687">
        <f t="shared" si="21"/>
        <v>0</v>
      </c>
    </row>
    <row r="1394" spans="1:6">
      <c r="A1394" s="685"/>
      <c r="B1394" s="686">
        <v>1838</v>
      </c>
      <c r="C1394" s="687">
        <v>175200</v>
      </c>
      <c r="D1394" s="688" t="s">
        <v>503</v>
      </c>
      <c r="E1394" s="689">
        <v>0</v>
      </c>
      <c r="F1394" s="687">
        <f t="shared" si="21"/>
        <v>0</v>
      </c>
    </row>
    <row r="1395" spans="1:6">
      <c r="A1395" s="685"/>
      <c r="B1395" s="686">
        <v>1837</v>
      </c>
      <c r="C1395" s="687">
        <v>15800</v>
      </c>
      <c r="D1395" s="688" t="s">
        <v>503</v>
      </c>
      <c r="E1395" s="689">
        <v>0</v>
      </c>
      <c r="F1395" s="687">
        <f t="shared" si="21"/>
        <v>0</v>
      </c>
    </row>
    <row r="1396" spans="1:6">
      <c r="A1396" s="685"/>
      <c r="B1396" s="686">
        <v>1836</v>
      </c>
      <c r="C1396" s="687">
        <v>65000</v>
      </c>
      <c r="D1396" s="688" t="s">
        <v>503</v>
      </c>
      <c r="E1396" s="689">
        <v>0</v>
      </c>
      <c r="F1396" s="687">
        <f t="shared" si="21"/>
        <v>0</v>
      </c>
    </row>
    <row r="1397" spans="1:6">
      <c r="A1397" s="685"/>
      <c r="B1397" s="686">
        <v>1831</v>
      </c>
      <c r="C1397" s="687">
        <v>187600</v>
      </c>
      <c r="D1397" s="688" t="s">
        <v>503</v>
      </c>
      <c r="E1397" s="689">
        <v>0</v>
      </c>
      <c r="F1397" s="687">
        <f t="shared" si="21"/>
        <v>0</v>
      </c>
    </row>
    <row r="1398" spans="1:6">
      <c r="A1398" s="685"/>
      <c r="B1398" s="686">
        <v>1831</v>
      </c>
      <c r="C1398" s="687">
        <v>56100</v>
      </c>
      <c r="D1398" s="688" t="s">
        <v>503</v>
      </c>
      <c r="E1398" s="689">
        <v>0</v>
      </c>
      <c r="F1398" s="687">
        <f t="shared" si="21"/>
        <v>0</v>
      </c>
    </row>
    <row r="1399" spans="1:6">
      <c r="A1399" s="685"/>
      <c r="B1399" s="686">
        <v>1831</v>
      </c>
      <c r="C1399" s="687">
        <v>15400</v>
      </c>
      <c r="D1399" s="688" t="s">
        <v>503</v>
      </c>
      <c r="E1399" s="689">
        <v>0</v>
      </c>
      <c r="F1399" s="687">
        <f t="shared" si="21"/>
        <v>0</v>
      </c>
    </row>
    <row r="1400" spans="1:6">
      <c r="A1400" s="685"/>
      <c r="B1400" s="686">
        <v>1830</v>
      </c>
      <c r="C1400" s="687">
        <v>25700</v>
      </c>
      <c r="D1400" s="688" t="s">
        <v>503</v>
      </c>
      <c r="E1400" s="689">
        <v>0</v>
      </c>
      <c r="F1400" s="687">
        <f t="shared" si="21"/>
        <v>0</v>
      </c>
    </row>
    <row r="1401" spans="1:6">
      <c r="A1401" s="685"/>
      <c r="B1401" s="686">
        <v>1828</v>
      </c>
      <c r="C1401" s="687">
        <v>29000</v>
      </c>
      <c r="D1401" s="688" t="s">
        <v>503</v>
      </c>
      <c r="E1401" s="689">
        <v>0</v>
      </c>
      <c r="F1401" s="687">
        <f t="shared" si="21"/>
        <v>0</v>
      </c>
    </row>
    <row r="1402" spans="1:6">
      <c r="A1402" s="685"/>
      <c r="B1402" s="686">
        <v>1828</v>
      </c>
      <c r="C1402" s="687">
        <v>52650</v>
      </c>
      <c r="D1402" s="688" t="s">
        <v>503</v>
      </c>
      <c r="E1402" s="689">
        <v>0</v>
      </c>
      <c r="F1402" s="687">
        <f t="shared" si="21"/>
        <v>0</v>
      </c>
    </row>
    <row r="1403" spans="1:6">
      <c r="A1403" s="685"/>
      <c r="B1403" s="686">
        <v>1828</v>
      </c>
      <c r="C1403" s="687">
        <v>895850</v>
      </c>
      <c r="D1403" s="688" t="s">
        <v>503</v>
      </c>
      <c r="E1403" s="689">
        <v>0</v>
      </c>
      <c r="F1403" s="687">
        <f t="shared" si="21"/>
        <v>0</v>
      </c>
    </row>
    <row r="1404" spans="1:6">
      <c r="A1404" s="685"/>
      <c r="B1404" s="686">
        <v>1827</v>
      </c>
      <c r="C1404" s="687">
        <v>130620</v>
      </c>
      <c r="D1404" s="688" t="s">
        <v>503</v>
      </c>
      <c r="E1404" s="689">
        <v>0</v>
      </c>
      <c r="F1404" s="687">
        <f t="shared" si="21"/>
        <v>0</v>
      </c>
    </row>
    <row r="1405" spans="1:6">
      <c r="A1405" s="685"/>
      <c r="B1405" s="686">
        <v>1826</v>
      </c>
      <c r="C1405" s="687">
        <v>67700</v>
      </c>
      <c r="D1405" s="688" t="s">
        <v>503</v>
      </c>
      <c r="E1405" s="689">
        <v>0</v>
      </c>
      <c r="F1405" s="687">
        <f t="shared" si="21"/>
        <v>0</v>
      </c>
    </row>
    <row r="1406" spans="1:6">
      <c r="A1406" s="685"/>
      <c r="B1406" s="686">
        <v>1826</v>
      </c>
      <c r="C1406" s="687">
        <v>48000</v>
      </c>
      <c r="D1406" s="688" t="s">
        <v>503</v>
      </c>
      <c r="E1406" s="689">
        <v>0</v>
      </c>
      <c r="F1406" s="687">
        <f t="shared" si="21"/>
        <v>0</v>
      </c>
    </row>
    <row r="1407" spans="1:6">
      <c r="A1407" s="685"/>
      <c r="B1407" s="686">
        <v>1826</v>
      </c>
      <c r="C1407" s="687">
        <v>32284</v>
      </c>
      <c r="D1407" s="688" t="s">
        <v>503</v>
      </c>
      <c r="E1407" s="689">
        <v>0</v>
      </c>
      <c r="F1407" s="687">
        <f t="shared" si="21"/>
        <v>0</v>
      </c>
    </row>
    <row r="1408" spans="1:6">
      <c r="A1408" s="685"/>
      <c r="B1408" s="686">
        <v>1824</v>
      </c>
      <c r="C1408" s="687">
        <v>31100</v>
      </c>
      <c r="D1408" s="688" t="s">
        <v>503</v>
      </c>
      <c r="E1408" s="689">
        <v>0</v>
      </c>
      <c r="F1408" s="687">
        <f t="shared" si="21"/>
        <v>0</v>
      </c>
    </row>
    <row r="1409" spans="1:6">
      <c r="A1409" s="685"/>
      <c r="B1409" s="686">
        <v>1823</v>
      </c>
      <c r="C1409" s="687">
        <v>206100</v>
      </c>
      <c r="D1409" s="688" t="s">
        <v>503</v>
      </c>
      <c r="E1409" s="689">
        <v>0</v>
      </c>
      <c r="F1409" s="687">
        <f t="shared" si="21"/>
        <v>0</v>
      </c>
    </row>
    <row r="1410" spans="1:6">
      <c r="A1410" s="685"/>
      <c r="B1410" s="686">
        <v>1820</v>
      </c>
      <c r="C1410" s="687">
        <v>3445000</v>
      </c>
      <c r="D1410" s="688" t="s">
        <v>503</v>
      </c>
      <c r="E1410" s="689">
        <v>0</v>
      </c>
      <c r="F1410" s="687">
        <f t="shared" si="21"/>
        <v>0</v>
      </c>
    </row>
    <row r="1411" spans="1:6">
      <c r="A1411" s="685"/>
      <c r="B1411" s="686">
        <v>1820</v>
      </c>
      <c r="C1411" s="687">
        <v>10026800</v>
      </c>
      <c r="D1411" s="688" t="s">
        <v>503</v>
      </c>
      <c r="E1411" s="689">
        <v>0</v>
      </c>
      <c r="F1411" s="687">
        <f t="shared" ref="F1411:F1474" si="22">+C1411*E1411</f>
        <v>0</v>
      </c>
    </row>
    <row r="1412" spans="1:6">
      <c r="A1412" s="685"/>
      <c r="B1412" s="686">
        <v>1819</v>
      </c>
      <c r="C1412" s="687">
        <v>37500</v>
      </c>
      <c r="D1412" s="688" t="s">
        <v>503</v>
      </c>
      <c r="E1412" s="689">
        <v>0</v>
      </c>
      <c r="F1412" s="687">
        <f t="shared" si="22"/>
        <v>0</v>
      </c>
    </row>
    <row r="1413" spans="1:6">
      <c r="A1413" s="685"/>
      <c r="B1413" s="686">
        <v>1819</v>
      </c>
      <c r="C1413" s="687">
        <v>52300</v>
      </c>
      <c r="D1413" s="688" t="s">
        <v>503</v>
      </c>
      <c r="E1413" s="689">
        <v>0</v>
      </c>
      <c r="F1413" s="687">
        <f t="shared" si="22"/>
        <v>0</v>
      </c>
    </row>
    <row r="1414" spans="1:6">
      <c r="A1414" s="685"/>
      <c r="B1414" s="686">
        <v>1817</v>
      </c>
      <c r="C1414" s="687">
        <v>450500</v>
      </c>
      <c r="D1414" s="688" t="s">
        <v>503</v>
      </c>
      <c r="E1414" s="689">
        <v>0</v>
      </c>
      <c r="F1414" s="687">
        <f t="shared" si="22"/>
        <v>0</v>
      </c>
    </row>
    <row r="1415" spans="1:6">
      <c r="A1415" s="685"/>
      <c r="B1415" s="686">
        <v>1817</v>
      </c>
      <c r="C1415" s="687">
        <v>51100</v>
      </c>
      <c r="D1415" s="688" t="s">
        <v>503</v>
      </c>
      <c r="E1415" s="689">
        <v>0</v>
      </c>
      <c r="F1415" s="687">
        <f t="shared" si="22"/>
        <v>0</v>
      </c>
    </row>
    <row r="1416" spans="1:6">
      <c r="A1416" s="685"/>
      <c r="B1416" s="686">
        <v>1816</v>
      </c>
      <c r="C1416" s="687">
        <v>321700</v>
      </c>
      <c r="D1416" s="688" t="s">
        <v>503</v>
      </c>
      <c r="E1416" s="689">
        <v>0</v>
      </c>
      <c r="F1416" s="687">
        <f t="shared" si="22"/>
        <v>0</v>
      </c>
    </row>
    <row r="1417" spans="1:6">
      <c r="A1417" s="685"/>
      <c r="B1417" s="686">
        <v>1816</v>
      </c>
      <c r="C1417" s="687">
        <v>522358</v>
      </c>
      <c r="D1417" s="688" t="s">
        <v>503</v>
      </c>
      <c r="E1417" s="689">
        <v>0</v>
      </c>
      <c r="F1417" s="687">
        <f t="shared" si="22"/>
        <v>0</v>
      </c>
    </row>
    <row r="1418" spans="1:6">
      <c r="A1418" s="685"/>
      <c r="B1418" s="686">
        <v>1812</v>
      </c>
      <c r="C1418" s="687">
        <v>56100</v>
      </c>
      <c r="D1418" s="688" t="s">
        <v>503</v>
      </c>
      <c r="E1418" s="689">
        <v>0</v>
      </c>
      <c r="F1418" s="687">
        <f t="shared" si="22"/>
        <v>0</v>
      </c>
    </row>
    <row r="1419" spans="1:6">
      <c r="A1419" s="685"/>
      <c r="B1419" s="686">
        <v>1812</v>
      </c>
      <c r="C1419" s="687">
        <v>8100</v>
      </c>
      <c r="D1419" s="688" t="s">
        <v>503</v>
      </c>
      <c r="E1419" s="689">
        <v>0</v>
      </c>
      <c r="F1419" s="687">
        <f t="shared" si="22"/>
        <v>0</v>
      </c>
    </row>
    <row r="1420" spans="1:6">
      <c r="A1420" s="685"/>
      <c r="B1420" s="686">
        <v>1812</v>
      </c>
      <c r="C1420" s="687">
        <v>120000</v>
      </c>
      <c r="D1420" s="688" t="s">
        <v>503</v>
      </c>
      <c r="E1420" s="689">
        <v>0</v>
      </c>
      <c r="F1420" s="687">
        <f t="shared" si="22"/>
        <v>0</v>
      </c>
    </row>
    <row r="1421" spans="1:6">
      <c r="A1421" s="685"/>
      <c r="B1421" s="686">
        <v>1810</v>
      </c>
      <c r="C1421" s="687">
        <v>72000</v>
      </c>
      <c r="D1421" s="688" t="s">
        <v>503</v>
      </c>
      <c r="E1421" s="689">
        <v>0</v>
      </c>
      <c r="F1421" s="687">
        <f t="shared" si="22"/>
        <v>0</v>
      </c>
    </row>
    <row r="1422" spans="1:6">
      <c r="A1422" s="685"/>
      <c r="B1422" s="686">
        <v>1809</v>
      </c>
      <c r="C1422" s="687">
        <v>10500</v>
      </c>
      <c r="D1422" s="688" t="s">
        <v>503</v>
      </c>
      <c r="E1422" s="689">
        <v>0</v>
      </c>
      <c r="F1422" s="687">
        <f t="shared" si="22"/>
        <v>0</v>
      </c>
    </row>
    <row r="1423" spans="1:6">
      <c r="A1423" s="685"/>
      <c r="B1423" s="686">
        <v>1807</v>
      </c>
      <c r="C1423" s="687">
        <v>271880</v>
      </c>
      <c r="D1423" s="688" t="s">
        <v>503</v>
      </c>
      <c r="E1423" s="689">
        <v>0</v>
      </c>
      <c r="F1423" s="687">
        <f t="shared" si="22"/>
        <v>0</v>
      </c>
    </row>
    <row r="1424" spans="1:6">
      <c r="A1424" s="685"/>
      <c r="B1424" s="686">
        <v>1807</v>
      </c>
      <c r="C1424" s="687">
        <v>80600</v>
      </c>
      <c r="D1424" s="688" t="s">
        <v>503</v>
      </c>
      <c r="E1424" s="689">
        <v>0</v>
      </c>
      <c r="F1424" s="687">
        <f t="shared" si="22"/>
        <v>0</v>
      </c>
    </row>
    <row r="1425" spans="1:6">
      <c r="A1425" s="685"/>
      <c r="B1425" s="686">
        <v>1801</v>
      </c>
      <c r="C1425" s="687">
        <v>300280</v>
      </c>
      <c r="D1425" s="688" t="s">
        <v>503</v>
      </c>
      <c r="E1425" s="689">
        <v>0</v>
      </c>
      <c r="F1425" s="687">
        <f t="shared" si="22"/>
        <v>0</v>
      </c>
    </row>
    <row r="1426" spans="1:6">
      <c r="A1426" s="685"/>
      <c r="B1426" s="686">
        <v>1800</v>
      </c>
      <c r="C1426" s="687">
        <v>10700</v>
      </c>
      <c r="D1426" s="688" t="s">
        <v>503</v>
      </c>
      <c r="E1426" s="689">
        <v>0</v>
      </c>
      <c r="F1426" s="687">
        <f t="shared" si="22"/>
        <v>0</v>
      </c>
    </row>
    <row r="1427" spans="1:6">
      <c r="A1427" s="685"/>
      <c r="B1427" s="686">
        <v>1799</v>
      </c>
      <c r="C1427" s="687">
        <v>61480</v>
      </c>
      <c r="D1427" s="688" t="s">
        <v>503</v>
      </c>
      <c r="E1427" s="689">
        <v>0</v>
      </c>
      <c r="F1427" s="687">
        <f t="shared" si="22"/>
        <v>0</v>
      </c>
    </row>
    <row r="1428" spans="1:6">
      <c r="A1428" s="685"/>
      <c r="B1428" s="686">
        <v>1799</v>
      </c>
      <c r="C1428" s="687">
        <v>5096000</v>
      </c>
      <c r="D1428" s="688" t="s">
        <v>503</v>
      </c>
      <c r="E1428" s="689">
        <v>0</v>
      </c>
      <c r="F1428" s="687">
        <f t="shared" si="22"/>
        <v>0</v>
      </c>
    </row>
    <row r="1429" spans="1:6">
      <c r="A1429" s="685"/>
      <c r="B1429" s="686">
        <v>1796</v>
      </c>
      <c r="C1429" s="687">
        <v>204630</v>
      </c>
      <c r="D1429" s="688" t="s">
        <v>503</v>
      </c>
      <c r="E1429" s="689">
        <v>0</v>
      </c>
      <c r="F1429" s="687">
        <f t="shared" si="22"/>
        <v>0</v>
      </c>
    </row>
    <row r="1430" spans="1:6">
      <c r="A1430" s="685"/>
      <c r="B1430" s="686">
        <v>1795</v>
      </c>
      <c r="C1430" s="687">
        <v>15000</v>
      </c>
      <c r="D1430" s="688" t="s">
        <v>503</v>
      </c>
      <c r="E1430" s="689">
        <v>0</v>
      </c>
      <c r="F1430" s="687">
        <f t="shared" si="22"/>
        <v>0</v>
      </c>
    </row>
    <row r="1431" spans="1:6">
      <c r="A1431" s="685"/>
      <c r="B1431" s="686">
        <v>1794</v>
      </c>
      <c r="C1431" s="687">
        <v>126700</v>
      </c>
      <c r="D1431" s="688" t="s">
        <v>503</v>
      </c>
      <c r="E1431" s="689">
        <v>0</v>
      </c>
      <c r="F1431" s="687">
        <f t="shared" si="22"/>
        <v>0</v>
      </c>
    </row>
    <row r="1432" spans="1:6">
      <c r="A1432" s="685"/>
      <c r="B1432" s="686">
        <v>1793</v>
      </c>
      <c r="C1432" s="687">
        <v>73600</v>
      </c>
      <c r="D1432" s="688" t="s">
        <v>503</v>
      </c>
      <c r="E1432" s="689">
        <v>0</v>
      </c>
      <c r="F1432" s="687">
        <f t="shared" si="22"/>
        <v>0</v>
      </c>
    </row>
    <row r="1433" spans="1:6">
      <c r="A1433" s="685"/>
      <c r="B1433" s="686">
        <v>1791</v>
      </c>
      <c r="C1433" s="687">
        <v>62900</v>
      </c>
      <c r="D1433" s="688" t="s">
        <v>503</v>
      </c>
      <c r="E1433" s="689">
        <v>0</v>
      </c>
      <c r="F1433" s="687">
        <f t="shared" si="22"/>
        <v>0</v>
      </c>
    </row>
    <row r="1434" spans="1:6">
      <c r="A1434" s="685"/>
      <c r="B1434" s="686">
        <v>1789</v>
      </c>
      <c r="C1434" s="687">
        <v>98750</v>
      </c>
      <c r="D1434" s="688" t="s">
        <v>503</v>
      </c>
      <c r="E1434" s="689">
        <v>0</v>
      </c>
      <c r="F1434" s="687">
        <f t="shared" si="22"/>
        <v>0</v>
      </c>
    </row>
    <row r="1435" spans="1:6">
      <c r="A1435" s="685"/>
      <c r="B1435" s="686">
        <v>1789</v>
      </c>
      <c r="C1435" s="687">
        <v>26030</v>
      </c>
      <c r="D1435" s="688" t="s">
        <v>503</v>
      </c>
      <c r="E1435" s="689">
        <v>0</v>
      </c>
      <c r="F1435" s="687">
        <f t="shared" si="22"/>
        <v>0</v>
      </c>
    </row>
    <row r="1436" spans="1:6">
      <c r="A1436" s="685"/>
      <c r="B1436" s="686">
        <v>1789</v>
      </c>
      <c r="C1436" s="687">
        <v>11600</v>
      </c>
      <c r="D1436" s="688" t="s">
        <v>503</v>
      </c>
      <c r="E1436" s="689">
        <v>0</v>
      </c>
      <c r="F1436" s="687">
        <f t="shared" si="22"/>
        <v>0</v>
      </c>
    </row>
    <row r="1437" spans="1:6">
      <c r="A1437" s="685"/>
      <c r="B1437" s="686">
        <v>1789</v>
      </c>
      <c r="C1437" s="687">
        <v>300000</v>
      </c>
      <c r="D1437" s="688" t="s">
        <v>503</v>
      </c>
      <c r="E1437" s="689">
        <v>0</v>
      </c>
      <c r="F1437" s="687">
        <f t="shared" si="22"/>
        <v>0</v>
      </c>
    </row>
    <row r="1438" spans="1:6">
      <c r="A1438" s="685"/>
      <c r="B1438" s="686">
        <v>1788</v>
      </c>
      <c r="C1438" s="687">
        <v>121930</v>
      </c>
      <c r="D1438" s="688" t="s">
        <v>503</v>
      </c>
      <c r="E1438" s="689">
        <v>0</v>
      </c>
      <c r="F1438" s="687">
        <f t="shared" si="22"/>
        <v>0</v>
      </c>
    </row>
    <row r="1439" spans="1:6">
      <c r="A1439" s="685"/>
      <c r="B1439" s="686">
        <v>1788</v>
      </c>
      <c r="C1439" s="687">
        <v>7600</v>
      </c>
      <c r="D1439" s="688" t="s">
        <v>503</v>
      </c>
      <c r="E1439" s="689">
        <v>0</v>
      </c>
      <c r="F1439" s="687">
        <f t="shared" si="22"/>
        <v>0</v>
      </c>
    </row>
    <row r="1440" spans="1:6">
      <c r="A1440" s="685"/>
      <c r="B1440" s="686">
        <v>1788</v>
      </c>
      <c r="C1440" s="687">
        <v>32930</v>
      </c>
      <c r="D1440" s="688" t="s">
        <v>503</v>
      </c>
      <c r="E1440" s="689">
        <v>0</v>
      </c>
      <c r="F1440" s="687">
        <f t="shared" si="22"/>
        <v>0</v>
      </c>
    </row>
    <row r="1441" spans="1:6">
      <c r="A1441" s="685"/>
      <c r="B1441" s="686">
        <v>1787</v>
      </c>
      <c r="C1441" s="687">
        <v>125350</v>
      </c>
      <c r="D1441" s="688" t="s">
        <v>503</v>
      </c>
      <c r="E1441" s="689">
        <v>0</v>
      </c>
      <c r="F1441" s="687">
        <f t="shared" si="22"/>
        <v>0</v>
      </c>
    </row>
    <row r="1442" spans="1:6">
      <c r="A1442" s="685"/>
      <c r="B1442" s="686">
        <v>1787</v>
      </c>
      <c r="C1442" s="687">
        <v>49430</v>
      </c>
      <c r="D1442" s="688" t="s">
        <v>503</v>
      </c>
      <c r="E1442" s="689">
        <v>0</v>
      </c>
      <c r="F1442" s="687">
        <f t="shared" si="22"/>
        <v>0</v>
      </c>
    </row>
    <row r="1443" spans="1:6">
      <c r="A1443" s="685"/>
      <c r="B1443" s="686">
        <v>1786</v>
      </c>
      <c r="C1443" s="687">
        <v>150030</v>
      </c>
      <c r="D1443" s="688" t="s">
        <v>503</v>
      </c>
      <c r="E1443" s="689">
        <v>0</v>
      </c>
      <c r="F1443" s="687">
        <f t="shared" si="22"/>
        <v>0</v>
      </c>
    </row>
    <row r="1444" spans="1:6">
      <c r="A1444" s="685"/>
      <c r="B1444" s="686">
        <v>1786</v>
      </c>
      <c r="C1444" s="687">
        <v>225000</v>
      </c>
      <c r="D1444" s="688" t="s">
        <v>503</v>
      </c>
      <c r="E1444" s="689">
        <v>0</v>
      </c>
      <c r="F1444" s="687">
        <f t="shared" si="22"/>
        <v>0</v>
      </c>
    </row>
    <row r="1445" spans="1:6">
      <c r="A1445" s="685"/>
      <c r="B1445" s="686">
        <v>1784</v>
      </c>
      <c r="C1445" s="687">
        <v>11600</v>
      </c>
      <c r="D1445" s="688" t="s">
        <v>503</v>
      </c>
      <c r="E1445" s="689">
        <v>0</v>
      </c>
      <c r="F1445" s="687">
        <f t="shared" si="22"/>
        <v>0</v>
      </c>
    </row>
    <row r="1446" spans="1:6">
      <c r="A1446" s="685"/>
      <c r="B1446" s="686">
        <v>1784</v>
      </c>
      <c r="C1446" s="687">
        <v>124600</v>
      </c>
      <c r="D1446" s="688" t="s">
        <v>503</v>
      </c>
      <c r="E1446" s="689">
        <v>0</v>
      </c>
      <c r="F1446" s="687">
        <f t="shared" si="22"/>
        <v>0</v>
      </c>
    </row>
    <row r="1447" spans="1:6">
      <c r="A1447" s="685"/>
      <c r="B1447" s="686">
        <v>1782</v>
      </c>
      <c r="C1447" s="687">
        <v>17400</v>
      </c>
      <c r="D1447" s="688" t="s">
        <v>503</v>
      </c>
      <c r="E1447" s="689">
        <v>0</v>
      </c>
      <c r="F1447" s="687">
        <f t="shared" si="22"/>
        <v>0</v>
      </c>
    </row>
    <row r="1448" spans="1:6">
      <c r="A1448" s="685"/>
      <c r="B1448" s="686">
        <v>1780</v>
      </c>
      <c r="C1448" s="687">
        <v>56100</v>
      </c>
      <c r="D1448" s="688" t="s">
        <v>503</v>
      </c>
      <c r="E1448" s="689">
        <v>0</v>
      </c>
      <c r="F1448" s="687">
        <f t="shared" si="22"/>
        <v>0</v>
      </c>
    </row>
    <row r="1449" spans="1:6">
      <c r="A1449" s="685"/>
      <c r="B1449" s="686">
        <v>1780</v>
      </c>
      <c r="C1449" s="687">
        <v>14700</v>
      </c>
      <c r="D1449" s="688" t="s">
        <v>503</v>
      </c>
      <c r="E1449" s="689">
        <v>0</v>
      </c>
      <c r="F1449" s="687">
        <f t="shared" si="22"/>
        <v>0</v>
      </c>
    </row>
    <row r="1450" spans="1:6">
      <c r="A1450" s="685"/>
      <c r="B1450" s="686">
        <v>1779</v>
      </c>
      <c r="C1450" s="687">
        <v>79630</v>
      </c>
      <c r="D1450" s="688" t="s">
        <v>503</v>
      </c>
      <c r="E1450" s="689">
        <v>0</v>
      </c>
      <c r="F1450" s="687">
        <f t="shared" si="22"/>
        <v>0</v>
      </c>
    </row>
    <row r="1451" spans="1:6">
      <c r="A1451" s="685"/>
      <c r="B1451" s="686">
        <v>1778</v>
      </c>
      <c r="C1451" s="687">
        <v>92417</v>
      </c>
      <c r="D1451" s="688" t="s">
        <v>503</v>
      </c>
      <c r="E1451" s="689">
        <v>0</v>
      </c>
      <c r="F1451" s="687">
        <f t="shared" si="22"/>
        <v>0</v>
      </c>
    </row>
    <row r="1452" spans="1:6">
      <c r="A1452" s="685"/>
      <c r="B1452" s="686">
        <v>1778</v>
      </c>
      <c r="C1452" s="687">
        <v>8480</v>
      </c>
      <c r="D1452" s="688" t="s">
        <v>503</v>
      </c>
      <c r="E1452" s="689">
        <v>0</v>
      </c>
      <c r="F1452" s="687">
        <f t="shared" si="22"/>
        <v>0</v>
      </c>
    </row>
    <row r="1453" spans="1:6">
      <c r="A1453" s="685"/>
      <c r="B1453" s="686">
        <v>1778</v>
      </c>
      <c r="C1453" s="687">
        <v>208650</v>
      </c>
      <c r="D1453" s="688" t="s">
        <v>503</v>
      </c>
      <c r="E1453" s="689">
        <v>0</v>
      </c>
      <c r="F1453" s="687">
        <f t="shared" si="22"/>
        <v>0</v>
      </c>
    </row>
    <row r="1454" spans="1:6">
      <c r="A1454" s="685"/>
      <c r="B1454" s="686">
        <v>1777</v>
      </c>
      <c r="C1454" s="687">
        <v>125200</v>
      </c>
      <c r="D1454" s="688" t="s">
        <v>503</v>
      </c>
      <c r="E1454" s="689">
        <v>0</v>
      </c>
      <c r="F1454" s="687">
        <f t="shared" si="22"/>
        <v>0</v>
      </c>
    </row>
    <row r="1455" spans="1:6">
      <c r="A1455" s="685"/>
      <c r="B1455" s="686">
        <v>1777</v>
      </c>
      <c r="C1455" s="687">
        <v>39150</v>
      </c>
      <c r="D1455" s="688" t="s">
        <v>503</v>
      </c>
      <c r="E1455" s="689">
        <v>0</v>
      </c>
      <c r="F1455" s="687">
        <f t="shared" si="22"/>
        <v>0</v>
      </c>
    </row>
    <row r="1456" spans="1:6">
      <c r="A1456" s="685"/>
      <c r="B1456" s="686">
        <v>1775</v>
      </c>
      <c r="C1456" s="687">
        <v>56100</v>
      </c>
      <c r="D1456" s="688" t="s">
        <v>503</v>
      </c>
      <c r="E1456" s="689">
        <v>0</v>
      </c>
      <c r="F1456" s="687">
        <f t="shared" si="22"/>
        <v>0</v>
      </c>
    </row>
    <row r="1457" spans="1:6">
      <c r="A1457" s="685"/>
      <c r="B1457" s="686">
        <v>1774</v>
      </c>
      <c r="C1457" s="687">
        <v>100300</v>
      </c>
      <c r="D1457" s="688" t="s">
        <v>503</v>
      </c>
      <c r="E1457" s="689">
        <v>0</v>
      </c>
      <c r="F1457" s="687">
        <f t="shared" si="22"/>
        <v>0</v>
      </c>
    </row>
    <row r="1458" spans="1:6">
      <c r="A1458" s="685"/>
      <c r="B1458" s="686">
        <v>1774</v>
      </c>
      <c r="C1458" s="687">
        <v>186650</v>
      </c>
      <c r="D1458" s="688" t="s">
        <v>503</v>
      </c>
      <c r="E1458" s="689">
        <v>0</v>
      </c>
      <c r="F1458" s="687">
        <f t="shared" si="22"/>
        <v>0</v>
      </c>
    </row>
    <row r="1459" spans="1:6">
      <c r="A1459" s="685"/>
      <c r="B1459" s="686">
        <v>1772</v>
      </c>
      <c r="C1459" s="687">
        <v>80530</v>
      </c>
      <c r="D1459" s="688" t="s">
        <v>503</v>
      </c>
      <c r="E1459" s="689">
        <v>0</v>
      </c>
      <c r="F1459" s="687">
        <f t="shared" si="22"/>
        <v>0</v>
      </c>
    </row>
    <row r="1460" spans="1:6">
      <c r="A1460" s="685"/>
      <c r="B1460" s="686">
        <v>1771</v>
      </c>
      <c r="C1460" s="687">
        <v>195000</v>
      </c>
      <c r="D1460" s="688" t="s">
        <v>503</v>
      </c>
      <c r="E1460" s="689">
        <v>0</v>
      </c>
      <c r="F1460" s="687">
        <f t="shared" si="22"/>
        <v>0</v>
      </c>
    </row>
    <row r="1461" spans="1:6">
      <c r="A1461" s="685"/>
      <c r="B1461" s="686">
        <v>1771</v>
      </c>
      <c r="C1461" s="687">
        <v>77700</v>
      </c>
      <c r="D1461" s="688" t="s">
        <v>503</v>
      </c>
      <c r="E1461" s="689">
        <v>0</v>
      </c>
      <c r="F1461" s="687">
        <f t="shared" si="22"/>
        <v>0</v>
      </c>
    </row>
    <row r="1462" spans="1:6">
      <c r="A1462" s="685"/>
      <c r="B1462" s="686">
        <v>1770</v>
      </c>
      <c r="C1462" s="687">
        <v>73600</v>
      </c>
      <c r="D1462" s="688" t="s">
        <v>503</v>
      </c>
      <c r="E1462" s="689">
        <v>0</v>
      </c>
      <c r="F1462" s="687">
        <f t="shared" si="22"/>
        <v>0</v>
      </c>
    </row>
    <row r="1463" spans="1:6">
      <c r="A1463" s="685"/>
      <c r="B1463" s="686">
        <v>1770</v>
      </c>
      <c r="C1463" s="687">
        <v>29880</v>
      </c>
      <c r="D1463" s="688" t="s">
        <v>503</v>
      </c>
      <c r="E1463" s="689">
        <v>0</v>
      </c>
      <c r="F1463" s="687">
        <f t="shared" si="22"/>
        <v>0</v>
      </c>
    </row>
    <row r="1464" spans="1:6">
      <c r="A1464" s="685"/>
      <c r="B1464" s="686">
        <v>1766</v>
      </c>
      <c r="C1464" s="687">
        <v>85750</v>
      </c>
      <c r="D1464" s="688" t="s">
        <v>503</v>
      </c>
      <c r="E1464" s="689">
        <v>0</v>
      </c>
      <c r="F1464" s="687">
        <f t="shared" si="22"/>
        <v>0</v>
      </c>
    </row>
    <row r="1465" spans="1:6">
      <c r="A1465" s="685"/>
      <c r="B1465" s="686">
        <v>1766</v>
      </c>
      <c r="C1465" s="687">
        <v>21600</v>
      </c>
      <c r="D1465" s="688" t="s">
        <v>503</v>
      </c>
      <c r="E1465" s="689">
        <v>0</v>
      </c>
      <c r="F1465" s="687">
        <f t="shared" si="22"/>
        <v>0</v>
      </c>
    </row>
    <row r="1466" spans="1:6">
      <c r="A1466" s="685"/>
      <c r="B1466" s="686">
        <v>1765</v>
      </c>
      <c r="C1466" s="687">
        <v>56100</v>
      </c>
      <c r="D1466" s="688" t="s">
        <v>503</v>
      </c>
      <c r="E1466" s="689">
        <v>0</v>
      </c>
      <c r="F1466" s="687">
        <f t="shared" si="22"/>
        <v>0</v>
      </c>
    </row>
    <row r="1467" spans="1:6">
      <c r="A1467" s="685"/>
      <c r="B1467" s="686">
        <v>1764</v>
      </c>
      <c r="C1467" s="687">
        <v>16700</v>
      </c>
      <c r="D1467" s="688" t="s">
        <v>503</v>
      </c>
      <c r="E1467" s="689">
        <v>0</v>
      </c>
      <c r="F1467" s="687">
        <f t="shared" si="22"/>
        <v>0</v>
      </c>
    </row>
    <row r="1468" spans="1:6">
      <c r="A1468" s="685"/>
      <c r="B1468" s="686">
        <v>1763</v>
      </c>
      <c r="C1468" s="687">
        <v>8300</v>
      </c>
      <c r="D1468" s="688" t="s">
        <v>503</v>
      </c>
      <c r="E1468" s="689">
        <v>0</v>
      </c>
      <c r="F1468" s="687">
        <f t="shared" si="22"/>
        <v>0</v>
      </c>
    </row>
    <row r="1469" spans="1:6">
      <c r="A1469" s="685"/>
      <c r="B1469" s="686">
        <v>1761</v>
      </c>
      <c r="C1469" s="687">
        <v>114630</v>
      </c>
      <c r="D1469" s="688" t="s">
        <v>503</v>
      </c>
      <c r="E1469" s="689">
        <v>0</v>
      </c>
      <c r="F1469" s="687">
        <f t="shared" si="22"/>
        <v>0</v>
      </c>
    </row>
    <row r="1470" spans="1:6">
      <c r="A1470" s="685"/>
      <c r="B1470" s="686">
        <v>1761</v>
      </c>
      <c r="C1470" s="687">
        <v>540000</v>
      </c>
      <c r="D1470" s="688" t="s">
        <v>503</v>
      </c>
      <c r="E1470" s="689">
        <v>0</v>
      </c>
      <c r="F1470" s="687">
        <f t="shared" si="22"/>
        <v>0</v>
      </c>
    </row>
    <row r="1471" spans="1:6">
      <c r="A1471" s="685"/>
      <c r="B1471" s="686">
        <v>1760</v>
      </c>
      <c r="C1471" s="687">
        <v>56100</v>
      </c>
      <c r="D1471" s="688" t="s">
        <v>503</v>
      </c>
      <c r="E1471" s="689">
        <v>0</v>
      </c>
      <c r="F1471" s="687">
        <f t="shared" si="22"/>
        <v>0</v>
      </c>
    </row>
    <row r="1472" spans="1:6">
      <c r="A1472" s="685"/>
      <c r="B1472" s="686">
        <v>1757</v>
      </c>
      <c r="C1472" s="687">
        <v>56100</v>
      </c>
      <c r="D1472" s="688" t="s">
        <v>503</v>
      </c>
      <c r="E1472" s="689">
        <v>0</v>
      </c>
      <c r="F1472" s="687">
        <f t="shared" si="22"/>
        <v>0</v>
      </c>
    </row>
    <row r="1473" spans="1:6">
      <c r="A1473" s="685"/>
      <c r="B1473" s="686">
        <v>1756</v>
      </c>
      <c r="C1473" s="687">
        <v>48000</v>
      </c>
      <c r="D1473" s="688" t="s">
        <v>503</v>
      </c>
      <c r="E1473" s="689">
        <v>0</v>
      </c>
      <c r="F1473" s="687">
        <f t="shared" si="22"/>
        <v>0</v>
      </c>
    </row>
    <row r="1474" spans="1:6">
      <c r="A1474" s="685"/>
      <c r="B1474" s="686">
        <v>1753</v>
      </c>
      <c r="C1474" s="687">
        <v>192000</v>
      </c>
      <c r="D1474" s="688" t="s">
        <v>503</v>
      </c>
      <c r="E1474" s="689">
        <v>0</v>
      </c>
      <c r="F1474" s="687">
        <f t="shared" si="22"/>
        <v>0</v>
      </c>
    </row>
    <row r="1475" spans="1:6">
      <c r="A1475" s="685"/>
      <c r="B1475" s="686">
        <v>1750</v>
      </c>
      <c r="C1475" s="687">
        <v>31080</v>
      </c>
      <c r="D1475" s="688" t="s">
        <v>503</v>
      </c>
      <c r="E1475" s="689">
        <v>0</v>
      </c>
      <c r="F1475" s="687">
        <f t="shared" ref="F1475:F1538" si="23">+C1475*E1475</f>
        <v>0</v>
      </c>
    </row>
    <row r="1476" spans="1:6">
      <c r="A1476" s="685"/>
      <c r="B1476" s="686">
        <v>1750</v>
      </c>
      <c r="C1476" s="687">
        <v>44263</v>
      </c>
      <c r="D1476" s="688" t="s">
        <v>503</v>
      </c>
      <c r="E1476" s="689">
        <v>0</v>
      </c>
      <c r="F1476" s="687">
        <f t="shared" si="23"/>
        <v>0</v>
      </c>
    </row>
    <row r="1477" spans="1:6">
      <c r="A1477" s="685"/>
      <c r="B1477" s="686">
        <v>1749</v>
      </c>
      <c r="C1477" s="687">
        <v>48000</v>
      </c>
      <c r="D1477" s="688" t="s">
        <v>503</v>
      </c>
      <c r="E1477" s="689">
        <v>0</v>
      </c>
      <c r="F1477" s="687">
        <f t="shared" si="23"/>
        <v>0</v>
      </c>
    </row>
    <row r="1478" spans="1:6">
      <c r="A1478" s="685"/>
      <c r="B1478" s="686">
        <v>1749</v>
      </c>
      <c r="C1478" s="687">
        <v>15400</v>
      </c>
      <c r="D1478" s="688" t="s">
        <v>503</v>
      </c>
      <c r="E1478" s="689">
        <v>0</v>
      </c>
      <c r="F1478" s="687">
        <f t="shared" si="23"/>
        <v>0</v>
      </c>
    </row>
    <row r="1479" spans="1:6">
      <c r="A1479" s="685"/>
      <c r="B1479" s="686">
        <v>1747</v>
      </c>
      <c r="C1479" s="687">
        <v>24000</v>
      </c>
      <c r="D1479" s="688" t="s">
        <v>503</v>
      </c>
      <c r="E1479" s="689">
        <v>0</v>
      </c>
      <c r="F1479" s="687">
        <f t="shared" si="23"/>
        <v>0</v>
      </c>
    </row>
    <row r="1480" spans="1:6">
      <c r="A1480" s="685"/>
      <c r="B1480" s="686">
        <v>1746</v>
      </c>
      <c r="C1480" s="687">
        <v>37900</v>
      </c>
      <c r="D1480" s="688" t="s">
        <v>503</v>
      </c>
      <c r="E1480" s="689">
        <v>0</v>
      </c>
      <c r="F1480" s="687">
        <f t="shared" si="23"/>
        <v>0</v>
      </c>
    </row>
    <row r="1481" spans="1:6">
      <c r="A1481" s="685"/>
      <c r="B1481" s="686">
        <v>1745</v>
      </c>
      <c r="C1481" s="687">
        <v>56100</v>
      </c>
      <c r="D1481" s="688" t="s">
        <v>503</v>
      </c>
      <c r="E1481" s="689">
        <v>0</v>
      </c>
      <c r="F1481" s="687">
        <f t="shared" si="23"/>
        <v>0</v>
      </c>
    </row>
    <row r="1482" spans="1:6">
      <c r="A1482" s="685"/>
      <c r="B1482" s="686">
        <v>1744</v>
      </c>
      <c r="C1482" s="687">
        <v>91350</v>
      </c>
      <c r="D1482" s="688" t="s">
        <v>503</v>
      </c>
      <c r="E1482" s="689">
        <v>0</v>
      </c>
      <c r="F1482" s="687">
        <f t="shared" si="23"/>
        <v>0</v>
      </c>
    </row>
    <row r="1483" spans="1:6">
      <c r="A1483" s="685"/>
      <c r="B1483" s="686">
        <v>1739</v>
      </c>
      <c r="C1483" s="687">
        <v>11750</v>
      </c>
      <c r="D1483" s="688" t="s">
        <v>503</v>
      </c>
      <c r="E1483" s="689">
        <v>0</v>
      </c>
      <c r="F1483" s="687">
        <f t="shared" si="23"/>
        <v>0</v>
      </c>
    </row>
    <row r="1484" spans="1:6">
      <c r="A1484" s="685"/>
      <c r="B1484" s="686">
        <v>1631</v>
      </c>
      <c r="C1484" s="687">
        <v>562800</v>
      </c>
      <c r="D1484" s="688" t="s">
        <v>68</v>
      </c>
      <c r="E1484" s="689">
        <v>0.01</v>
      </c>
      <c r="F1484" s="687">
        <f t="shared" si="23"/>
        <v>5628</v>
      </c>
    </row>
    <row r="1485" spans="1:6">
      <c r="A1485" s="685"/>
      <c r="B1485" s="686">
        <v>2960</v>
      </c>
      <c r="C1485" s="687">
        <v>975000</v>
      </c>
      <c r="D1485" s="688" t="s">
        <v>503</v>
      </c>
      <c r="E1485" s="689">
        <v>0</v>
      </c>
      <c r="F1485" s="687">
        <f t="shared" si="23"/>
        <v>0</v>
      </c>
    </row>
    <row r="1486" spans="1:6">
      <c r="A1486" s="685"/>
      <c r="B1486" s="686">
        <v>2960</v>
      </c>
      <c r="C1486" s="687">
        <v>601500</v>
      </c>
      <c r="D1486" s="688" t="s">
        <v>503</v>
      </c>
      <c r="E1486" s="689">
        <v>0</v>
      </c>
      <c r="F1486" s="687">
        <f t="shared" si="23"/>
        <v>0</v>
      </c>
    </row>
    <row r="1487" spans="1:6">
      <c r="A1487" s="685"/>
      <c r="B1487" s="686">
        <v>2958</v>
      </c>
      <c r="C1487" s="687">
        <v>800700</v>
      </c>
      <c r="D1487" s="688" t="s">
        <v>503</v>
      </c>
      <c r="E1487" s="689">
        <v>0</v>
      </c>
      <c r="F1487" s="687">
        <f t="shared" si="23"/>
        <v>0</v>
      </c>
    </row>
    <row r="1488" spans="1:6">
      <c r="A1488" s="685"/>
      <c r="B1488" s="686">
        <v>2957</v>
      </c>
      <c r="C1488" s="687">
        <v>775800</v>
      </c>
      <c r="D1488" s="688" t="s">
        <v>503</v>
      </c>
      <c r="E1488" s="689">
        <v>0</v>
      </c>
      <c r="F1488" s="687">
        <f t="shared" si="23"/>
        <v>0</v>
      </c>
    </row>
    <row r="1489" spans="1:6">
      <c r="A1489" s="685"/>
      <c r="B1489" s="686">
        <v>2954</v>
      </c>
      <c r="C1489" s="687">
        <v>5477300</v>
      </c>
      <c r="D1489" s="688" t="s">
        <v>503</v>
      </c>
      <c r="E1489" s="689">
        <v>0</v>
      </c>
      <c r="F1489" s="687">
        <f t="shared" si="23"/>
        <v>0</v>
      </c>
    </row>
    <row r="1490" spans="1:6">
      <c r="A1490" s="685"/>
      <c r="B1490" s="686">
        <v>3311</v>
      </c>
      <c r="C1490" s="687">
        <v>800000</v>
      </c>
      <c r="D1490" s="688" t="s">
        <v>68</v>
      </c>
      <c r="E1490" s="689">
        <v>0.01</v>
      </c>
      <c r="F1490" s="687">
        <f t="shared" si="23"/>
        <v>8000</v>
      </c>
    </row>
    <row r="1491" spans="1:6">
      <c r="A1491" s="685"/>
      <c r="B1491" s="686">
        <v>3024</v>
      </c>
      <c r="C1491" s="687">
        <v>400000</v>
      </c>
      <c r="D1491" s="688" t="s">
        <v>68</v>
      </c>
      <c r="E1491" s="689">
        <v>0.01</v>
      </c>
      <c r="F1491" s="687">
        <f t="shared" si="23"/>
        <v>4000</v>
      </c>
    </row>
    <row r="1492" spans="1:6">
      <c r="A1492" s="685"/>
      <c r="B1492" s="686">
        <v>2291</v>
      </c>
      <c r="C1492" s="687">
        <v>3979</v>
      </c>
      <c r="D1492" s="688" t="s">
        <v>68</v>
      </c>
      <c r="E1492" s="689">
        <v>0.01</v>
      </c>
      <c r="F1492" s="687">
        <f t="shared" si="23"/>
        <v>39.79</v>
      </c>
    </row>
    <row r="1493" spans="1:6">
      <c r="A1493" s="685"/>
      <c r="B1493" s="686">
        <v>2283</v>
      </c>
      <c r="C1493" s="687">
        <v>13140</v>
      </c>
      <c r="D1493" s="688" t="s">
        <v>68</v>
      </c>
      <c r="E1493" s="689">
        <v>0.01</v>
      </c>
      <c r="F1493" s="687">
        <f t="shared" si="23"/>
        <v>131.4</v>
      </c>
    </row>
    <row r="1494" spans="1:6">
      <c r="A1494" s="685"/>
      <c r="B1494" s="686">
        <v>2321</v>
      </c>
      <c r="C1494" s="687">
        <v>199502</v>
      </c>
      <c r="D1494" s="688" t="s">
        <v>68</v>
      </c>
      <c r="E1494" s="689">
        <v>0.01</v>
      </c>
      <c r="F1494" s="687">
        <f t="shared" si="23"/>
        <v>1995.02</v>
      </c>
    </row>
    <row r="1495" spans="1:6">
      <c r="A1495" s="685"/>
      <c r="B1495" s="686">
        <v>2229</v>
      </c>
      <c r="C1495" s="687">
        <v>58117</v>
      </c>
      <c r="D1495" s="688" t="s">
        <v>68</v>
      </c>
      <c r="E1495" s="689">
        <v>0.01</v>
      </c>
      <c r="F1495" s="687">
        <f t="shared" si="23"/>
        <v>581.16999999999996</v>
      </c>
    </row>
    <row r="1496" spans="1:6">
      <c r="A1496" s="685"/>
      <c r="B1496" s="686">
        <v>2258</v>
      </c>
      <c r="C1496" s="687">
        <v>29702</v>
      </c>
      <c r="D1496" s="688" t="s">
        <v>68</v>
      </c>
      <c r="E1496" s="689">
        <v>0.01</v>
      </c>
      <c r="F1496" s="687">
        <f t="shared" si="23"/>
        <v>297.02</v>
      </c>
    </row>
    <row r="1497" spans="1:6">
      <c r="A1497" s="685"/>
      <c r="B1497" s="686">
        <v>2242</v>
      </c>
      <c r="C1497" s="687">
        <v>328494</v>
      </c>
      <c r="D1497" s="688" t="s">
        <v>68</v>
      </c>
      <c r="E1497" s="689">
        <v>0.01</v>
      </c>
      <c r="F1497" s="687">
        <f t="shared" si="23"/>
        <v>3284.94</v>
      </c>
    </row>
    <row r="1498" spans="1:6">
      <c r="A1498" s="685"/>
      <c r="B1498" s="686">
        <v>2283</v>
      </c>
      <c r="C1498" s="687">
        <v>182500</v>
      </c>
      <c r="D1498" s="688" t="s">
        <v>68</v>
      </c>
      <c r="E1498" s="689">
        <v>0.01</v>
      </c>
      <c r="F1498" s="687">
        <f t="shared" si="23"/>
        <v>1825</v>
      </c>
    </row>
    <row r="1499" spans="1:6">
      <c r="A1499" s="685"/>
      <c r="B1499" s="686">
        <v>2227</v>
      </c>
      <c r="C1499" s="687">
        <v>160535</v>
      </c>
      <c r="D1499" s="688" t="s">
        <v>68</v>
      </c>
      <c r="E1499" s="689">
        <v>0.01</v>
      </c>
      <c r="F1499" s="687">
        <f t="shared" si="23"/>
        <v>1605.3500000000001</v>
      </c>
    </row>
    <row r="1500" spans="1:6">
      <c r="A1500" s="685"/>
      <c r="B1500" s="686">
        <v>2208</v>
      </c>
      <c r="C1500" s="687">
        <v>439225</v>
      </c>
      <c r="D1500" s="688" t="s">
        <v>68</v>
      </c>
      <c r="E1500" s="689">
        <v>0.01</v>
      </c>
      <c r="F1500" s="687">
        <f t="shared" si="23"/>
        <v>4392.25</v>
      </c>
    </row>
    <row r="1501" spans="1:6">
      <c r="A1501" s="685"/>
      <c r="B1501" s="686">
        <v>2197</v>
      </c>
      <c r="C1501" s="687">
        <v>222026</v>
      </c>
      <c r="D1501" s="688" t="s">
        <v>68</v>
      </c>
      <c r="E1501" s="689">
        <v>0.01</v>
      </c>
      <c r="F1501" s="687">
        <f t="shared" si="23"/>
        <v>2220.2600000000002</v>
      </c>
    </row>
    <row r="1502" spans="1:6">
      <c r="A1502" s="685"/>
      <c r="B1502" s="686">
        <v>2190</v>
      </c>
      <c r="C1502" s="687">
        <v>199502</v>
      </c>
      <c r="D1502" s="688" t="s">
        <v>68</v>
      </c>
      <c r="E1502" s="689">
        <v>0.01</v>
      </c>
      <c r="F1502" s="687">
        <f t="shared" si="23"/>
        <v>1995.02</v>
      </c>
    </row>
    <row r="1503" spans="1:6">
      <c r="A1503" s="685"/>
      <c r="B1503" s="686">
        <v>2178</v>
      </c>
      <c r="C1503" s="687">
        <v>20813</v>
      </c>
      <c r="D1503" s="688" t="s">
        <v>68</v>
      </c>
      <c r="E1503" s="689">
        <v>0.01</v>
      </c>
      <c r="F1503" s="687">
        <f t="shared" si="23"/>
        <v>208.13</v>
      </c>
    </row>
    <row r="1504" spans="1:6">
      <c r="A1504" s="685"/>
      <c r="B1504" s="686">
        <v>597</v>
      </c>
      <c r="C1504" s="687">
        <v>281600</v>
      </c>
      <c r="D1504" s="688" t="s">
        <v>68</v>
      </c>
      <c r="E1504" s="689">
        <v>0.1</v>
      </c>
      <c r="F1504" s="687">
        <f t="shared" si="23"/>
        <v>28160</v>
      </c>
    </row>
    <row r="1505" spans="1:6">
      <c r="A1505" s="685"/>
      <c r="B1505" s="686">
        <v>2036</v>
      </c>
      <c r="C1505" s="687">
        <v>762378</v>
      </c>
      <c r="D1505" s="688" t="s">
        <v>68</v>
      </c>
      <c r="E1505" s="689">
        <v>0.01</v>
      </c>
      <c r="F1505" s="687">
        <f t="shared" si="23"/>
        <v>7623.78</v>
      </c>
    </row>
    <row r="1506" spans="1:6">
      <c r="A1506" s="685"/>
      <c r="B1506" s="686">
        <v>2035</v>
      </c>
      <c r="C1506" s="687">
        <v>58200</v>
      </c>
      <c r="D1506" s="688" t="s">
        <v>68</v>
      </c>
      <c r="E1506" s="689">
        <v>0.01</v>
      </c>
      <c r="F1506" s="687">
        <f t="shared" si="23"/>
        <v>582</v>
      </c>
    </row>
    <row r="1507" spans="1:6">
      <c r="A1507" s="685"/>
      <c r="B1507" s="686">
        <v>2030</v>
      </c>
      <c r="C1507" s="687">
        <v>40010</v>
      </c>
      <c r="D1507" s="688" t="s">
        <v>68</v>
      </c>
      <c r="E1507" s="689">
        <v>0.01</v>
      </c>
      <c r="F1507" s="687">
        <f t="shared" si="23"/>
        <v>400.1</v>
      </c>
    </row>
    <row r="1508" spans="1:6">
      <c r="A1508" s="685"/>
      <c r="B1508" s="686">
        <v>2030</v>
      </c>
      <c r="C1508" s="687">
        <v>5130</v>
      </c>
      <c r="D1508" s="688" t="s">
        <v>68</v>
      </c>
      <c r="E1508" s="689">
        <v>0.01</v>
      </c>
      <c r="F1508" s="687">
        <f t="shared" si="23"/>
        <v>51.300000000000004</v>
      </c>
    </row>
    <row r="1509" spans="1:6">
      <c r="A1509" s="685"/>
      <c r="B1509" s="686">
        <v>2020</v>
      </c>
      <c r="C1509" s="687">
        <v>334250</v>
      </c>
      <c r="D1509" s="688" t="s">
        <v>68</v>
      </c>
      <c r="E1509" s="689">
        <v>0.01</v>
      </c>
      <c r="F1509" s="687">
        <f t="shared" si="23"/>
        <v>3342.5</v>
      </c>
    </row>
    <row r="1510" spans="1:6">
      <c r="A1510" s="685"/>
      <c r="B1510" s="686">
        <v>2000</v>
      </c>
      <c r="C1510" s="687">
        <v>98981</v>
      </c>
      <c r="D1510" s="688" t="s">
        <v>68</v>
      </c>
      <c r="E1510" s="689">
        <v>0.01</v>
      </c>
      <c r="F1510" s="687">
        <f t="shared" si="23"/>
        <v>989.81000000000006</v>
      </c>
    </row>
    <row r="1511" spans="1:6">
      <c r="A1511" s="685"/>
      <c r="B1511" s="686">
        <v>1987</v>
      </c>
      <c r="C1511" s="687">
        <v>293600</v>
      </c>
      <c r="D1511" s="688" t="s">
        <v>68</v>
      </c>
      <c r="E1511" s="689">
        <v>0.01</v>
      </c>
      <c r="F1511" s="687">
        <f t="shared" si="23"/>
        <v>2936</v>
      </c>
    </row>
    <row r="1512" spans="1:6">
      <c r="A1512" s="685"/>
      <c r="B1512" s="686">
        <v>1980</v>
      </c>
      <c r="C1512" s="687">
        <v>113250</v>
      </c>
      <c r="D1512" s="688" t="s">
        <v>68</v>
      </c>
      <c r="E1512" s="689">
        <v>0.01</v>
      </c>
      <c r="F1512" s="687">
        <f t="shared" si="23"/>
        <v>1132.5</v>
      </c>
    </row>
    <row r="1513" spans="1:6">
      <c r="A1513" s="685"/>
      <c r="B1513" s="686">
        <v>1973</v>
      </c>
      <c r="C1513" s="687">
        <v>49200</v>
      </c>
      <c r="D1513" s="688" t="s">
        <v>68</v>
      </c>
      <c r="E1513" s="689">
        <v>0.01</v>
      </c>
      <c r="F1513" s="687">
        <f t="shared" si="23"/>
        <v>492</v>
      </c>
    </row>
    <row r="1514" spans="1:6">
      <c r="A1514" s="685"/>
      <c r="B1514" s="686">
        <v>1960</v>
      </c>
      <c r="C1514" s="687">
        <v>87750</v>
      </c>
      <c r="D1514" s="688" t="s">
        <v>68</v>
      </c>
      <c r="E1514" s="689">
        <v>0.01</v>
      </c>
      <c r="F1514" s="687">
        <f t="shared" si="23"/>
        <v>877.5</v>
      </c>
    </row>
    <row r="1515" spans="1:6">
      <c r="A1515" s="685"/>
      <c r="B1515" s="686">
        <v>1952</v>
      </c>
      <c r="C1515" s="687">
        <v>56950</v>
      </c>
      <c r="D1515" s="688" t="s">
        <v>68</v>
      </c>
      <c r="E1515" s="689">
        <v>0.01</v>
      </c>
      <c r="F1515" s="687">
        <f t="shared" si="23"/>
        <v>569.5</v>
      </c>
    </row>
    <row r="1516" spans="1:6">
      <c r="A1516" s="685"/>
      <c r="B1516" s="686">
        <v>619</v>
      </c>
      <c r="C1516" s="687">
        <v>35450</v>
      </c>
      <c r="D1516" s="688" t="s">
        <v>68</v>
      </c>
      <c r="E1516" s="689">
        <v>0.1</v>
      </c>
      <c r="F1516" s="687">
        <f t="shared" si="23"/>
        <v>3545</v>
      </c>
    </row>
    <row r="1517" spans="1:6">
      <c r="A1517" s="685"/>
      <c r="B1517" s="686">
        <v>613</v>
      </c>
      <c r="C1517" s="687">
        <v>402000</v>
      </c>
      <c r="D1517" s="688" t="s">
        <v>68</v>
      </c>
      <c r="E1517" s="689">
        <v>0.1</v>
      </c>
      <c r="F1517" s="687">
        <f t="shared" si="23"/>
        <v>40200</v>
      </c>
    </row>
    <row r="1518" spans="1:6">
      <c r="A1518" s="685"/>
      <c r="B1518" s="686">
        <v>605</v>
      </c>
      <c r="C1518" s="687">
        <v>56100</v>
      </c>
      <c r="D1518" s="688" t="s">
        <v>68</v>
      </c>
      <c r="E1518" s="689">
        <v>0.1</v>
      </c>
      <c r="F1518" s="687">
        <f t="shared" si="23"/>
        <v>5610</v>
      </c>
    </row>
    <row r="1519" spans="1:6">
      <c r="A1519" s="685"/>
      <c r="B1519" s="686">
        <v>595</v>
      </c>
      <c r="C1519" s="687">
        <v>56650</v>
      </c>
      <c r="D1519" s="688" t="s">
        <v>68</v>
      </c>
      <c r="E1519" s="689">
        <v>0.1</v>
      </c>
      <c r="F1519" s="687">
        <f t="shared" si="23"/>
        <v>5665</v>
      </c>
    </row>
    <row r="1520" spans="1:6">
      <c r="A1520" s="685"/>
      <c r="B1520" s="686">
        <v>1633</v>
      </c>
      <c r="C1520" s="687">
        <v>243390</v>
      </c>
      <c r="D1520" s="688" t="s">
        <v>68</v>
      </c>
      <c r="E1520" s="689">
        <v>0.01</v>
      </c>
      <c r="F1520" s="687">
        <f t="shared" si="23"/>
        <v>2433.9</v>
      </c>
    </row>
    <row r="1521" spans="1:6">
      <c r="A1521" s="685"/>
      <c r="B1521" s="686">
        <v>1955</v>
      </c>
      <c r="C1521" s="687">
        <v>976000</v>
      </c>
      <c r="D1521" s="688" t="s">
        <v>68</v>
      </c>
      <c r="E1521" s="689">
        <v>0.01</v>
      </c>
      <c r="F1521" s="687">
        <f t="shared" si="23"/>
        <v>9760</v>
      </c>
    </row>
    <row r="1522" spans="1:6">
      <c r="A1522" s="685"/>
      <c r="B1522" s="686">
        <v>1556</v>
      </c>
      <c r="C1522" s="687">
        <v>260190</v>
      </c>
      <c r="D1522" s="688" t="s">
        <v>68</v>
      </c>
      <c r="E1522" s="689">
        <v>0.01</v>
      </c>
      <c r="F1522" s="687">
        <f t="shared" si="23"/>
        <v>2601.9</v>
      </c>
    </row>
    <row r="1523" spans="1:6">
      <c r="A1523" s="685"/>
      <c r="B1523" s="686">
        <v>1865</v>
      </c>
      <c r="C1523" s="687">
        <v>226450</v>
      </c>
      <c r="D1523" s="688" t="s">
        <v>68</v>
      </c>
      <c r="E1523" s="689">
        <v>0.01</v>
      </c>
      <c r="F1523" s="687">
        <f t="shared" si="23"/>
        <v>2264.5</v>
      </c>
    </row>
    <row r="1524" spans="1:6">
      <c r="A1524" s="685"/>
      <c r="B1524" s="686">
        <v>1487</v>
      </c>
      <c r="C1524" s="687">
        <v>107250</v>
      </c>
      <c r="D1524" s="688" t="s">
        <v>68</v>
      </c>
      <c r="E1524" s="689">
        <v>0.01</v>
      </c>
      <c r="F1524" s="687">
        <f t="shared" si="23"/>
        <v>1072.5</v>
      </c>
    </row>
    <row r="1525" spans="1:6">
      <c r="A1525" s="685"/>
      <c r="B1525" s="686">
        <v>2001</v>
      </c>
      <c r="C1525" s="687">
        <v>190000</v>
      </c>
      <c r="D1525" s="688" t="s">
        <v>68</v>
      </c>
      <c r="E1525" s="689">
        <v>0.01</v>
      </c>
      <c r="F1525" s="687">
        <f t="shared" si="23"/>
        <v>1900</v>
      </c>
    </row>
    <row r="1526" spans="1:6">
      <c r="A1526" s="685"/>
      <c r="B1526" s="686">
        <v>575</v>
      </c>
      <c r="C1526" s="687">
        <v>4187250</v>
      </c>
      <c r="D1526" s="688" t="s">
        <v>68</v>
      </c>
      <c r="E1526" s="689">
        <v>0.1</v>
      </c>
      <c r="F1526" s="687">
        <f t="shared" si="23"/>
        <v>418725</v>
      </c>
    </row>
    <row r="1527" spans="1:6">
      <c r="A1527" s="685"/>
      <c r="B1527" s="686">
        <v>585</v>
      </c>
      <c r="C1527" s="687">
        <v>712800</v>
      </c>
      <c r="D1527" s="688" t="s">
        <v>68</v>
      </c>
      <c r="E1527" s="689">
        <v>0.1</v>
      </c>
      <c r="F1527" s="687">
        <f t="shared" si="23"/>
        <v>71280</v>
      </c>
    </row>
    <row r="1528" spans="1:6">
      <c r="A1528" s="685"/>
      <c r="B1528" s="686">
        <v>583</v>
      </c>
      <c r="C1528" s="687">
        <v>1782000</v>
      </c>
      <c r="D1528" s="688" t="s">
        <v>68</v>
      </c>
      <c r="E1528" s="689">
        <v>0.1</v>
      </c>
      <c r="F1528" s="687">
        <f t="shared" si="23"/>
        <v>178200</v>
      </c>
    </row>
    <row r="1529" spans="1:6">
      <c r="A1529" s="685"/>
      <c r="B1529" s="686">
        <v>2280</v>
      </c>
      <c r="C1529" s="687">
        <v>16298</v>
      </c>
      <c r="D1529" s="688" t="s">
        <v>68</v>
      </c>
      <c r="E1529" s="689">
        <v>0.01</v>
      </c>
      <c r="F1529" s="687">
        <f t="shared" si="23"/>
        <v>162.97999999999999</v>
      </c>
    </row>
    <row r="1530" spans="1:6">
      <c r="A1530" s="685"/>
      <c r="B1530" s="686">
        <v>2280</v>
      </c>
      <c r="C1530" s="687">
        <v>140970</v>
      </c>
      <c r="D1530" s="688" t="s">
        <v>68</v>
      </c>
      <c r="E1530" s="689">
        <v>0.01</v>
      </c>
      <c r="F1530" s="687">
        <f t="shared" si="23"/>
        <v>1409.7</v>
      </c>
    </row>
    <row r="1531" spans="1:6">
      <c r="A1531" s="685"/>
      <c r="B1531" s="686">
        <v>2280</v>
      </c>
      <c r="C1531" s="687">
        <v>801900</v>
      </c>
      <c r="D1531" s="688" t="s">
        <v>68</v>
      </c>
      <c r="E1531" s="689">
        <v>0.01</v>
      </c>
      <c r="F1531" s="687">
        <f t="shared" si="23"/>
        <v>8019</v>
      </c>
    </row>
    <row r="1532" spans="1:6">
      <c r="A1532" s="685"/>
      <c r="B1532" s="686">
        <v>2259</v>
      </c>
      <c r="C1532" s="687">
        <v>223030</v>
      </c>
      <c r="D1532" s="688" t="s">
        <v>68</v>
      </c>
      <c r="E1532" s="689">
        <v>0.01</v>
      </c>
      <c r="F1532" s="687">
        <f t="shared" si="23"/>
        <v>2230.3000000000002</v>
      </c>
    </row>
    <row r="1533" spans="1:6">
      <c r="A1533" s="685"/>
      <c r="B1533" s="686">
        <v>2259</v>
      </c>
      <c r="C1533" s="687">
        <v>942870</v>
      </c>
      <c r="D1533" s="688" t="s">
        <v>68</v>
      </c>
      <c r="E1533" s="689">
        <v>0.01</v>
      </c>
      <c r="F1533" s="687">
        <f t="shared" si="23"/>
        <v>9428.7000000000007</v>
      </c>
    </row>
    <row r="1534" spans="1:6">
      <c r="A1534" s="685"/>
      <c r="B1534" s="686">
        <v>585</v>
      </c>
      <c r="C1534" s="687">
        <v>3223309</v>
      </c>
      <c r="D1534" s="688" t="s">
        <v>68</v>
      </c>
      <c r="E1534" s="689">
        <v>0.1</v>
      </c>
      <c r="F1534" s="687">
        <f t="shared" si="23"/>
        <v>322330.90000000002</v>
      </c>
    </row>
    <row r="1535" spans="1:6">
      <c r="A1535" s="685"/>
      <c r="B1535" s="686">
        <v>587</v>
      </c>
      <c r="C1535" s="687">
        <v>177800</v>
      </c>
      <c r="D1535" s="688" t="s">
        <v>68</v>
      </c>
      <c r="E1535" s="689">
        <v>0.1</v>
      </c>
      <c r="F1535" s="687">
        <f t="shared" si="23"/>
        <v>17780</v>
      </c>
    </row>
    <row r="1536" spans="1:6">
      <c r="A1536" s="685"/>
      <c r="B1536" s="686">
        <v>624</v>
      </c>
      <c r="C1536" s="687">
        <v>185500</v>
      </c>
      <c r="D1536" s="688" t="s">
        <v>68</v>
      </c>
      <c r="E1536" s="689">
        <v>0.1</v>
      </c>
      <c r="F1536" s="687">
        <f t="shared" si="23"/>
        <v>18550</v>
      </c>
    </row>
    <row r="1537" spans="1:6">
      <c r="A1537" s="685"/>
      <c r="B1537" s="686">
        <v>598</v>
      </c>
      <c r="C1537" s="687">
        <v>65904</v>
      </c>
      <c r="D1537" s="688" t="s">
        <v>68</v>
      </c>
      <c r="E1537" s="689">
        <v>0.1</v>
      </c>
      <c r="F1537" s="687">
        <f t="shared" si="23"/>
        <v>6590.4000000000005</v>
      </c>
    </row>
    <row r="1538" spans="1:6">
      <c r="A1538" s="685"/>
      <c r="B1538" s="686">
        <v>857</v>
      </c>
      <c r="C1538" s="687">
        <v>100950</v>
      </c>
      <c r="D1538" s="688" t="s">
        <v>114</v>
      </c>
      <c r="E1538" s="689">
        <v>0.5</v>
      </c>
      <c r="F1538" s="687">
        <f t="shared" si="23"/>
        <v>50475</v>
      </c>
    </row>
    <row r="1539" spans="1:6">
      <c r="A1539" s="685"/>
      <c r="B1539" s="686">
        <v>857</v>
      </c>
      <c r="C1539" s="687">
        <v>321000</v>
      </c>
      <c r="D1539" s="688" t="s">
        <v>114</v>
      </c>
      <c r="E1539" s="689">
        <v>0.5</v>
      </c>
      <c r="F1539" s="687">
        <f t="shared" ref="F1539:F1602" si="24">+C1539*E1539</f>
        <v>160500</v>
      </c>
    </row>
    <row r="1540" spans="1:6">
      <c r="A1540" s="685"/>
      <c r="B1540" s="686">
        <v>1537</v>
      </c>
      <c r="C1540" s="687">
        <v>3049890</v>
      </c>
      <c r="D1540" s="688" t="s">
        <v>68</v>
      </c>
      <c r="E1540" s="689">
        <v>0.01</v>
      </c>
      <c r="F1540" s="687">
        <f t="shared" si="24"/>
        <v>30498.9</v>
      </c>
    </row>
    <row r="1541" spans="1:6">
      <c r="A1541" s="685"/>
      <c r="B1541" s="686">
        <v>1537</v>
      </c>
      <c r="C1541" s="687">
        <v>77100</v>
      </c>
      <c r="D1541" s="688" t="s">
        <v>68</v>
      </c>
      <c r="E1541" s="689">
        <v>0.01</v>
      </c>
      <c r="F1541" s="687">
        <f t="shared" si="24"/>
        <v>771</v>
      </c>
    </row>
    <row r="1542" spans="1:6">
      <c r="A1542" s="685"/>
      <c r="B1542" s="686">
        <v>588</v>
      </c>
      <c r="C1542" s="687">
        <v>3958000</v>
      </c>
      <c r="D1542" s="688" t="s">
        <v>68</v>
      </c>
      <c r="E1542" s="689">
        <v>0.1</v>
      </c>
      <c r="F1542" s="687">
        <f t="shared" si="24"/>
        <v>395800</v>
      </c>
    </row>
    <row r="1543" spans="1:6">
      <c r="A1543" s="685"/>
      <c r="B1543" s="686">
        <v>1732</v>
      </c>
      <c r="C1543" s="687">
        <v>80390</v>
      </c>
      <c r="D1543" s="688" t="s">
        <v>68</v>
      </c>
      <c r="E1543" s="689">
        <v>0.01</v>
      </c>
      <c r="F1543" s="687">
        <f t="shared" si="24"/>
        <v>803.9</v>
      </c>
    </row>
    <row r="1544" spans="1:6">
      <c r="A1544" s="685"/>
      <c r="B1544" s="686">
        <v>1723</v>
      </c>
      <c r="C1544" s="687">
        <v>30390</v>
      </c>
      <c r="D1544" s="688" t="s">
        <v>68</v>
      </c>
      <c r="E1544" s="689">
        <v>0.01</v>
      </c>
      <c r="F1544" s="687">
        <f t="shared" si="24"/>
        <v>303.90000000000003</v>
      </c>
    </row>
    <row r="1545" spans="1:6">
      <c r="A1545" s="685"/>
      <c r="B1545" s="686">
        <v>1716</v>
      </c>
      <c r="C1545" s="687">
        <v>457000</v>
      </c>
      <c r="D1545" s="688" t="s">
        <v>68</v>
      </c>
      <c r="E1545" s="689">
        <v>0.01</v>
      </c>
      <c r="F1545" s="687">
        <f t="shared" si="24"/>
        <v>4570</v>
      </c>
    </row>
    <row r="1546" spans="1:6">
      <c r="A1546" s="685"/>
      <c r="B1546" s="686">
        <v>1715</v>
      </c>
      <c r="C1546" s="687">
        <v>115900</v>
      </c>
      <c r="D1546" s="688" t="s">
        <v>68</v>
      </c>
      <c r="E1546" s="689">
        <v>0.01</v>
      </c>
      <c r="F1546" s="687">
        <f t="shared" si="24"/>
        <v>1159</v>
      </c>
    </row>
    <row r="1547" spans="1:6">
      <c r="A1547" s="685"/>
      <c r="B1547" s="686">
        <v>1714</v>
      </c>
      <c r="C1547" s="687">
        <v>60800</v>
      </c>
      <c r="D1547" s="688" t="s">
        <v>68</v>
      </c>
      <c r="E1547" s="689">
        <v>0.01</v>
      </c>
      <c r="F1547" s="687">
        <f t="shared" si="24"/>
        <v>608</v>
      </c>
    </row>
    <row r="1548" spans="1:6">
      <c r="A1548" s="685"/>
      <c r="B1548" s="686">
        <v>1710</v>
      </c>
      <c r="C1548" s="687">
        <v>29200</v>
      </c>
      <c r="D1548" s="688" t="s">
        <v>68</v>
      </c>
      <c r="E1548" s="689">
        <v>0.01</v>
      </c>
      <c r="F1548" s="687">
        <f t="shared" si="24"/>
        <v>292</v>
      </c>
    </row>
    <row r="1549" spans="1:6">
      <c r="A1549" s="685"/>
      <c r="B1549" s="686">
        <v>1701</v>
      </c>
      <c r="C1549" s="687">
        <v>76290</v>
      </c>
      <c r="D1549" s="688" t="s">
        <v>68</v>
      </c>
      <c r="E1549" s="689">
        <v>0.01</v>
      </c>
      <c r="F1549" s="687">
        <f t="shared" si="24"/>
        <v>762.9</v>
      </c>
    </row>
    <row r="1550" spans="1:6">
      <c r="A1550" s="685"/>
      <c r="B1550" s="686">
        <v>1688</v>
      </c>
      <c r="C1550" s="687">
        <v>60800</v>
      </c>
      <c r="D1550" s="688" t="s">
        <v>68</v>
      </c>
      <c r="E1550" s="689">
        <v>0.01</v>
      </c>
      <c r="F1550" s="687">
        <f t="shared" si="24"/>
        <v>608</v>
      </c>
    </row>
    <row r="1551" spans="1:6">
      <c r="A1551" s="685"/>
      <c r="B1551" s="686">
        <v>1683</v>
      </c>
      <c r="C1551" s="687">
        <v>97000</v>
      </c>
      <c r="D1551" s="688" t="s">
        <v>68</v>
      </c>
      <c r="E1551" s="689">
        <v>0.01</v>
      </c>
      <c r="F1551" s="687">
        <f t="shared" si="24"/>
        <v>970</v>
      </c>
    </row>
    <row r="1552" spans="1:6">
      <c r="A1552" s="685"/>
      <c r="B1552" s="686">
        <v>1680</v>
      </c>
      <c r="C1552" s="687">
        <v>15300</v>
      </c>
      <c r="D1552" s="688" t="s">
        <v>68</v>
      </c>
      <c r="E1552" s="689">
        <v>0.01</v>
      </c>
      <c r="F1552" s="687">
        <f t="shared" si="24"/>
        <v>153</v>
      </c>
    </row>
    <row r="1553" spans="1:6">
      <c r="A1553" s="685"/>
      <c r="B1553" s="686">
        <v>1676</v>
      </c>
      <c r="C1553" s="687">
        <v>8490</v>
      </c>
      <c r="D1553" s="688" t="s">
        <v>68</v>
      </c>
      <c r="E1553" s="689">
        <v>0.01</v>
      </c>
      <c r="F1553" s="687">
        <f t="shared" si="24"/>
        <v>84.9</v>
      </c>
    </row>
    <row r="1554" spans="1:6">
      <c r="A1554" s="685"/>
      <c r="B1554" s="686">
        <v>1674</v>
      </c>
      <c r="C1554" s="687">
        <v>1000000</v>
      </c>
      <c r="D1554" s="688" t="s">
        <v>68</v>
      </c>
      <c r="E1554" s="689">
        <v>0.01</v>
      </c>
      <c r="F1554" s="687">
        <f t="shared" si="24"/>
        <v>10000</v>
      </c>
    </row>
    <row r="1555" spans="1:6">
      <c r="A1555" s="685"/>
      <c r="B1555" s="686">
        <v>1610</v>
      </c>
      <c r="C1555" s="687">
        <v>47240</v>
      </c>
      <c r="D1555" s="688" t="s">
        <v>68</v>
      </c>
      <c r="E1555" s="689">
        <v>0.01</v>
      </c>
      <c r="F1555" s="687">
        <f t="shared" si="24"/>
        <v>472.40000000000003</v>
      </c>
    </row>
    <row r="1556" spans="1:6">
      <c r="A1556" s="685"/>
      <c r="B1556" s="686">
        <v>1520</v>
      </c>
      <c r="C1556" s="687">
        <v>1506800</v>
      </c>
      <c r="D1556" s="688" t="s">
        <v>68</v>
      </c>
      <c r="E1556" s="689">
        <v>0.01</v>
      </c>
      <c r="F1556" s="687">
        <f t="shared" si="24"/>
        <v>15068</v>
      </c>
    </row>
    <row r="1557" spans="1:6">
      <c r="A1557" s="685"/>
      <c r="B1557" s="686">
        <v>1581</v>
      </c>
      <c r="C1557" s="687">
        <v>77100</v>
      </c>
      <c r="D1557" s="688" t="s">
        <v>68</v>
      </c>
      <c r="E1557" s="689">
        <v>0.01</v>
      </c>
      <c r="F1557" s="687">
        <f t="shared" si="24"/>
        <v>771</v>
      </c>
    </row>
    <row r="1558" spans="1:6">
      <c r="A1558" s="685"/>
      <c r="B1558" s="686">
        <v>581</v>
      </c>
      <c r="C1558" s="687">
        <v>263704</v>
      </c>
      <c r="D1558" s="688" t="s">
        <v>68</v>
      </c>
      <c r="E1558" s="689">
        <v>0.1</v>
      </c>
      <c r="F1558" s="687">
        <f t="shared" si="24"/>
        <v>26370.400000000001</v>
      </c>
    </row>
    <row r="1559" spans="1:6">
      <c r="A1559" s="685"/>
      <c r="B1559" s="686">
        <v>606</v>
      </c>
      <c r="C1559" s="687">
        <v>1396000</v>
      </c>
      <c r="D1559" s="688" t="s">
        <v>68</v>
      </c>
      <c r="E1559" s="689">
        <v>0.1</v>
      </c>
      <c r="F1559" s="687">
        <f t="shared" si="24"/>
        <v>139600</v>
      </c>
    </row>
    <row r="1560" spans="1:6">
      <c r="A1560" s="685"/>
      <c r="B1560" s="686">
        <v>702</v>
      </c>
      <c r="C1560" s="687">
        <v>3381300</v>
      </c>
      <c r="D1560" s="688" t="s">
        <v>68</v>
      </c>
      <c r="E1560" s="689">
        <v>0.1</v>
      </c>
      <c r="F1560" s="687">
        <f t="shared" si="24"/>
        <v>338130</v>
      </c>
    </row>
    <row r="1561" spans="1:6">
      <c r="A1561" s="685"/>
      <c r="B1561" s="686">
        <v>702</v>
      </c>
      <c r="C1561" s="687">
        <v>272000</v>
      </c>
      <c r="D1561" s="688" t="s">
        <v>68</v>
      </c>
      <c r="E1561" s="689">
        <v>0.1</v>
      </c>
      <c r="F1561" s="687">
        <f t="shared" si="24"/>
        <v>27200</v>
      </c>
    </row>
    <row r="1562" spans="1:6">
      <c r="A1562" s="685"/>
      <c r="B1562" s="686">
        <v>678</v>
      </c>
      <c r="C1562" s="687">
        <v>3344000</v>
      </c>
      <c r="D1562" s="688" t="s">
        <v>68</v>
      </c>
      <c r="E1562" s="689">
        <v>0.1</v>
      </c>
      <c r="F1562" s="687">
        <f t="shared" si="24"/>
        <v>334400</v>
      </c>
    </row>
    <row r="1563" spans="1:6">
      <c r="A1563" s="685"/>
      <c r="B1563" s="686">
        <v>617</v>
      </c>
      <c r="C1563" s="687">
        <v>101404</v>
      </c>
      <c r="D1563" s="688" t="s">
        <v>68</v>
      </c>
      <c r="E1563" s="689">
        <v>0.1</v>
      </c>
      <c r="F1563" s="687">
        <f t="shared" si="24"/>
        <v>10140.400000000001</v>
      </c>
    </row>
    <row r="1564" spans="1:6">
      <c r="A1564" s="685"/>
      <c r="B1564" s="686">
        <v>577</v>
      </c>
      <c r="C1564" s="687">
        <v>95978</v>
      </c>
      <c r="D1564" s="688" t="s">
        <v>68</v>
      </c>
      <c r="E1564" s="689">
        <v>0.1</v>
      </c>
      <c r="F1564" s="687">
        <f t="shared" si="24"/>
        <v>9597.8000000000011</v>
      </c>
    </row>
    <row r="1565" spans="1:6">
      <c r="A1565" s="685"/>
      <c r="B1565" s="686">
        <v>661</v>
      </c>
      <c r="C1565" s="687">
        <v>289743</v>
      </c>
      <c r="D1565" s="688" t="s">
        <v>68</v>
      </c>
      <c r="E1565" s="689">
        <v>0.1</v>
      </c>
      <c r="F1565" s="687">
        <f t="shared" si="24"/>
        <v>28974.300000000003</v>
      </c>
    </row>
    <row r="1566" spans="1:6">
      <c r="A1566" s="685"/>
      <c r="B1566" s="686">
        <v>585</v>
      </c>
      <c r="C1566" s="687">
        <v>756000</v>
      </c>
      <c r="D1566" s="688" t="s">
        <v>68</v>
      </c>
      <c r="E1566" s="689">
        <v>0.1</v>
      </c>
      <c r="F1566" s="687">
        <f t="shared" si="24"/>
        <v>75600</v>
      </c>
    </row>
    <row r="1567" spans="1:6">
      <c r="A1567" s="685"/>
      <c r="B1567" s="686">
        <v>573</v>
      </c>
      <c r="C1567" s="687">
        <v>103700</v>
      </c>
      <c r="D1567" s="688" t="s">
        <v>68</v>
      </c>
      <c r="E1567" s="689">
        <v>0.1</v>
      </c>
      <c r="F1567" s="687">
        <f t="shared" si="24"/>
        <v>10370</v>
      </c>
    </row>
    <row r="1568" spans="1:6">
      <c r="A1568" s="685"/>
      <c r="B1568" s="686">
        <v>644</v>
      </c>
      <c r="C1568" s="687">
        <v>138000</v>
      </c>
      <c r="D1568" s="688" t="s">
        <v>68</v>
      </c>
      <c r="E1568" s="689">
        <v>0.1</v>
      </c>
      <c r="F1568" s="687">
        <f t="shared" si="24"/>
        <v>13800</v>
      </c>
    </row>
    <row r="1569" spans="1:6">
      <c r="A1569" s="685"/>
      <c r="B1569" s="686">
        <v>1535</v>
      </c>
      <c r="C1569" s="687">
        <v>4394500</v>
      </c>
      <c r="D1569" s="688" t="s">
        <v>68</v>
      </c>
      <c r="E1569" s="689">
        <v>0.01</v>
      </c>
      <c r="F1569" s="687">
        <f t="shared" si="24"/>
        <v>43945</v>
      </c>
    </row>
    <row r="1570" spans="1:6">
      <c r="A1570" s="685"/>
      <c r="B1570" s="686">
        <v>1498</v>
      </c>
      <c r="C1570" s="687">
        <v>93000</v>
      </c>
      <c r="D1570" s="688" t="s">
        <v>68</v>
      </c>
      <c r="E1570" s="689">
        <v>0.01</v>
      </c>
      <c r="F1570" s="687">
        <f t="shared" si="24"/>
        <v>930</v>
      </c>
    </row>
    <row r="1571" spans="1:6">
      <c r="A1571" s="685"/>
      <c r="B1571" s="686">
        <v>1495</v>
      </c>
      <c r="C1571" s="687">
        <v>75340</v>
      </c>
      <c r="D1571" s="688" t="s">
        <v>68</v>
      </c>
      <c r="E1571" s="689">
        <v>0.01</v>
      </c>
      <c r="F1571" s="687">
        <f t="shared" si="24"/>
        <v>753.4</v>
      </c>
    </row>
    <row r="1572" spans="1:6">
      <c r="A1572" s="685"/>
      <c r="B1572" s="686">
        <v>1350</v>
      </c>
      <c r="C1572" s="687">
        <v>515600</v>
      </c>
      <c r="D1572" s="688" t="s">
        <v>68</v>
      </c>
      <c r="E1572" s="689">
        <v>0.01</v>
      </c>
      <c r="F1572" s="687">
        <f t="shared" si="24"/>
        <v>5156</v>
      </c>
    </row>
    <row r="1573" spans="1:6">
      <c r="A1573" s="685"/>
      <c r="B1573" s="686">
        <v>1350</v>
      </c>
      <c r="C1573" s="687">
        <v>537000</v>
      </c>
      <c r="D1573" s="688" t="s">
        <v>68</v>
      </c>
      <c r="E1573" s="689">
        <v>0.01</v>
      </c>
      <c r="F1573" s="687">
        <f t="shared" si="24"/>
        <v>5370</v>
      </c>
    </row>
    <row r="1574" spans="1:6">
      <c r="A1574" s="685"/>
      <c r="B1574" s="686">
        <v>644</v>
      </c>
      <c r="C1574" s="687">
        <v>3801800</v>
      </c>
      <c r="D1574" s="688" t="s">
        <v>68</v>
      </c>
      <c r="E1574" s="689">
        <v>0.1</v>
      </c>
      <c r="F1574" s="687">
        <f t="shared" si="24"/>
        <v>380180</v>
      </c>
    </row>
    <row r="1575" spans="1:6">
      <c r="A1575" s="685"/>
      <c r="B1575" s="686">
        <v>620</v>
      </c>
      <c r="C1575" s="687">
        <v>68104</v>
      </c>
      <c r="D1575" s="688" t="s">
        <v>68</v>
      </c>
      <c r="E1575" s="689">
        <v>0.1</v>
      </c>
      <c r="F1575" s="687">
        <f t="shared" si="24"/>
        <v>6810.4000000000005</v>
      </c>
    </row>
    <row r="1576" spans="1:6">
      <c r="A1576" s="685"/>
      <c r="B1576" s="686">
        <v>601</v>
      </c>
      <c r="C1576" s="687">
        <v>242754</v>
      </c>
      <c r="D1576" s="688" t="s">
        <v>68</v>
      </c>
      <c r="E1576" s="689">
        <v>0.1</v>
      </c>
      <c r="F1576" s="687">
        <f t="shared" si="24"/>
        <v>24275.4</v>
      </c>
    </row>
    <row r="1577" spans="1:6">
      <c r="A1577" s="685"/>
      <c r="B1577" s="686">
        <v>601</v>
      </c>
      <c r="C1577" s="687">
        <v>14454</v>
      </c>
      <c r="D1577" s="688" t="s">
        <v>68</v>
      </c>
      <c r="E1577" s="689">
        <v>0.1</v>
      </c>
      <c r="F1577" s="687">
        <f t="shared" si="24"/>
        <v>1445.4</v>
      </c>
    </row>
    <row r="1578" spans="1:6">
      <c r="A1578" s="685"/>
      <c r="B1578" s="686">
        <v>594</v>
      </c>
      <c r="C1578" s="687">
        <v>46850</v>
      </c>
      <c r="D1578" s="688" t="s">
        <v>68</v>
      </c>
      <c r="E1578" s="689">
        <v>0.1</v>
      </c>
      <c r="F1578" s="687">
        <f t="shared" si="24"/>
        <v>4685</v>
      </c>
    </row>
    <row r="1579" spans="1:6">
      <c r="A1579" s="685"/>
      <c r="B1579" s="686">
        <v>576</v>
      </c>
      <c r="C1579" s="687">
        <v>44850</v>
      </c>
      <c r="D1579" s="688" t="s">
        <v>68</v>
      </c>
      <c r="E1579" s="689">
        <v>0.1</v>
      </c>
      <c r="F1579" s="687">
        <f t="shared" si="24"/>
        <v>4485</v>
      </c>
    </row>
    <row r="1580" spans="1:6">
      <c r="A1580" s="685"/>
      <c r="B1580" s="686">
        <v>641</v>
      </c>
      <c r="C1580" s="687">
        <v>50750</v>
      </c>
      <c r="D1580" s="688" t="s">
        <v>68</v>
      </c>
      <c r="E1580" s="689">
        <v>0.1</v>
      </c>
      <c r="F1580" s="687">
        <f t="shared" si="24"/>
        <v>5075</v>
      </c>
    </row>
    <row r="1581" spans="1:6">
      <c r="A1581" s="685"/>
      <c r="B1581" s="686">
        <v>584</v>
      </c>
      <c r="C1581" s="687">
        <v>421221</v>
      </c>
      <c r="D1581" s="688" t="s">
        <v>68</v>
      </c>
      <c r="E1581" s="689">
        <v>0.1</v>
      </c>
      <c r="F1581" s="687">
        <f t="shared" si="24"/>
        <v>42122.100000000006</v>
      </c>
    </row>
    <row r="1582" spans="1:6">
      <c r="A1582" s="685"/>
      <c r="B1582" s="686">
        <v>569</v>
      </c>
      <c r="C1582" s="687">
        <v>83850</v>
      </c>
      <c r="D1582" s="688" t="s">
        <v>68</v>
      </c>
      <c r="E1582" s="689">
        <v>0.1</v>
      </c>
      <c r="F1582" s="687">
        <f t="shared" si="24"/>
        <v>8385</v>
      </c>
    </row>
    <row r="1583" spans="1:6">
      <c r="A1583" s="685"/>
      <c r="B1583" s="686">
        <v>660</v>
      </c>
      <c r="C1583" s="687">
        <v>85979</v>
      </c>
      <c r="D1583" s="688" t="s">
        <v>68</v>
      </c>
      <c r="E1583" s="689">
        <v>0.1</v>
      </c>
      <c r="F1583" s="687">
        <f t="shared" si="24"/>
        <v>8597.9</v>
      </c>
    </row>
    <row r="1584" spans="1:6">
      <c r="A1584" s="685"/>
      <c r="B1584" s="686">
        <v>3240</v>
      </c>
      <c r="C1584" s="687">
        <v>346536</v>
      </c>
      <c r="D1584" s="688" t="s">
        <v>68</v>
      </c>
      <c r="E1584" s="689">
        <v>0.01</v>
      </c>
      <c r="F1584" s="687">
        <f t="shared" si="24"/>
        <v>3465.36</v>
      </c>
    </row>
    <row r="1585" spans="1:6">
      <c r="A1585" s="685"/>
      <c r="B1585" s="686">
        <v>3240</v>
      </c>
      <c r="C1585" s="687">
        <v>658587</v>
      </c>
      <c r="D1585" s="688" t="s">
        <v>68</v>
      </c>
      <c r="E1585" s="689">
        <v>0.01</v>
      </c>
      <c r="F1585" s="687">
        <f t="shared" si="24"/>
        <v>6585.87</v>
      </c>
    </row>
    <row r="1586" spans="1:6">
      <c r="A1586" s="685"/>
      <c r="B1586" s="686">
        <v>3298</v>
      </c>
      <c r="C1586" s="687">
        <v>53082</v>
      </c>
      <c r="D1586" s="688" t="s">
        <v>68</v>
      </c>
      <c r="E1586" s="689">
        <v>0.01</v>
      </c>
      <c r="F1586" s="687">
        <f t="shared" si="24"/>
        <v>530.82000000000005</v>
      </c>
    </row>
    <row r="1587" spans="1:6">
      <c r="A1587" s="685"/>
      <c r="B1587" s="686">
        <v>3237</v>
      </c>
      <c r="C1587" s="687">
        <v>357417</v>
      </c>
      <c r="D1587" s="688" t="s">
        <v>68</v>
      </c>
      <c r="E1587" s="689">
        <v>0.01</v>
      </c>
      <c r="F1587" s="687">
        <f t="shared" si="24"/>
        <v>3574.17</v>
      </c>
    </row>
    <row r="1588" spans="1:6">
      <c r="A1588" s="685"/>
      <c r="B1588" s="686">
        <v>3198</v>
      </c>
      <c r="C1588" s="687">
        <v>546186</v>
      </c>
      <c r="D1588" s="688" t="s">
        <v>68</v>
      </c>
      <c r="E1588" s="689">
        <v>0.01</v>
      </c>
      <c r="F1588" s="687">
        <f t="shared" si="24"/>
        <v>5461.86</v>
      </c>
    </row>
    <row r="1589" spans="1:6">
      <c r="A1589" s="685"/>
      <c r="B1589" s="686">
        <v>3161</v>
      </c>
      <c r="C1589" s="687">
        <v>660789</v>
      </c>
      <c r="D1589" s="688" t="s">
        <v>68</v>
      </c>
      <c r="E1589" s="689">
        <v>0.01</v>
      </c>
      <c r="F1589" s="687">
        <f t="shared" si="24"/>
        <v>6607.89</v>
      </c>
    </row>
    <row r="1590" spans="1:6">
      <c r="A1590" s="685"/>
      <c r="B1590" s="686">
        <v>3307</v>
      </c>
      <c r="C1590" s="687">
        <v>882482</v>
      </c>
      <c r="D1590" s="688" t="s">
        <v>68</v>
      </c>
      <c r="E1590" s="689">
        <v>0.01</v>
      </c>
      <c r="F1590" s="687">
        <f t="shared" si="24"/>
        <v>8824.82</v>
      </c>
    </row>
    <row r="1591" spans="1:6">
      <c r="A1591" s="685"/>
      <c r="B1591" s="686">
        <v>3240</v>
      </c>
      <c r="C1591" s="687">
        <v>19377</v>
      </c>
      <c r="D1591" s="688" t="s">
        <v>68</v>
      </c>
      <c r="E1591" s="689">
        <v>0.01</v>
      </c>
      <c r="F1591" s="687">
        <f t="shared" si="24"/>
        <v>193.77</v>
      </c>
    </row>
    <row r="1592" spans="1:6">
      <c r="A1592" s="685"/>
      <c r="B1592" s="686">
        <v>3237</v>
      </c>
      <c r="C1592" s="687">
        <v>98628</v>
      </c>
      <c r="D1592" s="688" t="s">
        <v>68</v>
      </c>
      <c r="E1592" s="689">
        <v>0.01</v>
      </c>
      <c r="F1592" s="687">
        <f t="shared" si="24"/>
        <v>986.28</v>
      </c>
    </row>
    <row r="1593" spans="1:6">
      <c r="A1593" s="685"/>
      <c r="B1593" s="686">
        <v>3197</v>
      </c>
      <c r="C1593" s="687">
        <v>4682</v>
      </c>
      <c r="D1593" s="688" t="s">
        <v>68</v>
      </c>
      <c r="E1593" s="689">
        <v>0.01</v>
      </c>
      <c r="F1593" s="687">
        <f t="shared" si="24"/>
        <v>46.82</v>
      </c>
    </row>
    <row r="1594" spans="1:6">
      <c r="A1594" s="685"/>
      <c r="B1594" s="686">
        <v>3226</v>
      </c>
      <c r="C1594" s="687">
        <v>18401</v>
      </c>
      <c r="D1594" s="688" t="s">
        <v>68</v>
      </c>
      <c r="E1594" s="689">
        <v>0.01</v>
      </c>
      <c r="F1594" s="687">
        <f t="shared" si="24"/>
        <v>184.01</v>
      </c>
    </row>
    <row r="1595" spans="1:6">
      <c r="A1595" s="685"/>
      <c r="B1595" s="686">
        <v>3340</v>
      </c>
      <c r="C1595" s="687">
        <v>123117</v>
      </c>
      <c r="D1595" s="688" t="s">
        <v>68</v>
      </c>
      <c r="E1595" s="689">
        <v>0.01</v>
      </c>
      <c r="F1595" s="687">
        <f t="shared" si="24"/>
        <v>1231.17</v>
      </c>
    </row>
    <row r="1596" spans="1:6">
      <c r="A1596" s="685"/>
      <c r="B1596" s="686">
        <v>3340</v>
      </c>
      <c r="C1596" s="687">
        <v>14139</v>
      </c>
      <c r="D1596" s="688" t="s">
        <v>68</v>
      </c>
      <c r="E1596" s="689">
        <v>0.01</v>
      </c>
      <c r="F1596" s="687">
        <f t="shared" si="24"/>
        <v>141.39000000000001</v>
      </c>
    </row>
    <row r="1597" spans="1:6">
      <c r="A1597" s="685"/>
      <c r="B1597" s="686">
        <v>3282</v>
      </c>
      <c r="C1597" s="687">
        <v>11100</v>
      </c>
      <c r="D1597" s="688" t="s">
        <v>68</v>
      </c>
      <c r="E1597" s="689">
        <v>0.01</v>
      </c>
      <c r="F1597" s="687">
        <f t="shared" si="24"/>
        <v>111</v>
      </c>
    </row>
    <row r="1598" spans="1:6">
      <c r="A1598" s="685"/>
      <c r="B1598" s="686">
        <v>3282</v>
      </c>
      <c r="C1598" s="687">
        <v>29571</v>
      </c>
      <c r="D1598" s="688" t="s">
        <v>68</v>
      </c>
      <c r="E1598" s="689">
        <v>0.01</v>
      </c>
      <c r="F1598" s="687">
        <f t="shared" si="24"/>
        <v>295.70999999999998</v>
      </c>
    </row>
    <row r="1599" spans="1:6">
      <c r="A1599" s="685"/>
      <c r="B1599" s="686">
        <v>3282</v>
      </c>
      <c r="C1599" s="687">
        <v>295283</v>
      </c>
      <c r="D1599" s="688" t="s">
        <v>68</v>
      </c>
      <c r="E1599" s="689">
        <v>0.01</v>
      </c>
      <c r="F1599" s="687">
        <f t="shared" si="24"/>
        <v>2952.83</v>
      </c>
    </row>
    <row r="1600" spans="1:6">
      <c r="A1600" s="685"/>
      <c r="B1600" s="686">
        <v>584</v>
      </c>
      <c r="C1600" s="687">
        <v>1109000</v>
      </c>
      <c r="D1600" s="688" t="s">
        <v>68</v>
      </c>
      <c r="E1600" s="689">
        <v>0.1</v>
      </c>
      <c r="F1600" s="687">
        <f t="shared" si="24"/>
        <v>110900</v>
      </c>
    </row>
    <row r="1601" spans="1:6">
      <c r="A1601" s="685"/>
      <c r="B1601" s="686">
        <v>3239</v>
      </c>
      <c r="C1601" s="687">
        <v>1011142</v>
      </c>
      <c r="D1601" s="688" t="s">
        <v>68</v>
      </c>
      <c r="E1601" s="689">
        <v>0.01</v>
      </c>
      <c r="F1601" s="687">
        <f t="shared" si="24"/>
        <v>10111.42</v>
      </c>
    </row>
    <row r="1602" spans="1:6">
      <c r="A1602" s="685"/>
      <c r="B1602" s="686">
        <v>672</v>
      </c>
      <c r="C1602" s="687">
        <v>46650</v>
      </c>
      <c r="D1602" s="688" t="s">
        <v>68</v>
      </c>
      <c r="E1602" s="689">
        <v>0.1</v>
      </c>
      <c r="F1602" s="687">
        <f t="shared" si="24"/>
        <v>4665</v>
      </c>
    </row>
    <row r="1603" spans="1:6">
      <c r="A1603" s="685"/>
      <c r="B1603" s="686">
        <v>612</v>
      </c>
      <c r="C1603" s="687">
        <v>34000</v>
      </c>
      <c r="D1603" s="688" t="s">
        <v>68</v>
      </c>
      <c r="E1603" s="689">
        <v>0.1</v>
      </c>
      <c r="F1603" s="687">
        <f t="shared" ref="F1603:F1666" si="25">+C1603*E1603</f>
        <v>3400</v>
      </c>
    </row>
    <row r="1604" spans="1:6">
      <c r="A1604" s="685"/>
      <c r="B1604" s="686">
        <v>654</v>
      </c>
      <c r="C1604" s="687">
        <v>202500</v>
      </c>
      <c r="D1604" s="688" t="s">
        <v>68</v>
      </c>
      <c r="E1604" s="689">
        <v>0.1</v>
      </c>
      <c r="F1604" s="687">
        <f t="shared" si="25"/>
        <v>20250</v>
      </c>
    </row>
    <row r="1605" spans="1:6">
      <c r="A1605" s="685"/>
      <c r="B1605" s="686">
        <v>2893</v>
      </c>
      <c r="C1605" s="687">
        <v>199664</v>
      </c>
      <c r="D1605" s="688" t="s">
        <v>68</v>
      </c>
      <c r="E1605" s="689">
        <v>0.01</v>
      </c>
      <c r="F1605" s="687">
        <f t="shared" si="25"/>
        <v>1996.64</v>
      </c>
    </row>
    <row r="1606" spans="1:6">
      <c r="A1606" s="685"/>
      <c r="B1606" s="686">
        <v>3346</v>
      </c>
      <c r="C1606" s="687">
        <v>607556</v>
      </c>
      <c r="D1606" s="688" t="s">
        <v>68</v>
      </c>
      <c r="E1606" s="689">
        <v>0.01</v>
      </c>
      <c r="F1606" s="687">
        <f t="shared" si="25"/>
        <v>6075.56</v>
      </c>
    </row>
    <row r="1607" spans="1:6">
      <c r="A1607" s="685"/>
      <c r="B1607" s="686">
        <v>3091</v>
      </c>
      <c r="C1607" s="687">
        <v>400000</v>
      </c>
      <c r="D1607" s="688" t="s">
        <v>68</v>
      </c>
      <c r="E1607" s="689">
        <v>0.01</v>
      </c>
      <c r="F1607" s="687">
        <f t="shared" si="25"/>
        <v>4000</v>
      </c>
    </row>
    <row r="1608" spans="1:6">
      <c r="A1608" s="685"/>
      <c r="B1608" s="686">
        <v>2857</v>
      </c>
      <c r="C1608" s="687">
        <v>200000</v>
      </c>
      <c r="D1608" s="688" t="s">
        <v>68</v>
      </c>
      <c r="E1608" s="689">
        <v>0.01</v>
      </c>
      <c r="F1608" s="687">
        <f t="shared" si="25"/>
        <v>2000</v>
      </c>
    </row>
    <row r="1609" spans="1:6">
      <c r="A1609" s="685"/>
      <c r="B1609" s="686">
        <v>2886</v>
      </c>
      <c r="C1609" s="687">
        <v>200000</v>
      </c>
      <c r="D1609" s="688" t="s">
        <v>68</v>
      </c>
      <c r="E1609" s="689">
        <v>0.01</v>
      </c>
      <c r="F1609" s="687">
        <f t="shared" si="25"/>
        <v>2000</v>
      </c>
    </row>
    <row r="1610" spans="1:6">
      <c r="A1610" s="685"/>
      <c r="B1610" s="686">
        <v>1460</v>
      </c>
      <c r="C1610" s="687">
        <v>201113</v>
      </c>
      <c r="D1610" s="688" t="s">
        <v>68</v>
      </c>
      <c r="E1610" s="689">
        <v>0.01</v>
      </c>
      <c r="F1610" s="687">
        <f t="shared" si="25"/>
        <v>2011.13</v>
      </c>
    </row>
    <row r="1611" spans="1:6">
      <c r="A1611" s="685"/>
      <c r="B1611" s="686">
        <v>591</v>
      </c>
      <c r="C1611" s="687">
        <v>526500</v>
      </c>
      <c r="D1611" s="688" t="s">
        <v>68</v>
      </c>
      <c r="E1611" s="689">
        <v>0.1</v>
      </c>
      <c r="F1611" s="687">
        <f t="shared" si="25"/>
        <v>52650</v>
      </c>
    </row>
    <row r="1612" spans="1:6">
      <c r="A1612" s="685"/>
      <c r="B1612" s="686">
        <v>591</v>
      </c>
      <c r="C1612" s="687">
        <v>88750</v>
      </c>
      <c r="D1612" s="688" t="s">
        <v>68</v>
      </c>
      <c r="E1612" s="689">
        <v>0.1</v>
      </c>
      <c r="F1612" s="687">
        <f t="shared" si="25"/>
        <v>8875</v>
      </c>
    </row>
    <row r="1613" spans="1:6">
      <c r="A1613" s="685"/>
      <c r="B1613" s="686">
        <v>982</v>
      </c>
      <c r="C1613" s="687">
        <v>1777800</v>
      </c>
      <c r="D1613" s="688" t="s">
        <v>68</v>
      </c>
      <c r="E1613" s="689">
        <v>0.05</v>
      </c>
      <c r="F1613" s="687">
        <f t="shared" si="25"/>
        <v>88890</v>
      </c>
    </row>
    <row r="1614" spans="1:6">
      <c r="A1614" s="685"/>
      <c r="B1614" s="686">
        <v>952</v>
      </c>
      <c r="C1614" s="687">
        <v>280850</v>
      </c>
      <c r="D1614" s="688" t="s">
        <v>68</v>
      </c>
      <c r="E1614" s="689">
        <v>0.05</v>
      </c>
      <c r="F1614" s="687">
        <f t="shared" si="25"/>
        <v>14042.5</v>
      </c>
    </row>
    <row r="1615" spans="1:6">
      <c r="A1615" s="685"/>
      <c r="B1615" s="686">
        <v>1957</v>
      </c>
      <c r="C1615" s="687">
        <v>562150</v>
      </c>
      <c r="D1615" s="688" t="s">
        <v>68</v>
      </c>
      <c r="E1615" s="689">
        <v>0.01</v>
      </c>
      <c r="F1615" s="687">
        <f t="shared" si="25"/>
        <v>5621.5</v>
      </c>
    </row>
    <row r="1616" spans="1:6">
      <c r="A1616" s="685"/>
      <c r="B1616" s="686">
        <v>1947</v>
      </c>
      <c r="C1616" s="687">
        <v>1032400</v>
      </c>
      <c r="D1616" s="688" t="s">
        <v>68</v>
      </c>
      <c r="E1616" s="689">
        <v>0.01</v>
      </c>
      <c r="F1616" s="687">
        <f t="shared" si="25"/>
        <v>10324</v>
      </c>
    </row>
    <row r="1617" spans="1:6">
      <c r="A1617" s="685"/>
      <c r="B1617" s="686">
        <v>1917</v>
      </c>
      <c r="C1617" s="687">
        <v>602600</v>
      </c>
      <c r="D1617" s="688" t="s">
        <v>68</v>
      </c>
      <c r="E1617" s="689">
        <v>0.01</v>
      </c>
      <c r="F1617" s="687">
        <f t="shared" si="25"/>
        <v>6026</v>
      </c>
    </row>
    <row r="1618" spans="1:6">
      <c r="A1618" s="685"/>
      <c r="B1618" s="686">
        <v>1914</v>
      </c>
      <c r="C1618" s="687">
        <v>1676900</v>
      </c>
      <c r="D1618" s="688" t="s">
        <v>68</v>
      </c>
      <c r="E1618" s="689">
        <v>0.01</v>
      </c>
      <c r="F1618" s="687">
        <f t="shared" si="25"/>
        <v>16769</v>
      </c>
    </row>
    <row r="1619" spans="1:6">
      <c r="A1619" s="685"/>
      <c r="B1619" s="686">
        <v>2721</v>
      </c>
      <c r="C1619" s="687">
        <v>411252</v>
      </c>
      <c r="D1619" s="688" t="s">
        <v>68</v>
      </c>
      <c r="E1619" s="689">
        <v>0.01</v>
      </c>
      <c r="F1619" s="687">
        <f t="shared" si="25"/>
        <v>4112.5200000000004</v>
      </c>
    </row>
    <row r="1620" spans="1:6">
      <c r="A1620" s="685"/>
      <c r="B1620" s="686">
        <v>2742</v>
      </c>
      <c r="C1620" s="687">
        <v>314983</v>
      </c>
      <c r="D1620" s="688" t="s">
        <v>68</v>
      </c>
      <c r="E1620" s="689">
        <v>0.01</v>
      </c>
      <c r="F1620" s="687">
        <f t="shared" si="25"/>
        <v>3149.83</v>
      </c>
    </row>
    <row r="1621" spans="1:6">
      <c r="A1621" s="685"/>
      <c r="B1621" s="686">
        <v>2433</v>
      </c>
      <c r="C1621" s="687">
        <v>320000</v>
      </c>
      <c r="D1621" s="688" t="s">
        <v>68</v>
      </c>
      <c r="E1621" s="689">
        <v>0.01</v>
      </c>
      <c r="F1621" s="687">
        <f t="shared" si="25"/>
        <v>3200</v>
      </c>
    </row>
    <row r="1622" spans="1:6">
      <c r="A1622" s="685"/>
      <c r="B1622" s="686">
        <v>987</v>
      </c>
      <c r="C1622" s="687">
        <v>497498</v>
      </c>
      <c r="D1622" s="688" t="s">
        <v>68</v>
      </c>
      <c r="E1622" s="689">
        <v>0.05</v>
      </c>
      <c r="F1622" s="687">
        <f t="shared" si="25"/>
        <v>24874.9</v>
      </c>
    </row>
    <row r="1623" spans="1:6">
      <c r="A1623" s="685"/>
      <c r="B1623" s="686">
        <v>979</v>
      </c>
      <c r="C1623" s="687">
        <v>344150</v>
      </c>
      <c r="D1623" s="688" t="s">
        <v>68</v>
      </c>
      <c r="E1623" s="689">
        <v>0.05</v>
      </c>
      <c r="F1623" s="687">
        <f t="shared" si="25"/>
        <v>17207.5</v>
      </c>
    </row>
    <row r="1624" spans="1:6">
      <c r="A1624" s="685"/>
      <c r="B1624" s="686">
        <v>994</v>
      </c>
      <c r="C1624" s="687">
        <v>2395600</v>
      </c>
      <c r="D1624" s="688" t="s">
        <v>68</v>
      </c>
      <c r="E1624" s="689">
        <v>0.05</v>
      </c>
      <c r="F1624" s="687">
        <f t="shared" si="25"/>
        <v>119780</v>
      </c>
    </row>
    <row r="1625" spans="1:6">
      <c r="A1625" s="685"/>
      <c r="B1625" s="686">
        <v>582</v>
      </c>
      <c r="C1625" s="687">
        <v>152900</v>
      </c>
      <c r="D1625" s="688" t="s">
        <v>68</v>
      </c>
      <c r="E1625" s="689">
        <v>0.1</v>
      </c>
      <c r="F1625" s="687">
        <f t="shared" si="25"/>
        <v>15290</v>
      </c>
    </row>
    <row r="1626" spans="1:6">
      <c r="A1626" s="685"/>
      <c r="B1626" s="686">
        <v>972</v>
      </c>
      <c r="C1626" s="687">
        <v>5347500</v>
      </c>
      <c r="D1626" s="688" t="s">
        <v>68</v>
      </c>
      <c r="E1626" s="689">
        <v>0.05</v>
      </c>
      <c r="F1626" s="687">
        <f t="shared" si="25"/>
        <v>267375</v>
      </c>
    </row>
    <row r="1627" spans="1:6">
      <c r="A1627" s="685"/>
      <c r="B1627" s="686">
        <v>1639</v>
      </c>
      <c r="C1627" s="687">
        <v>1212150</v>
      </c>
      <c r="D1627" s="688" t="s">
        <v>68</v>
      </c>
      <c r="E1627" s="689">
        <v>0.01</v>
      </c>
      <c r="F1627" s="687">
        <f t="shared" si="25"/>
        <v>12121.5</v>
      </c>
    </row>
    <row r="1628" spans="1:6">
      <c r="A1628" s="685"/>
      <c r="B1628" s="686">
        <v>1726</v>
      </c>
      <c r="C1628" s="687">
        <v>464050</v>
      </c>
      <c r="D1628" s="688" t="s">
        <v>68</v>
      </c>
      <c r="E1628" s="689">
        <v>0.01</v>
      </c>
      <c r="F1628" s="687">
        <f t="shared" si="25"/>
        <v>4640.5</v>
      </c>
    </row>
    <row r="1629" spans="1:6">
      <c r="A1629" s="685"/>
      <c r="B1629" s="686">
        <v>1726</v>
      </c>
      <c r="C1629" s="687">
        <v>302250</v>
      </c>
      <c r="D1629" s="688" t="s">
        <v>68</v>
      </c>
      <c r="E1629" s="689">
        <v>0.01</v>
      </c>
      <c r="F1629" s="687">
        <f t="shared" si="25"/>
        <v>3022.5</v>
      </c>
    </row>
    <row r="1630" spans="1:6">
      <c r="A1630" s="685"/>
      <c r="B1630" s="686">
        <v>1726</v>
      </c>
      <c r="C1630" s="687">
        <v>83912</v>
      </c>
      <c r="D1630" s="688" t="s">
        <v>68</v>
      </c>
      <c r="E1630" s="689">
        <v>0.01</v>
      </c>
      <c r="F1630" s="687">
        <f t="shared" si="25"/>
        <v>839.12</v>
      </c>
    </row>
    <row r="1631" spans="1:6">
      <c r="A1631" s="685"/>
      <c r="B1631" s="686">
        <v>1645</v>
      </c>
      <c r="C1631" s="687">
        <v>104450</v>
      </c>
      <c r="D1631" s="688" t="s">
        <v>68</v>
      </c>
      <c r="E1631" s="689">
        <v>0.01</v>
      </c>
      <c r="F1631" s="687">
        <f t="shared" si="25"/>
        <v>1044.5</v>
      </c>
    </row>
    <row r="1632" spans="1:6">
      <c r="A1632" s="685"/>
      <c r="B1632" s="686">
        <v>1712</v>
      </c>
      <c r="C1632" s="687">
        <v>17591</v>
      </c>
      <c r="D1632" s="688" t="s">
        <v>68</v>
      </c>
      <c r="E1632" s="689">
        <v>0.01</v>
      </c>
      <c r="F1632" s="687">
        <f t="shared" si="25"/>
        <v>175.91</v>
      </c>
    </row>
    <row r="1633" spans="1:6">
      <c r="A1633" s="685"/>
      <c r="B1633" s="686">
        <v>1637</v>
      </c>
      <c r="C1633" s="687">
        <v>268000</v>
      </c>
      <c r="D1633" s="688" t="s">
        <v>68</v>
      </c>
      <c r="E1633" s="689">
        <v>0.01</v>
      </c>
      <c r="F1633" s="687">
        <f t="shared" si="25"/>
        <v>2680</v>
      </c>
    </row>
    <row r="1634" spans="1:6">
      <c r="A1634" s="685"/>
      <c r="B1634" s="686">
        <v>1763</v>
      </c>
      <c r="C1634" s="687">
        <v>104000</v>
      </c>
      <c r="D1634" s="688" t="s">
        <v>68</v>
      </c>
      <c r="E1634" s="689">
        <v>0.01</v>
      </c>
      <c r="F1634" s="687">
        <f t="shared" si="25"/>
        <v>1040</v>
      </c>
    </row>
    <row r="1635" spans="1:6">
      <c r="A1635" s="685"/>
      <c r="B1635" s="686">
        <v>1756</v>
      </c>
      <c r="C1635" s="687">
        <v>143800</v>
      </c>
      <c r="D1635" s="688" t="s">
        <v>68</v>
      </c>
      <c r="E1635" s="689">
        <v>0.01</v>
      </c>
      <c r="F1635" s="687">
        <f t="shared" si="25"/>
        <v>1438</v>
      </c>
    </row>
    <row r="1636" spans="1:6">
      <c r="A1636" s="685"/>
      <c r="B1636" s="686">
        <v>629</v>
      </c>
      <c r="C1636" s="687">
        <v>193100</v>
      </c>
      <c r="D1636" s="688" t="s">
        <v>68</v>
      </c>
      <c r="E1636" s="689">
        <v>0.1</v>
      </c>
      <c r="F1636" s="687">
        <f t="shared" si="25"/>
        <v>19310</v>
      </c>
    </row>
    <row r="1637" spans="1:6">
      <c r="A1637" s="685"/>
      <c r="B1637" s="686">
        <v>596</v>
      </c>
      <c r="C1637" s="687">
        <v>417254</v>
      </c>
      <c r="D1637" s="688" t="s">
        <v>68</v>
      </c>
      <c r="E1637" s="689">
        <v>0.1</v>
      </c>
      <c r="F1637" s="687">
        <f t="shared" si="25"/>
        <v>41725.4</v>
      </c>
    </row>
    <row r="1638" spans="1:6">
      <c r="A1638" s="685"/>
      <c r="B1638" s="686">
        <v>588</v>
      </c>
      <c r="C1638" s="687">
        <v>232803</v>
      </c>
      <c r="D1638" s="688" t="s">
        <v>68</v>
      </c>
      <c r="E1638" s="689">
        <v>0.1</v>
      </c>
      <c r="F1638" s="687">
        <f t="shared" si="25"/>
        <v>23280.300000000003</v>
      </c>
    </row>
    <row r="1639" spans="1:6">
      <c r="A1639" s="685"/>
      <c r="B1639" s="686">
        <v>569</v>
      </c>
      <c r="C1639" s="687">
        <v>574600</v>
      </c>
      <c r="D1639" s="688" t="s">
        <v>68</v>
      </c>
      <c r="E1639" s="689">
        <v>0.1</v>
      </c>
      <c r="F1639" s="687">
        <f t="shared" si="25"/>
        <v>57460</v>
      </c>
    </row>
    <row r="1640" spans="1:6">
      <c r="A1640" s="685"/>
      <c r="B1640" s="686">
        <v>574</v>
      </c>
      <c r="C1640" s="687">
        <v>26804</v>
      </c>
      <c r="D1640" s="688" t="s">
        <v>68</v>
      </c>
      <c r="E1640" s="689">
        <v>0.1</v>
      </c>
      <c r="F1640" s="687">
        <f t="shared" si="25"/>
        <v>2680.4</v>
      </c>
    </row>
    <row r="1641" spans="1:6">
      <c r="A1641" s="685"/>
      <c r="B1641" s="686">
        <v>610</v>
      </c>
      <c r="C1641" s="687">
        <v>34000</v>
      </c>
      <c r="D1641" s="688" t="s">
        <v>68</v>
      </c>
      <c r="E1641" s="689">
        <v>0.1</v>
      </c>
      <c r="F1641" s="687">
        <f t="shared" si="25"/>
        <v>3400</v>
      </c>
    </row>
    <row r="1642" spans="1:6">
      <c r="A1642" s="685"/>
      <c r="B1642" s="686">
        <v>938</v>
      </c>
      <c r="C1642" s="687">
        <v>149434</v>
      </c>
      <c r="D1642" s="688" t="s">
        <v>68</v>
      </c>
      <c r="E1642" s="689">
        <v>0.05</v>
      </c>
      <c r="F1642" s="687">
        <f t="shared" si="25"/>
        <v>7471.7000000000007</v>
      </c>
    </row>
    <row r="1643" spans="1:6">
      <c r="A1643" s="685"/>
      <c r="B1643" s="686">
        <v>1879</v>
      </c>
      <c r="C1643" s="687">
        <v>4449003</v>
      </c>
      <c r="D1643" s="688" t="s">
        <v>68</v>
      </c>
      <c r="E1643" s="689">
        <v>0.01</v>
      </c>
      <c r="F1643" s="687">
        <f t="shared" si="25"/>
        <v>44490.03</v>
      </c>
    </row>
    <row r="1644" spans="1:6">
      <c r="A1644" s="685"/>
      <c r="B1644" s="686">
        <v>1999</v>
      </c>
      <c r="C1644" s="687">
        <v>2139550</v>
      </c>
      <c r="D1644" s="688" t="s">
        <v>68</v>
      </c>
      <c r="E1644" s="689">
        <v>0.01</v>
      </c>
      <c r="F1644" s="687">
        <f t="shared" si="25"/>
        <v>21395.5</v>
      </c>
    </row>
    <row r="1645" spans="1:6">
      <c r="A1645" s="685"/>
      <c r="B1645" s="686">
        <v>1977</v>
      </c>
      <c r="C1645" s="687">
        <v>851500</v>
      </c>
      <c r="D1645" s="688" t="s">
        <v>68</v>
      </c>
      <c r="E1645" s="689">
        <v>0.01</v>
      </c>
      <c r="F1645" s="687">
        <f t="shared" si="25"/>
        <v>8515</v>
      </c>
    </row>
    <row r="1646" spans="1:6">
      <c r="A1646" s="685"/>
      <c r="B1646" s="686">
        <v>1863</v>
      </c>
      <c r="C1646" s="687">
        <v>5704000</v>
      </c>
      <c r="D1646" s="688" t="s">
        <v>68</v>
      </c>
      <c r="E1646" s="689">
        <v>0.01</v>
      </c>
      <c r="F1646" s="687">
        <f t="shared" si="25"/>
        <v>57040</v>
      </c>
    </row>
    <row r="1647" spans="1:6">
      <c r="A1647" s="685"/>
      <c r="B1647" s="686">
        <v>1893</v>
      </c>
      <c r="C1647" s="687">
        <v>1952000</v>
      </c>
      <c r="D1647" s="688" t="s">
        <v>68</v>
      </c>
      <c r="E1647" s="689">
        <v>0.01</v>
      </c>
      <c r="F1647" s="687">
        <f t="shared" si="25"/>
        <v>19520</v>
      </c>
    </row>
    <row r="1648" spans="1:6">
      <c r="A1648" s="685"/>
      <c r="B1648" s="686">
        <v>1893</v>
      </c>
      <c r="C1648" s="687">
        <v>188000</v>
      </c>
      <c r="D1648" s="688" t="s">
        <v>68</v>
      </c>
      <c r="E1648" s="689">
        <v>0.01</v>
      </c>
      <c r="F1648" s="687">
        <f t="shared" si="25"/>
        <v>1880</v>
      </c>
    </row>
    <row r="1649" spans="1:6">
      <c r="A1649" s="685"/>
      <c r="B1649" s="686">
        <v>2270</v>
      </c>
      <c r="C1649" s="687">
        <v>3170536</v>
      </c>
      <c r="D1649" s="688" t="s">
        <v>68</v>
      </c>
      <c r="E1649" s="689">
        <v>0.01</v>
      </c>
      <c r="F1649" s="687">
        <f t="shared" si="25"/>
        <v>31705.360000000001</v>
      </c>
    </row>
    <row r="1650" spans="1:6">
      <c r="A1650" s="685"/>
      <c r="B1650" s="686">
        <v>2263</v>
      </c>
      <c r="C1650" s="687">
        <v>3033355</v>
      </c>
      <c r="D1650" s="688" t="s">
        <v>68</v>
      </c>
      <c r="E1650" s="689">
        <v>0.01</v>
      </c>
      <c r="F1650" s="687">
        <f t="shared" si="25"/>
        <v>30333.55</v>
      </c>
    </row>
    <row r="1651" spans="1:6">
      <c r="A1651" s="685"/>
      <c r="B1651" s="686">
        <v>2243</v>
      </c>
      <c r="C1651" s="687">
        <v>280942</v>
      </c>
      <c r="D1651" s="688" t="s">
        <v>68</v>
      </c>
      <c r="E1651" s="689">
        <v>0.01</v>
      </c>
      <c r="F1651" s="687">
        <f t="shared" si="25"/>
        <v>2809.42</v>
      </c>
    </row>
    <row r="1652" spans="1:6">
      <c r="A1652" s="685"/>
      <c r="B1652" s="686">
        <v>2235</v>
      </c>
      <c r="C1652" s="687">
        <v>79988</v>
      </c>
      <c r="D1652" s="688" t="s">
        <v>68</v>
      </c>
      <c r="E1652" s="689">
        <v>0.01</v>
      </c>
      <c r="F1652" s="687">
        <f t="shared" si="25"/>
        <v>799.88</v>
      </c>
    </row>
    <row r="1653" spans="1:6">
      <c r="A1653" s="685"/>
      <c r="B1653" s="686">
        <v>2227</v>
      </c>
      <c r="C1653" s="687">
        <v>9369147</v>
      </c>
      <c r="D1653" s="688" t="s">
        <v>68</v>
      </c>
      <c r="E1653" s="689">
        <v>0.01</v>
      </c>
      <c r="F1653" s="687">
        <f t="shared" si="25"/>
        <v>93691.47</v>
      </c>
    </row>
    <row r="1654" spans="1:6">
      <c r="A1654" s="685"/>
      <c r="B1654" s="686">
        <v>2218</v>
      </c>
      <c r="C1654" s="687">
        <v>2767720</v>
      </c>
      <c r="D1654" s="688" t="s">
        <v>68</v>
      </c>
      <c r="E1654" s="689">
        <v>0.01</v>
      </c>
      <c r="F1654" s="687">
        <f t="shared" si="25"/>
        <v>27677.200000000001</v>
      </c>
    </row>
    <row r="1655" spans="1:6">
      <c r="A1655" s="685"/>
      <c r="B1655" s="686">
        <v>2214</v>
      </c>
      <c r="C1655" s="687">
        <v>53930</v>
      </c>
      <c r="D1655" s="688" t="s">
        <v>68</v>
      </c>
      <c r="E1655" s="689">
        <v>0.01</v>
      </c>
      <c r="F1655" s="687">
        <f t="shared" si="25"/>
        <v>539.29999999999995</v>
      </c>
    </row>
    <row r="1656" spans="1:6">
      <c r="A1656" s="685"/>
      <c r="B1656" s="686">
        <v>568</v>
      </c>
      <c r="C1656" s="687">
        <v>208000</v>
      </c>
      <c r="D1656" s="688" t="s">
        <v>68</v>
      </c>
      <c r="E1656" s="689">
        <v>0.1</v>
      </c>
      <c r="F1656" s="687">
        <f t="shared" si="25"/>
        <v>20800</v>
      </c>
    </row>
    <row r="1657" spans="1:6">
      <c r="A1657" s="685"/>
      <c r="B1657" s="686">
        <v>2527</v>
      </c>
      <c r="C1657" s="687">
        <v>96177</v>
      </c>
      <c r="D1657" s="688" t="s">
        <v>68</v>
      </c>
      <c r="E1657" s="689">
        <v>0.01</v>
      </c>
      <c r="F1657" s="687">
        <f t="shared" si="25"/>
        <v>961.77</v>
      </c>
    </row>
    <row r="1658" spans="1:6">
      <c r="A1658" s="685"/>
      <c r="B1658" s="686">
        <v>2527</v>
      </c>
      <c r="C1658" s="687">
        <v>1912286</v>
      </c>
      <c r="D1658" s="688" t="s">
        <v>68</v>
      </c>
      <c r="E1658" s="689">
        <v>0.01</v>
      </c>
      <c r="F1658" s="687">
        <f t="shared" si="25"/>
        <v>19122.86</v>
      </c>
    </row>
    <row r="1659" spans="1:6">
      <c r="A1659" s="685"/>
      <c r="B1659" s="686">
        <v>2449</v>
      </c>
      <c r="C1659" s="687">
        <v>477133</v>
      </c>
      <c r="D1659" s="688" t="s">
        <v>68</v>
      </c>
      <c r="E1659" s="689">
        <v>0.01</v>
      </c>
      <c r="F1659" s="687">
        <f t="shared" si="25"/>
        <v>4771.33</v>
      </c>
    </row>
    <row r="1660" spans="1:6">
      <c r="A1660" s="685"/>
      <c r="B1660" s="686">
        <v>1346</v>
      </c>
      <c r="C1660" s="687">
        <v>159600</v>
      </c>
      <c r="D1660" s="688" t="s">
        <v>68</v>
      </c>
      <c r="E1660" s="689">
        <v>0.01</v>
      </c>
      <c r="F1660" s="687">
        <f t="shared" si="25"/>
        <v>1596</v>
      </c>
    </row>
    <row r="1661" spans="1:6">
      <c r="A1661" s="685"/>
      <c r="B1661" s="686">
        <v>1506</v>
      </c>
      <c r="C1661" s="687">
        <v>11369597</v>
      </c>
      <c r="D1661" s="688" t="s">
        <v>68</v>
      </c>
      <c r="E1661" s="689">
        <v>0.01</v>
      </c>
      <c r="F1661" s="687">
        <f t="shared" si="25"/>
        <v>113695.97</v>
      </c>
    </row>
    <row r="1662" spans="1:6">
      <c r="A1662" s="685"/>
      <c r="B1662" s="686">
        <v>1506</v>
      </c>
      <c r="C1662" s="687">
        <v>9468000</v>
      </c>
      <c r="D1662" s="688" t="s">
        <v>68</v>
      </c>
      <c r="E1662" s="689">
        <v>0.01</v>
      </c>
      <c r="F1662" s="687">
        <f t="shared" si="25"/>
        <v>94680</v>
      </c>
    </row>
    <row r="1663" spans="1:6">
      <c r="A1663" s="685"/>
      <c r="B1663" s="686">
        <v>1529</v>
      </c>
      <c r="C1663" s="687">
        <v>60268000</v>
      </c>
      <c r="D1663" s="688" t="s">
        <v>68</v>
      </c>
      <c r="E1663" s="689">
        <v>0.01</v>
      </c>
      <c r="F1663" s="687">
        <f t="shared" si="25"/>
        <v>602680</v>
      </c>
    </row>
    <row r="1664" spans="1:6">
      <c r="A1664" s="685"/>
      <c r="B1664" s="686">
        <v>1579</v>
      </c>
      <c r="C1664" s="687">
        <v>195930</v>
      </c>
      <c r="D1664" s="688" t="s">
        <v>68</v>
      </c>
      <c r="E1664" s="689">
        <v>0.01</v>
      </c>
      <c r="F1664" s="687">
        <f t="shared" si="25"/>
        <v>1959.3</v>
      </c>
    </row>
    <row r="1665" spans="1:6">
      <c r="A1665" s="685"/>
      <c r="B1665" s="686">
        <v>1519</v>
      </c>
      <c r="C1665" s="687">
        <v>1638000</v>
      </c>
      <c r="D1665" s="688" t="s">
        <v>68</v>
      </c>
      <c r="E1665" s="689">
        <v>0.01</v>
      </c>
      <c r="F1665" s="687">
        <f t="shared" si="25"/>
        <v>16380</v>
      </c>
    </row>
    <row r="1666" spans="1:6">
      <c r="A1666" s="685"/>
      <c r="B1666" s="686">
        <v>1577</v>
      </c>
      <c r="C1666" s="687">
        <v>100040</v>
      </c>
      <c r="D1666" s="688" t="s">
        <v>68</v>
      </c>
      <c r="E1666" s="689">
        <v>0.01</v>
      </c>
      <c r="F1666" s="687">
        <f t="shared" si="25"/>
        <v>1000.4</v>
      </c>
    </row>
    <row r="1667" spans="1:6">
      <c r="A1667" s="685"/>
      <c r="B1667" s="686">
        <v>1517</v>
      </c>
      <c r="C1667" s="687">
        <v>9828000</v>
      </c>
      <c r="D1667" s="688" t="s">
        <v>68</v>
      </c>
      <c r="E1667" s="689">
        <v>0.01</v>
      </c>
      <c r="F1667" s="687">
        <f t="shared" ref="F1667:F1730" si="26">+C1667*E1667</f>
        <v>98280</v>
      </c>
    </row>
    <row r="1668" spans="1:6">
      <c r="A1668" s="685"/>
      <c r="B1668" s="686">
        <v>1576</v>
      </c>
      <c r="C1668" s="687">
        <v>970390</v>
      </c>
      <c r="D1668" s="688" t="s">
        <v>68</v>
      </c>
      <c r="E1668" s="689">
        <v>0.01</v>
      </c>
      <c r="F1668" s="687">
        <f t="shared" si="26"/>
        <v>9703.9</v>
      </c>
    </row>
    <row r="1669" spans="1:6">
      <c r="A1669" s="685"/>
      <c r="B1669" s="686">
        <v>1509</v>
      </c>
      <c r="C1669" s="687">
        <v>1638000</v>
      </c>
      <c r="D1669" s="688" t="s">
        <v>68</v>
      </c>
      <c r="E1669" s="689">
        <v>0.01</v>
      </c>
      <c r="F1669" s="687">
        <f t="shared" si="26"/>
        <v>16380</v>
      </c>
    </row>
    <row r="1670" spans="1:6">
      <c r="A1670" s="685"/>
      <c r="B1670" s="686">
        <v>1569</v>
      </c>
      <c r="C1670" s="687">
        <v>120750</v>
      </c>
      <c r="D1670" s="688" t="s">
        <v>68</v>
      </c>
      <c r="E1670" s="689">
        <v>0.01</v>
      </c>
      <c r="F1670" s="687">
        <f t="shared" si="26"/>
        <v>1207.5</v>
      </c>
    </row>
    <row r="1671" spans="1:6">
      <c r="A1671" s="685"/>
      <c r="B1671" s="686">
        <v>1569</v>
      </c>
      <c r="C1671" s="687">
        <v>940590</v>
      </c>
      <c r="D1671" s="688" t="s">
        <v>68</v>
      </c>
      <c r="E1671" s="689">
        <v>0.01</v>
      </c>
      <c r="F1671" s="687">
        <f t="shared" si="26"/>
        <v>9405.9</v>
      </c>
    </row>
    <row r="1672" spans="1:6">
      <c r="A1672" s="685"/>
      <c r="B1672" s="686">
        <v>1555</v>
      </c>
      <c r="C1672" s="687">
        <v>147000</v>
      </c>
      <c r="D1672" s="688" t="s">
        <v>68</v>
      </c>
      <c r="E1672" s="689">
        <v>0.01</v>
      </c>
      <c r="F1672" s="687">
        <f t="shared" si="26"/>
        <v>1470</v>
      </c>
    </row>
    <row r="1673" spans="1:6">
      <c r="A1673" s="685"/>
      <c r="B1673" s="686">
        <v>1555</v>
      </c>
      <c r="C1673" s="687">
        <v>1816750</v>
      </c>
      <c r="D1673" s="688" t="s">
        <v>68</v>
      </c>
      <c r="E1673" s="689">
        <v>0.01</v>
      </c>
      <c r="F1673" s="687">
        <f t="shared" si="26"/>
        <v>18167.5</v>
      </c>
    </row>
    <row r="1674" spans="1:6">
      <c r="A1674" s="685"/>
      <c r="B1674" s="686">
        <v>1548</v>
      </c>
      <c r="C1674" s="687">
        <v>226100</v>
      </c>
      <c r="D1674" s="688" t="s">
        <v>68</v>
      </c>
      <c r="E1674" s="689">
        <v>0.01</v>
      </c>
      <c r="F1674" s="687">
        <f t="shared" si="26"/>
        <v>2261</v>
      </c>
    </row>
    <row r="1675" spans="1:6">
      <c r="A1675" s="685"/>
      <c r="B1675" s="686">
        <v>1546</v>
      </c>
      <c r="C1675" s="687">
        <v>906940</v>
      </c>
      <c r="D1675" s="688" t="s">
        <v>68</v>
      </c>
      <c r="E1675" s="689">
        <v>0.01</v>
      </c>
      <c r="F1675" s="687">
        <f t="shared" si="26"/>
        <v>9069.4</v>
      </c>
    </row>
    <row r="1676" spans="1:6">
      <c r="A1676" s="685"/>
      <c r="B1676" s="686">
        <v>1541</v>
      </c>
      <c r="C1676" s="687">
        <v>223290</v>
      </c>
      <c r="D1676" s="688" t="s">
        <v>68</v>
      </c>
      <c r="E1676" s="689">
        <v>0.01</v>
      </c>
      <c r="F1676" s="687">
        <f t="shared" si="26"/>
        <v>2232.9</v>
      </c>
    </row>
    <row r="1677" spans="1:6">
      <c r="A1677" s="685"/>
      <c r="B1677" s="686">
        <v>1534</v>
      </c>
      <c r="C1677" s="687">
        <v>224100</v>
      </c>
      <c r="D1677" s="688" t="s">
        <v>68</v>
      </c>
      <c r="E1677" s="689">
        <v>0.01</v>
      </c>
      <c r="F1677" s="687">
        <f t="shared" si="26"/>
        <v>2241</v>
      </c>
    </row>
    <row r="1678" spans="1:6">
      <c r="A1678" s="685"/>
      <c r="B1678" s="686">
        <v>1530</v>
      </c>
      <c r="C1678" s="687">
        <v>119840</v>
      </c>
      <c r="D1678" s="688" t="s">
        <v>68</v>
      </c>
      <c r="E1678" s="689">
        <v>0.01</v>
      </c>
      <c r="F1678" s="687">
        <f t="shared" si="26"/>
        <v>1198.4000000000001</v>
      </c>
    </row>
    <row r="1679" spans="1:6">
      <c r="A1679" s="685"/>
      <c r="B1679" s="686">
        <v>1529</v>
      </c>
      <c r="C1679" s="687">
        <v>453490</v>
      </c>
      <c r="D1679" s="688" t="s">
        <v>68</v>
      </c>
      <c r="E1679" s="689">
        <v>0.01</v>
      </c>
      <c r="F1679" s="687">
        <f t="shared" si="26"/>
        <v>4534.9000000000005</v>
      </c>
    </row>
    <row r="1680" spans="1:6">
      <c r="A1680" s="685"/>
      <c r="B1680" s="686">
        <v>1519</v>
      </c>
      <c r="C1680" s="687">
        <v>353640</v>
      </c>
      <c r="D1680" s="688" t="s">
        <v>68</v>
      </c>
      <c r="E1680" s="689">
        <v>0.01</v>
      </c>
      <c r="F1680" s="687">
        <f t="shared" si="26"/>
        <v>3536.4</v>
      </c>
    </row>
    <row r="1681" spans="1:6">
      <c r="A1681" s="685"/>
      <c r="B1681" s="686">
        <v>1519</v>
      </c>
      <c r="C1681" s="687">
        <v>6648000</v>
      </c>
      <c r="D1681" s="688" t="s">
        <v>68</v>
      </c>
      <c r="E1681" s="689">
        <v>0.01</v>
      </c>
      <c r="F1681" s="687">
        <f t="shared" si="26"/>
        <v>66480</v>
      </c>
    </row>
    <row r="1682" spans="1:6">
      <c r="A1682" s="685"/>
      <c r="B1682" s="686">
        <v>1519</v>
      </c>
      <c r="C1682" s="687">
        <v>1131900</v>
      </c>
      <c r="D1682" s="688" t="s">
        <v>68</v>
      </c>
      <c r="E1682" s="689">
        <v>0.01</v>
      </c>
      <c r="F1682" s="687">
        <f t="shared" si="26"/>
        <v>11319</v>
      </c>
    </row>
    <row r="1683" spans="1:6">
      <c r="A1683" s="685"/>
      <c r="B1683" s="686">
        <v>1517</v>
      </c>
      <c r="C1683" s="687">
        <v>41250</v>
      </c>
      <c r="D1683" s="688" t="s">
        <v>68</v>
      </c>
      <c r="E1683" s="689">
        <v>0.01</v>
      </c>
      <c r="F1683" s="687">
        <f t="shared" si="26"/>
        <v>412.5</v>
      </c>
    </row>
    <row r="1684" spans="1:6">
      <c r="A1684" s="685"/>
      <c r="B1684" s="686">
        <v>1510</v>
      </c>
      <c r="C1684" s="687">
        <v>674550</v>
      </c>
      <c r="D1684" s="688" t="s">
        <v>68</v>
      </c>
      <c r="E1684" s="689">
        <v>0.01</v>
      </c>
      <c r="F1684" s="687">
        <f t="shared" si="26"/>
        <v>6745.5</v>
      </c>
    </row>
    <row r="1685" spans="1:6">
      <c r="A1685" s="685"/>
      <c r="B1685" s="686">
        <v>601</v>
      </c>
      <c r="C1685" s="687">
        <v>119000</v>
      </c>
      <c r="D1685" s="688" t="s">
        <v>68</v>
      </c>
      <c r="E1685" s="689">
        <v>0.1</v>
      </c>
      <c r="F1685" s="687">
        <f t="shared" si="26"/>
        <v>11900</v>
      </c>
    </row>
    <row r="1686" spans="1:6">
      <c r="A1686" s="685"/>
      <c r="B1686" s="686">
        <v>576</v>
      </c>
      <c r="C1686" s="687">
        <v>1159000</v>
      </c>
      <c r="D1686" s="688" t="s">
        <v>68</v>
      </c>
      <c r="E1686" s="689">
        <v>0.1</v>
      </c>
      <c r="F1686" s="687">
        <f t="shared" si="26"/>
        <v>115900</v>
      </c>
    </row>
    <row r="1687" spans="1:6">
      <c r="A1687" s="685"/>
      <c r="B1687" s="686">
        <v>4193</v>
      </c>
      <c r="C1687" s="687">
        <v>404556</v>
      </c>
      <c r="D1687" s="688" t="s">
        <v>68</v>
      </c>
      <c r="E1687" s="689">
        <v>0.01</v>
      </c>
      <c r="F1687" s="687">
        <f t="shared" si="26"/>
        <v>4045.56</v>
      </c>
    </row>
    <row r="1688" spans="1:6">
      <c r="A1688" s="685"/>
      <c r="B1688" s="686">
        <v>1765</v>
      </c>
      <c r="C1688" s="687">
        <v>424442</v>
      </c>
      <c r="D1688" s="688" t="s">
        <v>503</v>
      </c>
      <c r="E1688" s="689">
        <v>0</v>
      </c>
      <c r="F1688" s="687">
        <f t="shared" si="26"/>
        <v>0</v>
      </c>
    </row>
    <row r="1689" spans="1:6">
      <c r="A1689" s="685"/>
      <c r="B1689" s="686">
        <v>1369</v>
      </c>
      <c r="C1689" s="687">
        <v>4350600</v>
      </c>
      <c r="D1689" s="688" t="s">
        <v>68</v>
      </c>
      <c r="E1689" s="689">
        <v>0.01</v>
      </c>
      <c r="F1689" s="687">
        <f t="shared" si="26"/>
        <v>43506</v>
      </c>
    </row>
    <row r="1690" spans="1:6">
      <c r="A1690" s="685"/>
      <c r="B1690" s="686">
        <v>1372</v>
      </c>
      <c r="C1690" s="687">
        <v>530950</v>
      </c>
      <c r="D1690" s="688" t="s">
        <v>68</v>
      </c>
      <c r="E1690" s="689">
        <v>0.01</v>
      </c>
      <c r="F1690" s="687">
        <f t="shared" si="26"/>
        <v>5309.5</v>
      </c>
    </row>
    <row r="1691" spans="1:6">
      <c r="A1691" s="685"/>
      <c r="B1691" s="686">
        <v>610</v>
      </c>
      <c r="C1691" s="687">
        <v>34000</v>
      </c>
      <c r="D1691" s="688" t="s">
        <v>68</v>
      </c>
      <c r="E1691" s="689">
        <v>0.1</v>
      </c>
      <c r="F1691" s="687">
        <f t="shared" si="26"/>
        <v>3400</v>
      </c>
    </row>
    <row r="1692" spans="1:6">
      <c r="A1692" s="685"/>
      <c r="B1692" s="686">
        <v>3254</v>
      </c>
      <c r="C1692" s="687">
        <v>2995000</v>
      </c>
      <c r="D1692" s="688" t="s">
        <v>68</v>
      </c>
      <c r="E1692" s="689">
        <v>0.01</v>
      </c>
      <c r="F1692" s="687">
        <f t="shared" si="26"/>
        <v>29950</v>
      </c>
    </row>
    <row r="1693" spans="1:6">
      <c r="A1693" s="685"/>
      <c r="B1693" s="686">
        <v>664</v>
      </c>
      <c r="C1693" s="687">
        <v>109200</v>
      </c>
      <c r="D1693" s="688" t="s">
        <v>68</v>
      </c>
      <c r="E1693" s="689">
        <v>0.1</v>
      </c>
      <c r="F1693" s="687">
        <f t="shared" si="26"/>
        <v>10920</v>
      </c>
    </row>
    <row r="1694" spans="1:6">
      <c r="A1694" s="685"/>
      <c r="B1694" s="686">
        <v>3123</v>
      </c>
      <c r="C1694" s="687">
        <v>1214204</v>
      </c>
      <c r="D1694" s="688" t="s">
        <v>68</v>
      </c>
      <c r="E1694" s="689">
        <v>0.01</v>
      </c>
      <c r="F1694" s="687">
        <f t="shared" si="26"/>
        <v>12142.04</v>
      </c>
    </row>
    <row r="1695" spans="1:6">
      <c r="A1695" s="685"/>
      <c r="B1695" s="686">
        <v>822</v>
      </c>
      <c r="C1695" s="687">
        <v>2461000</v>
      </c>
      <c r="D1695" s="688" t="s">
        <v>68</v>
      </c>
      <c r="E1695" s="689">
        <v>0.05</v>
      </c>
      <c r="F1695" s="687">
        <f t="shared" si="26"/>
        <v>123050</v>
      </c>
    </row>
    <row r="1696" spans="1:6">
      <c r="A1696" s="685"/>
      <c r="B1696" s="686">
        <v>787</v>
      </c>
      <c r="C1696" s="687">
        <v>3000000</v>
      </c>
      <c r="D1696" s="688" t="s">
        <v>68</v>
      </c>
      <c r="E1696" s="689">
        <v>0.05</v>
      </c>
      <c r="F1696" s="687">
        <f t="shared" si="26"/>
        <v>150000</v>
      </c>
    </row>
    <row r="1697" spans="1:6">
      <c r="A1697" s="685"/>
      <c r="B1697" s="686">
        <v>779</v>
      </c>
      <c r="C1697" s="687">
        <v>193050</v>
      </c>
      <c r="D1697" s="688" t="s">
        <v>68</v>
      </c>
      <c r="E1697" s="689">
        <v>0.05</v>
      </c>
      <c r="F1697" s="687">
        <f t="shared" si="26"/>
        <v>9652.5</v>
      </c>
    </row>
    <row r="1698" spans="1:6">
      <c r="A1698" s="685"/>
      <c r="B1698" s="686">
        <v>1883</v>
      </c>
      <c r="C1698" s="687">
        <v>1782500</v>
      </c>
      <c r="D1698" s="688" t="s">
        <v>68</v>
      </c>
      <c r="E1698" s="689">
        <v>0.01</v>
      </c>
      <c r="F1698" s="687">
        <f t="shared" si="26"/>
        <v>17825</v>
      </c>
    </row>
    <row r="1699" spans="1:6">
      <c r="A1699" s="685"/>
      <c r="B1699" s="686">
        <v>3592</v>
      </c>
      <c r="C1699" s="687">
        <v>7464603</v>
      </c>
      <c r="D1699" s="688" t="s">
        <v>68</v>
      </c>
      <c r="E1699" s="689">
        <v>0.01</v>
      </c>
      <c r="F1699" s="687">
        <f t="shared" si="26"/>
        <v>74646.03</v>
      </c>
    </row>
    <row r="1700" spans="1:6">
      <c r="A1700" s="685"/>
      <c r="B1700" s="686">
        <v>3587</v>
      </c>
      <c r="C1700" s="687">
        <v>584426</v>
      </c>
      <c r="D1700" s="688" t="s">
        <v>68</v>
      </c>
      <c r="E1700" s="689">
        <v>0.01</v>
      </c>
      <c r="F1700" s="687">
        <f t="shared" si="26"/>
        <v>5844.26</v>
      </c>
    </row>
    <row r="1701" spans="1:6">
      <c r="A1701" s="685"/>
      <c r="B1701" s="686">
        <v>3585</v>
      </c>
      <c r="C1701" s="687">
        <v>1487000</v>
      </c>
      <c r="D1701" s="688" t="s">
        <v>68</v>
      </c>
      <c r="E1701" s="689">
        <v>0.01</v>
      </c>
      <c r="F1701" s="687">
        <f t="shared" si="26"/>
        <v>14870</v>
      </c>
    </row>
    <row r="1702" spans="1:6">
      <c r="A1702" s="685"/>
      <c r="B1702" s="686">
        <v>3583</v>
      </c>
      <c r="C1702" s="687">
        <v>55682</v>
      </c>
      <c r="D1702" s="688" t="s">
        <v>68</v>
      </c>
      <c r="E1702" s="689">
        <v>0.01</v>
      </c>
      <c r="F1702" s="687">
        <f t="shared" si="26"/>
        <v>556.82000000000005</v>
      </c>
    </row>
    <row r="1703" spans="1:6">
      <c r="A1703" s="685"/>
      <c r="B1703" s="686">
        <v>3574</v>
      </c>
      <c r="C1703" s="687">
        <v>548675</v>
      </c>
      <c r="D1703" s="688" t="s">
        <v>68</v>
      </c>
      <c r="E1703" s="689">
        <v>0.01</v>
      </c>
      <c r="F1703" s="687">
        <f t="shared" si="26"/>
        <v>5486.75</v>
      </c>
    </row>
    <row r="1704" spans="1:6">
      <c r="A1704" s="685"/>
      <c r="B1704" s="686">
        <v>3571</v>
      </c>
      <c r="C1704" s="687">
        <v>3473015</v>
      </c>
      <c r="D1704" s="688" t="s">
        <v>68</v>
      </c>
      <c r="E1704" s="689">
        <v>0.01</v>
      </c>
      <c r="F1704" s="687">
        <f t="shared" si="26"/>
        <v>34730.15</v>
      </c>
    </row>
    <row r="1705" spans="1:6">
      <c r="A1705" s="685"/>
      <c r="B1705" s="686">
        <v>3570</v>
      </c>
      <c r="C1705" s="687">
        <v>12753</v>
      </c>
      <c r="D1705" s="688" t="s">
        <v>68</v>
      </c>
      <c r="E1705" s="689">
        <v>0.01</v>
      </c>
      <c r="F1705" s="687">
        <f t="shared" si="26"/>
        <v>127.53</v>
      </c>
    </row>
    <row r="1706" spans="1:6">
      <c r="A1706" s="685"/>
      <c r="B1706" s="686">
        <v>3560</v>
      </c>
      <c r="C1706" s="687">
        <v>153631</v>
      </c>
      <c r="D1706" s="688" t="s">
        <v>68</v>
      </c>
      <c r="E1706" s="689">
        <v>0.01</v>
      </c>
      <c r="F1706" s="687">
        <f t="shared" si="26"/>
        <v>1536.31</v>
      </c>
    </row>
    <row r="1707" spans="1:6">
      <c r="A1707" s="685"/>
      <c r="B1707" s="686">
        <v>3557</v>
      </c>
      <c r="C1707" s="687">
        <v>2717331</v>
      </c>
      <c r="D1707" s="688" t="s">
        <v>68</v>
      </c>
      <c r="E1707" s="689">
        <v>0.01</v>
      </c>
      <c r="F1707" s="687">
        <f t="shared" si="26"/>
        <v>27173.31</v>
      </c>
    </row>
    <row r="1708" spans="1:6">
      <c r="A1708" s="685"/>
      <c r="B1708" s="686">
        <v>3556</v>
      </c>
      <c r="C1708" s="687">
        <v>130000</v>
      </c>
      <c r="D1708" s="688" t="s">
        <v>68</v>
      </c>
      <c r="E1708" s="689">
        <v>0.01</v>
      </c>
      <c r="F1708" s="687">
        <f t="shared" si="26"/>
        <v>1300</v>
      </c>
    </row>
    <row r="1709" spans="1:6">
      <c r="A1709" s="685"/>
      <c r="B1709" s="686">
        <v>3546</v>
      </c>
      <c r="C1709" s="687">
        <v>362560</v>
      </c>
      <c r="D1709" s="688" t="s">
        <v>68</v>
      </c>
      <c r="E1709" s="689">
        <v>0.01</v>
      </c>
      <c r="F1709" s="687">
        <f t="shared" si="26"/>
        <v>3625.6</v>
      </c>
    </row>
    <row r="1710" spans="1:6">
      <c r="A1710" s="685"/>
      <c r="B1710" s="686">
        <v>3543</v>
      </c>
      <c r="C1710" s="687">
        <v>119800</v>
      </c>
      <c r="D1710" s="688" t="s">
        <v>68</v>
      </c>
      <c r="E1710" s="689">
        <v>0.01</v>
      </c>
      <c r="F1710" s="687">
        <f t="shared" si="26"/>
        <v>1198</v>
      </c>
    </row>
    <row r="1711" spans="1:6">
      <c r="A1711" s="685"/>
      <c r="B1711" s="686">
        <v>3542</v>
      </c>
      <c r="C1711" s="687">
        <v>1083070</v>
      </c>
      <c r="D1711" s="688" t="s">
        <v>68</v>
      </c>
      <c r="E1711" s="689">
        <v>0.01</v>
      </c>
      <c r="F1711" s="687">
        <f t="shared" si="26"/>
        <v>10830.7</v>
      </c>
    </row>
    <row r="1712" spans="1:6">
      <c r="A1712" s="685"/>
      <c r="B1712" s="686">
        <v>3541</v>
      </c>
      <c r="C1712" s="687">
        <v>113066</v>
      </c>
      <c r="D1712" s="688" t="s">
        <v>68</v>
      </c>
      <c r="E1712" s="689">
        <v>0.01</v>
      </c>
      <c r="F1712" s="687">
        <f t="shared" si="26"/>
        <v>1130.6600000000001</v>
      </c>
    </row>
    <row r="1713" spans="1:6">
      <c r="A1713" s="685"/>
      <c r="B1713" s="686">
        <v>3541</v>
      </c>
      <c r="C1713" s="687">
        <v>21888</v>
      </c>
      <c r="D1713" s="688" t="s">
        <v>68</v>
      </c>
      <c r="E1713" s="689">
        <v>0.01</v>
      </c>
      <c r="F1713" s="687">
        <f t="shared" si="26"/>
        <v>218.88</v>
      </c>
    </row>
    <row r="1714" spans="1:6">
      <c r="A1714" s="685"/>
      <c r="B1714" s="686">
        <v>3529</v>
      </c>
      <c r="C1714" s="687">
        <v>1366120</v>
      </c>
      <c r="D1714" s="688" t="s">
        <v>68</v>
      </c>
      <c r="E1714" s="689">
        <v>0.01</v>
      </c>
      <c r="F1714" s="687">
        <f t="shared" si="26"/>
        <v>13661.2</v>
      </c>
    </row>
    <row r="1715" spans="1:6">
      <c r="A1715" s="685"/>
      <c r="B1715" s="686">
        <v>3528</v>
      </c>
      <c r="C1715" s="687">
        <v>38000</v>
      </c>
      <c r="D1715" s="688" t="s">
        <v>68</v>
      </c>
      <c r="E1715" s="689">
        <v>0.01</v>
      </c>
      <c r="F1715" s="687">
        <f t="shared" si="26"/>
        <v>380</v>
      </c>
    </row>
    <row r="1716" spans="1:6">
      <c r="A1716" s="685"/>
      <c r="B1716" s="686">
        <v>3528</v>
      </c>
      <c r="C1716" s="687">
        <v>307264</v>
      </c>
      <c r="D1716" s="688" t="s">
        <v>68</v>
      </c>
      <c r="E1716" s="689">
        <v>0.01</v>
      </c>
      <c r="F1716" s="687">
        <f t="shared" si="26"/>
        <v>3072.64</v>
      </c>
    </row>
    <row r="1717" spans="1:6">
      <c r="A1717" s="685"/>
      <c r="B1717" s="686">
        <v>3520</v>
      </c>
      <c r="C1717" s="687">
        <v>1752100</v>
      </c>
      <c r="D1717" s="688" t="s">
        <v>68</v>
      </c>
      <c r="E1717" s="689">
        <v>0.01</v>
      </c>
      <c r="F1717" s="687">
        <f t="shared" si="26"/>
        <v>17521</v>
      </c>
    </row>
    <row r="1718" spans="1:6">
      <c r="A1718" s="685"/>
      <c r="B1718" s="686">
        <v>3520</v>
      </c>
      <c r="C1718" s="687">
        <v>3736957</v>
      </c>
      <c r="D1718" s="688" t="s">
        <v>68</v>
      </c>
      <c r="E1718" s="689">
        <v>0.01</v>
      </c>
      <c r="F1718" s="687">
        <f t="shared" si="26"/>
        <v>37369.57</v>
      </c>
    </row>
    <row r="1719" spans="1:6">
      <c r="A1719" s="685"/>
      <c r="B1719" s="686">
        <v>3520</v>
      </c>
      <c r="C1719" s="687">
        <v>363330</v>
      </c>
      <c r="D1719" s="688" t="s">
        <v>68</v>
      </c>
      <c r="E1719" s="689">
        <v>0.01</v>
      </c>
      <c r="F1719" s="687">
        <f t="shared" si="26"/>
        <v>3633.3</v>
      </c>
    </row>
    <row r="1720" spans="1:6">
      <c r="A1720" s="685"/>
      <c r="B1720" s="686">
        <v>3506</v>
      </c>
      <c r="C1720" s="687">
        <v>583784</v>
      </c>
      <c r="D1720" s="688" t="s">
        <v>68</v>
      </c>
      <c r="E1720" s="689">
        <v>0.01</v>
      </c>
      <c r="F1720" s="687">
        <f t="shared" si="26"/>
        <v>5837.84</v>
      </c>
    </row>
    <row r="1721" spans="1:6">
      <c r="A1721" s="685"/>
      <c r="B1721" s="686">
        <v>3505</v>
      </c>
      <c r="C1721" s="687">
        <v>363330</v>
      </c>
      <c r="D1721" s="688" t="s">
        <v>68</v>
      </c>
      <c r="E1721" s="689">
        <v>0.01</v>
      </c>
      <c r="F1721" s="687">
        <f t="shared" si="26"/>
        <v>3633.3</v>
      </c>
    </row>
    <row r="1722" spans="1:6">
      <c r="A1722" s="685"/>
      <c r="B1722" s="686">
        <v>3496</v>
      </c>
      <c r="C1722" s="687">
        <v>70935</v>
      </c>
      <c r="D1722" s="688" t="s">
        <v>68</v>
      </c>
      <c r="E1722" s="689">
        <v>0.01</v>
      </c>
      <c r="F1722" s="687">
        <f t="shared" si="26"/>
        <v>709.35</v>
      </c>
    </row>
    <row r="1723" spans="1:6">
      <c r="A1723" s="685"/>
      <c r="B1723" s="686">
        <v>3494</v>
      </c>
      <c r="C1723" s="687">
        <v>353812</v>
      </c>
      <c r="D1723" s="688" t="s">
        <v>68</v>
      </c>
      <c r="E1723" s="689">
        <v>0.01</v>
      </c>
      <c r="F1723" s="687">
        <f t="shared" si="26"/>
        <v>3538.12</v>
      </c>
    </row>
    <row r="1724" spans="1:6">
      <c r="A1724" s="685"/>
      <c r="B1724" s="686">
        <v>3493</v>
      </c>
      <c r="C1724" s="687">
        <v>438756</v>
      </c>
      <c r="D1724" s="688" t="s">
        <v>68</v>
      </c>
      <c r="E1724" s="689">
        <v>0.01</v>
      </c>
      <c r="F1724" s="687">
        <f t="shared" si="26"/>
        <v>4387.5600000000004</v>
      </c>
    </row>
    <row r="1725" spans="1:6">
      <c r="A1725" s="685"/>
      <c r="B1725" s="686">
        <v>3493</v>
      </c>
      <c r="C1725" s="687">
        <v>131700</v>
      </c>
      <c r="D1725" s="688" t="s">
        <v>68</v>
      </c>
      <c r="E1725" s="689">
        <v>0.01</v>
      </c>
      <c r="F1725" s="687">
        <f t="shared" si="26"/>
        <v>1317</v>
      </c>
    </row>
    <row r="1726" spans="1:6">
      <c r="A1726" s="685"/>
      <c r="B1726" s="686">
        <v>3489</v>
      </c>
      <c r="C1726" s="687">
        <v>65850</v>
      </c>
      <c r="D1726" s="688" t="s">
        <v>68</v>
      </c>
      <c r="E1726" s="689">
        <v>0.01</v>
      </c>
      <c r="F1726" s="687">
        <f t="shared" si="26"/>
        <v>658.5</v>
      </c>
    </row>
    <row r="1727" spans="1:6">
      <c r="A1727" s="685"/>
      <c r="B1727" s="686">
        <v>3392</v>
      </c>
      <c r="C1727" s="687">
        <v>5966724</v>
      </c>
      <c r="D1727" s="688" t="s">
        <v>68</v>
      </c>
      <c r="E1727" s="689">
        <v>0.01</v>
      </c>
      <c r="F1727" s="687">
        <f t="shared" si="26"/>
        <v>59667.24</v>
      </c>
    </row>
    <row r="1728" spans="1:6">
      <c r="A1728" s="685"/>
      <c r="B1728" s="686">
        <v>2632</v>
      </c>
      <c r="C1728" s="687">
        <v>15220500</v>
      </c>
      <c r="D1728" s="688" t="s">
        <v>68</v>
      </c>
      <c r="E1728" s="689">
        <v>0.01</v>
      </c>
      <c r="F1728" s="687">
        <f t="shared" si="26"/>
        <v>152205</v>
      </c>
    </row>
    <row r="1729" spans="1:6">
      <c r="A1729" s="685"/>
      <c r="B1729" s="686">
        <v>1214</v>
      </c>
      <c r="C1729" s="687">
        <v>6186789</v>
      </c>
      <c r="D1729" s="688" t="s">
        <v>503</v>
      </c>
      <c r="E1729" s="689">
        <v>0</v>
      </c>
      <c r="F1729" s="687">
        <f t="shared" si="26"/>
        <v>0</v>
      </c>
    </row>
    <row r="1730" spans="1:6">
      <c r="A1730" s="685"/>
      <c r="B1730" s="686">
        <v>1648</v>
      </c>
      <c r="C1730" s="687">
        <v>18876</v>
      </c>
      <c r="D1730" s="688" t="s">
        <v>68</v>
      </c>
      <c r="E1730" s="689">
        <v>0.01</v>
      </c>
      <c r="F1730" s="687">
        <f t="shared" si="26"/>
        <v>188.76</v>
      </c>
    </row>
    <row r="1731" spans="1:6">
      <c r="A1731" s="685"/>
      <c r="B1731" s="686">
        <v>1668</v>
      </c>
      <c r="C1731" s="687">
        <v>148100</v>
      </c>
      <c r="D1731" s="688" t="s">
        <v>68</v>
      </c>
      <c r="E1731" s="689">
        <v>0.01</v>
      </c>
      <c r="F1731" s="687">
        <f t="shared" ref="F1731:F1794" si="27">+C1731*E1731</f>
        <v>1481</v>
      </c>
    </row>
    <row r="1732" spans="1:6">
      <c r="A1732" s="685"/>
      <c r="B1732" s="686">
        <v>711</v>
      </c>
      <c r="C1732" s="687">
        <v>726082</v>
      </c>
      <c r="D1732" s="688" t="s">
        <v>68</v>
      </c>
      <c r="E1732" s="689">
        <v>0.1</v>
      </c>
      <c r="F1732" s="687">
        <f t="shared" si="27"/>
        <v>72608.2</v>
      </c>
    </row>
    <row r="1733" spans="1:6">
      <c r="A1733" s="685"/>
      <c r="B1733" s="686">
        <v>1368</v>
      </c>
      <c r="C1733" s="687">
        <v>694200</v>
      </c>
      <c r="D1733" s="688" t="s">
        <v>68</v>
      </c>
      <c r="E1733" s="689">
        <v>0.01</v>
      </c>
      <c r="F1733" s="687">
        <f t="shared" si="27"/>
        <v>6942</v>
      </c>
    </row>
    <row r="1734" spans="1:6">
      <c r="A1734" s="685"/>
      <c r="B1734" s="686">
        <v>695</v>
      </c>
      <c r="C1734" s="687">
        <v>152250</v>
      </c>
      <c r="D1734" s="688" t="s">
        <v>68</v>
      </c>
      <c r="E1734" s="689">
        <v>0.1</v>
      </c>
      <c r="F1734" s="687">
        <f t="shared" si="27"/>
        <v>15225</v>
      </c>
    </row>
    <row r="1735" spans="1:6">
      <c r="A1735" s="685"/>
      <c r="B1735" s="686">
        <v>834</v>
      </c>
      <c r="C1735" s="687">
        <v>1243280</v>
      </c>
      <c r="D1735" s="688" t="s">
        <v>68</v>
      </c>
      <c r="E1735" s="689">
        <v>0.05</v>
      </c>
      <c r="F1735" s="687">
        <f t="shared" si="27"/>
        <v>62164</v>
      </c>
    </row>
    <row r="1736" spans="1:6">
      <c r="A1736" s="685"/>
      <c r="B1736" s="686">
        <v>800</v>
      </c>
      <c r="C1736" s="687">
        <v>868400</v>
      </c>
      <c r="D1736" s="688" t="s">
        <v>68</v>
      </c>
      <c r="E1736" s="689">
        <v>0.05</v>
      </c>
      <c r="F1736" s="687">
        <f t="shared" si="27"/>
        <v>43420</v>
      </c>
    </row>
    <row r="1737" spans="1:6">
      <c r="A1737" s="685"/>
      <c r="B1737" s="686">
        <v>785</v>
      </c>
      <c r="C1737" s="687">
        <v>454000</v>
      </c>
      <c r="D1737" s="688" t="s">
        <v>68</v>
      </c>
      <c r="E1737" s="689">
        <v>0.05</v>
      </c>
      <c r="F1737" s="687">
        <f t="shared" si="27"/>
        <v>22700</v>
      </c>
    </row>
    <row r="1738" spans="1:6">
      <c r="A1738" s="685"/>
      <c r="B1738" s="686">
        <v>694</v>
      </c>
      <c r="C1738" s="687">
        <v>145100</v>
      </c>
      <c r="D1738" s="688" t="s">
        <v>68</v>
      </c>
      <c r="E1738" s="689">
        <v>0.1</v>
      </c>
      <c r="F1738" s="687">
        <f t="shared" si="27"/>
        <v>14510</v>
      </c>
    </row>
    <row r="1739" spans="1:6">
      <c r="A1739" s="685"/>
      <c r="B1739" s="686">
        <v>641</v>
      </c>
      <c r="C1739" s="687">
        <v>121450</v>
      </c>
      <c r="D1739" s="688" t="s">
        <v>68</v>
      </c>
      <c r="E1739" s="689">
        <v>0.1</v>
      </c>
      <c r="F1739" s="687">
        <f t="shared" si="27"/>
        <v>12145</v>
      </c>
    </row>
    <row r="1740" spans="1:6">
      <c r="A1740" s="685"/>
      <c r="B1740" s="686">
        <v>2399</v>
      </c>
      <c r="C1740" s="687">
        <v>434683</v>
      </c>
      <c r="D1740" s="688" t="s">
        <v>68</v>
      </c>
      <c r="E1740" s="689">
        <v>0.01</v>
      </c>
      <c r="F1740" s="687">
        <f t="shared" si="27"/>
        <v>4346.83</v>
      </c>
    </row>
    <row r="1741" spans="1:6">
      <c r="A1741" s="685"/>
      <c r="B1741" s="686">
        <v>2399</v>
      </c>
      <c r="C1741" s="687">
        <v>37492</v>
      </c>
      <c r="D1741" s="688" t="s">
        <v>68</v>
      </c>
      <c r="E1741" s="689">
        <v>0.01</v>
      </c>
      <c r="F1741" s="687">
        <f t="shared" si="27"/>
        <v>374.92</v>
      </c>
    </row>
    <row r="1742" spans="1:6">
      <c r="A1742" s="685"/>
      <c r="B1742" s="686">
        <v>625</v>
      </c>
      <c r="C1742" s="687">
        <v>1151154</v>
      </c>
      <c r="D1742" s="688" t="s">
        <v>68</v>
      </c>
      <c r="E1742" s="689">
        <v>0.1</v>
      </c>
      <c r="F1742" s="687">
        <f t="shared" si="27"/>
        <v>115115.40000000001</v>
      </c>
    </row>
    <row r="1743" spans="1:6">
      <c r="A1743" s="685"/>
      <c r="B1743" s="686">
        <v>601</v>
      </c>
      <c r="C1743" s="687">
        <v>34000</v>
      </c>
      <c r="D1743" s="688" t="s">
        <v>68</v>
      </c>
      <c r="E1743" s="689">
        <v>0.1</v>
      </c>
      <c r="F1743" s="687">
        <f t="shared" si="27"/>
        <v>3400</v>
      </c>
    </row>
    <row r="1744" spans="1:6">
      <c r="A1744" s="685"/>
      <c r="B1744" s="686">
        <v>1228</v>
      </c>
      <c r="C1744" s="687">
        <v>4920000</v>
      </c>
      <c r="D1744" s="688" t="s">
        <v>68</v>
      </c>
      <c r="E1744" s="689">
        <v>0.01</v>
      </c>
      <c r="F1744" s="687">
        <f t="shared" si="27"/>
        <v>49200</v>
      </c>
    </row>
    <row r="1745" spans="1:6">
      <c r="A1745" s="685"/>
      <c r="B1745" s="686">
        <v>1501</v>
      </c>
      <c r="C1745" s="687">
        <v>21163380</v>
      </c>
      <c r="D1745" s="688" t="s">
        <v>68</v>
      </c>
      <c r="E1745" s="689">
        <v>0.01</v>
      </c>
      <c r="F1745" s="687">
        <f t="shared" si="27"/>
        <v>211633.80000000002</v>
      </c>
    </row>
    <row r="1746" spans="1:6">
      <c r="A1746" s="685"/>
      <c r="B1746" s="686">
        <v>1612</v>
      </c>
      <c r="C1746" s="687">
        <v>1424000</v>
      </c>
      <c r="D1746" s="688" t="s">
        <v>68</v>
      </c>
      <c r="E1746" s="689">
        <v>0.01</v>
      </c>
      <c r="F1746" s="687">
        <f t="shared" si="27"/>
        <v>14240</v>
      </c>
    </row>
    <row r="1747" spans="1:6">
      <c r="A1747" s="685"/>
      <c r="B1747" s="686">
        <v>1462</v>
      </c>
      <c r="C1747" s="687">
        <v>11815473</v>
      </c>
      <c r="D1747" s="688" t="s">
        <v>68</v>
      </c>
      <c r="E1747" s="689">
        <v>0.01</v>
      </c>
      <c r="F1747" s="687">
        <f t="shared" si="27"/>
        <v>118154.73</v>
      </c>
    </row>
    <row r="1748" spans="1:6">
      <c r="A1748" s="685"/>
      <c r="B1748" s="686">
        <v>1599</v>
      </c>
      <c r="C1748" s="687">
        <v>421950</v>
      </c>
      <c r="D1748" s="688" t="s">
        <v>68</v>
      </c>
      <c r="E1748" s="689">
        <v>0.01</v>
      </c>
      <c r="F1748" s="687">
        <f t="shared" si="27"/>
        <v>4219.5</v>
      </c>
    </row>
    <row r="1749" spans="1:6">
      <c r="A1749" s="685"/>
      <c r="B1749" s="686">
        <v>1599</v>
      </c>
      <c r="C1749" s="687">
        <v>1847700</v>
      </c>
      <c r="D1749" s="688" t="s">
        <v>68</v>
      </c>
      <c r="E1749" s="689">
        <v>0.01</v>
      </c>
      <c r="F1749" s="687">
        <f t="shared" si="27"/>
        <v>18477</v>
      </c>
    </row>
    <row r="1750" spans="1:6">
      <c r="A1750" s="685"/>
      <c r="B1750" s="686">
        <v>1599</v>
      </c>
      <c r="C1750" s="687">
        <v>22590</v>
      </c>
      <c r="D1750" s="688" t="s">
        <v>68</v>
      </c>
      <c r="E1750" s="689">
        <v>0.01</v>
      </c>
      <c r="F1750" s="687">
        <f t="shared" si="27"/>
        <v>225.9</v>
      </c>
    </row>
    <row r="1751" spans="1:6">
      <c r="A1751" s="685"/>
      <c r="B1751" s="686">
        <v>1595</v>
      </c>
      <c r="C1751" s="687">
        <v>45400</v>
      </c>
      <c r="D1751" s="688" t="s">
        <v>68</v>
      </c>
      <c r="E1751" s="689">
        <v>0.01</v>
      </c>
      <c r="F1751" s="687">
        <f t="shared" si="27"/>
        <v>454</v>
      </c>
    </row>
    <row r="1752" spans="1:6">
      <c r="A1752" s="685"/>
      <c r="B1752" s="686">
        <v>1593</v>
      </c>
      <c r="C1752" s="687">
        <v>2348590</v>
      </c>
      <c r="D1752" s="688" t="s">
        <v>68</v>
      </c>
      <c r="E1752" s="689">
        <v>0.01</v>
      </c>
      <c r="F1752" s="687">
        <f t="shared" si="27"/>
        <v>23485.9</v>
      </c>
    </row>
    <row r="1753" spans="1:6">
      <c r="A1753" s="685"/>
      <c r="B1753" s="686">
        <v>1592</v>
      </c>
      <c r="C1753" s="687">
        <v>2197250</v>
      </c>
      <c r="D1753" s="688" t="s">
        <v>68</v>
      </c>
      <c r="E1753" s="689">
        <v>0.01</v>
      </c>
      <c r="F1753" s="687">
        <f t="shared" si="27"/>
        <v>21972.5</v>
      </c>
    </row>
    <row r="1754" spans="1:6">
      <c r="A1754" s="685"/>
      <c r="B1754" s="686">
        <v>1592</v>
      </c>
      <c r="C1754" s="687">
        <v>19850</v>
      </c>
      <c r="D1754" s="688" t="s">
        <v>68</v>
      </c>
      <c r="E1754" s="689">
        <v>0.01</v>
      </c>
      <c r="F1754" s="687">
        <f t="shared" si="27"/>
        <v>198.5</v>
      </c>
    </row>
    <row r="1755" spans="1:6">
      <c r="A1755" s="685"/>
      <c r="B1755" s="686">
        <v>1588</v>
      </c>
      <c r="C1755" s="687">
        <v>57340</v>
      </c>
      <c r="D1755" s="688" t="s">
        <v>68</v>
      </c>
      <c r="E1755" s="689">
        <v>0.01</v>
      </c>
      <c r="F1755" s="687">
        <f t="shared" si="27"/>
        <v>573.4</v>
      </c>
    </row>
    <row r="1756" spans="1:6">
      <c r="A1756" s="685"/>
      <c r="B1756" s="686">
        <v>1588</v>
      </c>
      <c r="C1756" s="687">
        <v>48200</v>
      </c>
      <c r="D1756" s="688" t="s">
        <v>68</v>
      </c>
      <c r="E1756" s="689">
        <v>0.01</v>
      </c>
      <c r="F1756" s="687">
        <f t="shared" si="27"/>
        <v>482</v>
      </c>
    </row>
    <row r="1757" spans="1:6">
      <c r="A1757" s="685"/>
      <c r="B1757" s="686">
        <v>1586</v>
      </c>
      <c r="C1757" s="687">
        <v>3122600</v>
      </c>
      <c r="D1757" s="688" t="s">
        <v>68</v>
      </c>
      <c r="E1757" s="689">
        <v>0.01</v>
      </c>
      <c r="F1757" s="687">
        <f t="shared" si="27"/>
        <v>31226</v>
      </c>
    </row>
    <row r="1758" spans="1:6">
      <c r="A1758" s="685"/>
      <c r="B1758" s="686">
        <v>1586</v>
      </c>
      <c r="C1758" s="687">
        <v>4523807</v>
      </c>
      <c r="D1758" s="688" t="s">
        <v>68</v>
      </c>
      <c r="E1758" s="689">
        <v>0.01</v>
      </c>
      <c r="F1758" s="687">
        <f t="shared" si="27"/>
        <v>45238.07</v>
      </c>
    </row>
    <row r="1759" spans="1:6">
      <c r="A1759" s="685"/>
      <c r="B1759" s="686">
        <v>1582</v>
      </c>
      <c r="C1759" s="687">
        <v>46050</v>
      </c>
      <c r="D1759" s="688" t="s">
        <v>68</v>
      </c>
      <c r="E1759" s="689">
        <v>0.01</v>
      </c>
      <c r="F1759" s="687">
        <f t="shared" si="27"/>
        <v>460.5</v>
      </c>
    </row>
    <row r="1760" spans="1:6">
      <c r="A1760" s="685"/>
      <c r="B1760" s="686">
        <v>1581</v>
      </c>
      <c r="C1760" s="687">
        <v>1631650</v>
      </c>
      <c r="D1760" s="688" t="s">
        <v>68</v>
      </c>
      <c r="E1760" s="689">
        <v>0.01</v>
      </c>
      <c r="F1760" s="687">
        <f t="shared" si="27"/>
        <v>16316.5</v>
      </c>
    </row>
    <row r="1761" spans="1:6">
      <c r="A1761" s="685"/>
      <c r="B1761" s="686">
        <v>1581</v>
      </c>
      <c r="C1761" s="687">
        <v>171250</v>
      </c>
      <c r="D1761" s="688" t="s">
        <v>68</v>
      </c>
      <c r="E1761" s="689">
        <v>0.01</v>
      </c>
      <c r="F1761" s="687">
        <f t="shared" si="27"/>
        <v>1712.5</v>
      </c>
    </row>
    <row r="1762" spans="1:6">
      <c r="A1762" s="685"/>
      <c r="B1762" s="686">
        <v>1580</v>
      </c>
      <c r="C1762" s="687">
        <v>49450</v>
      </c>
      <c r="D1762" s="688" t="s">
        <v>68</v>
      </c>
      <c r="E1762" s="689">
        <v>0.01</v>
      </c>
      <c r="F1762" s="687">
        <f t="shared" si="27"/>
        <v>494.5</v>
      </c>
    </row>
    <row r="1763" spans="1:6">
      <c r="A1763" s="685"/>
      <c r="B1763" s="686">
        <v>1580</v>
      </c>
      <c r="C1763" s="687">
        <v>1883250</v>
      </c>
      <c r="D1763" s="688" t="s">
        <v>68</v>
      </c>
      <c r="E1763" s="689">
        <v>0.01</v>
      </c>
      <c r="F1763" s="687">
        <f t="shared" si="27"/>
        <v>18832.5</v>
      </c>
    </row>
    <row r="1764" spans="1:6">
      <c r="A1764" s="685"/>
      <c r="B1764" s="686">
        <v>1580</v>
      </c>
      <c r="C1764" s="687">
        <v>53700</v>
      </c>
      <c r="D1764" s="688" t="s">
        <v>68</v>
      </c>
      <c r="E1764" s="689">
        <v>0.01</v>
      </c>
      <c r="F1764" s="687">
        <f t="shared" si="27"/>
        <v>537</v>
      </c>
    </row>
    <row r="1765" spans="1:6">
      <c r="A1765" s="685"/>
      <c r="B1765" s="686">
        <v>1579</v>
      </c>
      <c r="C1765" s="687">
        <v>25050</v>
      </c>
      <c r="D1765" s="688" t="s">
        <v>68</v>
      </c>
      <c r="E1765" s="689">
        <v>0.01</v>
      </c>
      <c r="F1765" s="687">
        <f t="shared" si="27"/>
        <v>250.5</v>
      </c>
    </row>
    <row r="1766" spans="1:6">
      <c r="A1766" s="685"/>
      <c r="B1766" s="686">
        <v>1578</v>
      </c>
      <c r="C1766" s="687">
        <v>668900</v>
      </c>
      <c r="D1766" s="688" t="s">
        <v>68</v>
      </c>
      <c r="E1766" s="689">
        <v>0.01</v>
      </c>
      <c r="F1766" s="687">
        <f t="shared" si="27"/>
        <v>6689</v>
      </c>
    </row>
    <row r="1767" spans="1:6">
      <c r="A1767" s="685"/>
      <c r="B1767" s="686">
        <v>1578</v>
      </c>
      <c r="C1767" s="687">
        <v>165740</v>
      </c>
      <c r="D1767" s="688" t="s">
        <v>68</v>
      </c>
      <c r="E1767" s="689">
        <v>0.01</v>
      </c>
      <c r="F1767" s="687">
        <f t="shared" si="27"/>
        <v>1657.4</v>
      </c>
    </row>
    <row r="1768" spans="1:6">
      <c r="A1768" s="685"/>
      <c r="B1768" s="686">
        <v>1578</v>
      </c>
      <c r="C1768" s="687">
        <v>347650</v>
      </c>
      <c r="D1768" s="688" t="s">
        <v>68</v>
      </c>
      <c r="E1768" s="689">
        <v>0.01</v>
      </c>
      <c r="F1768" s="687">
        <f t="shared" si="27"/>
        <v>3476.5</v>
      </c>
    </row>
    <row r="1769" spans="1:6">
      <c r="A1769" s="685"/>
      <c r="B1769" s="686">
        <v>1577</v>
      </c>
      <c r="C1769" s="687">
        <v>24690</v>
      </c>
      <c r="D1769" s="688" t="s">
        <v>68</v>
      </c>
      <c r="E1769" s="689">
        <v>0.01</v>
      </c>
      <c r="F1769" s="687">
        <f t="shared" si="27"/>
        <v>246.9</v>
      </c>
    </row>
    <row r="1770" spans="1:6">
      <c r="A1770" s="685"/>
      <c r="B1770" s="686">
        <v>1575</v>
      </c>
      <c r="C1770" s="687">
        <v>337950</v>
      </c>
      <c r="D1770" s="688" t="s">
        <v>68</v>
      </c>
      <c r="E1770" s="689">
        <v>0.01</v>
      </c>
      <c r="F1770" s="687">
        <f t="shared" si="27"/>
        <v>3379.5</v>
      </c>
    </row>
    <row r="1771" spans="1:6">
      <c r="A1771" s="685"/>
      <c r="B1771" s="686">
        <v>1575</v>
      </c>
      <c r="C1771" s="687">
        <v>136700</v>
      </c>
      <c r="D1771" s="688" t="s">
        <v>68</v>
      </c>
      <c r="E1771" s="689">
        <v>0.01</v>
      </c>
      <c r="F1771" s="687">
        <f t="shared" si="27"/>
        <v>1367</v>
      </c>
    </row>
    <row r="1772" spans="1:6">
      <c r="A1772" s="685"/>
      <c r="B1772" s="686">
        <v>1573</v>
      </c>
      <c r="C1772" s="687">
        <v>133250</v>
      </c>
      <c r="D1772" s="688" t="s">
        <v>68</v>
      </c>
      <c r="E1772" s="689">
        <v>0.01</v>
      </c>
      <c r="F1772" s="687">
        <f t="shared" si="27"/>
        <v>1332.5</v>
      </c>
    </row>
    <row r="1773" spans="1:6">
      <c r="A1773" s="685"/>
      <c r="B1773" s="686">
        <v>1570</v>
      </c>
      <c r="C1773" s="687">
        <v>180730</v>
      </c>
      <c r="D1773" s="688" t="s">
        <v>68</v>
      </c>
      <c r="E1773" s="689">
        <v>0.01</v>
      </c>
      <c r="F1773" s="687">
        <f t="shared" si="27"/>
        <v>1807.3</v>
      </c>
    </row>
    <row r="1774" spans="1:6">
      <c r="A1774" s="685"/>
      <c r="B1774" s="686">
        <v>1566</v>
      </c>
      <c r="C1774" s="687">
        <v>276250</v>
      </c>
      <c r="D1774" s="688" t="s">
        <v>68</v>
      </c>
      <c r="E1774" s="689">
        <v>0.01</v>
      </c>
      <c r="F1774" s="687">
        <f t="shared" si="27"/>
        <v>2762.5</v>
      </c>
    </row>
    <row r="1775" spans="1:6">
      <c r="A1775" s="685"/>
      <c r="B1775" s="686">
        <v>1565</v>
      </c>
      <c r="C1775" s="687">
        <v>170040</v>
      </c>
      <c r="D1775" s="688" t="s">
        <v>68</v>
      </c>
      <c r="E1775" s="689">
        <v>0.01</v>
      </c>
      <c r="F1775" s="687">
        <f t="shared" si="27"/>
        <v>1700.4</v>
      </c>
    </row>
    <row r="1776" spans="1:6">
      <c r="A1776" s="685"/>
      <c r="B1776" s="686">
        <v>1565</v>
      </c>
      <c r="C1776" s="687">
        <v>42200</v>
      </c>
      <c r="D1776" s="688" t="s">
        <v>68</v>
      </c>
      <c r="E1776" s="689">
        <v>0.01</v>
      </c>
      <c r="F1776" s="687">
        <f t="shared" si="27"/>
        <v>422</v>
      </c>
    </row>
    <row r="1777" spans="1:6">
      <c r="A1777" s="685"/>
      <c r="B1777" s="686">
        <v>1562</v>
      </c>
      <c r="C1777" s="687">
        <v>71950</v>
      </c>
      <c r="D1777" s="688" t="s">
        <v>68</v>
      </c>
      <c r="E1777" s="689">
        <v>0.01</v>
      </c>
      <c r="F1777" s="687">
        <f t="shared" si="27"/>
        <v>719.5</v>
      </c>
    </row>
    <row r="1778" spans="1:6">
      <c r="A1778" s="685"/>
      <c r="B1778" s="686">
        <v>1552</v>
      </c>
      <c r="C1778" s="687">
        <v>220500</v>
      </c>
      <c r="D1778" s="688" t="s">
        <v>68</v>
      </c>
      <c r="E1778" s="689">
        <v>0.01</v>
      </c>
      <c r="F1778" s="687">
        <f t="shared" si="27"/>
        <v>2205</v>
      </c>
    </row>
    <row r="1779" spans="1:6">
      <c r="A1779" s="685"/>
      <c r="B1779" s="686">
        <v>1547</v>
      </c>
      <c r="C1779" s="687">
        <v>14350</v>
      </c>
      <c r="D1779" s="688" t="s">
        <v>68</v>
      </c>
      <c r="E1779" s="689">
        <v>0.01</v>
      </c>
      <c r="F1779" s="687">
        <f t="shared" si="27"/>
        <v>143.5</v>
      </c>
    </row>
    <row r="1780" spans="1:6">
      <c r="A1780" s="685"/>
      <c r="B1780" s="686">
        <v>1545</v>
      </c>
      <c r="C1780" s="687">
        <v>450700</v>
      </c>
      <c r="D1780" s="688" t="s">
        <v>68</v>
      </c>
      <c r="E1780" s="689">
        <v>0.01</v>
      </c>
      <c r="F1780" s="687">
        <f t="shared" si="27"/>
        <v>4507</v>
      </c>
    </row>
    <row r="1781" spans="1:6">
      <c r="A1781" s="685"/>
      <c r="B1781" s="686">
        <v>1540</v>
      </c>
      <c r="C1781" s="687">
        <v>37450</v>
      </c>
      <c r="D1781" s="688" t="s">
        <v>68</v>
      </c>
      <c r="E1781" s="689">
        <v>0.01</v>
      </c>
      <c r="F1781" s="687">
        <f t="shared" si="27"/>
        <v>374.5</v>
      </c>
    </row>
    <row r="1782" spans="1:6">
      <c r="A1782" s="685"/>
      <c r="B1782" s="686">
        <v>1538</v>
      </c>
      <c r="C1782" s="687">
        <v>225350</v>
      </c>
      <c r="D1782" s="688" t="s">
        <v>68</v>
      </c>
      <c r="E1782" s="689">
        <v>0.01</v>
      </c>
      <c r="F1782" s="687">
        <f t="shared" si="27"/>
        <v>2253.5</v>
      </c>
    </row>
    <row r="1783" spans="1:6">
      <c r="A1783" s="685"/>
      <c r="B1783" s="686">
        <v>1535</v>
      </c>
      <c r="C1783" s="687">
        <v>64200</v>
      </c>
      <c r="D1783" s="688" t="s">
        <v>68</v>
      </c>
      <c r="E1783" s="689">
        <v>0.01</v>
      </c>
      <c r="F1783" s="687">
        <f t="shared" si="27"/>
        <v>642</v>
      </c>
    </row>
    <row r="1784" spans="1:6">
      <c r="A1784" s="685"/>
      <c r="B1784" s="686">
        <v>1529</v>
      </c>
      <c r="C1784" s="687">
        <v>34400</v>
      </c>
      <c r="D1784" s="688" t="s">
        <v>68</v>
      </c>
      <c r="E1784" s="689">
        <v>0.01</v>
      </c>
      <c r="F1784" s="687">
        <f t="shared" si="27"/>
        <v>344</v>
      </c>
    </row>
    <row r="1785" spans="1:6">
      <c r="A1785" s="685"/>
      <c r="B1785" s="686">
        <v>1519</v>
      </c>
      <c r="C1785" s="687">
        <v>24431400</v>
      </c>
      <c r="D1785" s="688" t="s">
        <v>68</v>
      </c>
      <c r="E1785" s="689">
        <v>0.01</v>
      </c>
      <c r="F1785" s="687">
        <f t="shared" si="27"/>
        <v>244314</v>
      </c>
    </row>
    <row r="1786" spans="1:6">
      <c r="A1786" s="685"/>
      <c r="B1786" s="686">
        <v>1519</v>
      </c>
      <c r="C1786" s="687">
        <v>20359500</v>
      </c>
      <c r="D1786" s="688" t="s">
        <v>68</v>
      </c>
      <c r="E1786" s="689">
        <v>0.01</v>
      </c>
      <c r="F1786" s="687">
        <f t="shared" si="27"/>
        <v>203595</v>
      </c>
    </row>
    <row r="1787" spans="1:6">
      <c r="A1787" s="685"/>
      <c r="B1787" s="686">
        <v>1516</v>
      </c>
      <c r="C1787" s="687">
        <v>60500</v>
      </c>
      <c r="D1787" s="688" t="s">
        <v>68</v>
      </c>
      <c r="E1787" s="689">
        <v>0.01</v>
      </c>
      <c r="F1787" s="687">
        <f t="shared" si="27"/>
        <v>605</v>
      </c>
    </row>
    <row r="1788" spans="1:6">
      <c r="A1788" s="685"/>
      <c r="B1788" s="686">
        <v>1512</v>
      </c>
      <c r="C1788" s="687">
        <v>3259100</v>
      </c>
      <c r="D1788" s="688" t="s">
        <v>68</v>
      </c>
      <c r="E1788" s="689">
        <v>0.01</v>
      </c>
      <c r="F1788" s="687">
        <f t="shared" si="27"/>
        <v>32591</v>
      </c>
    </row>
    <row r="1789" spans="1:6">
      <c r="A1789" s="685"/>
      <c r="B1789" s="686">
        <v>1512</v>
      </c>
      <c r="C1789" s="687">
        <v>166400</v>
      </c>
      <c r="D1789" s="688" t="s">
        <v>68</v>
      </c>
      <c r="E1789" s="689">
        <v>0.01</v>
      </c>
      <c r="F1789" s="687">
        <f t="shared" si="27"/>
        <v>1664</v>
      </c>
    </row>
    <row r="1790" spans="1:6">
      <c r="A1790" s="685"/>
      <c r="B1790" s="686">
        <v>1512</v>
      </c>
      <c r="C1790" s="687">
        <v>32850</v>
      </c>
      <c r="D1790" s="688" t="s">
        <v>68</v>
      </c>
      <c r="E1790" s="689">
        <v>0.01</v>
      </c>
      <c r="F1790" s="687">
        <f t="shared" si="27"/>
        <v>328.5</v>
      </c>
    </row>
    <row r="1791" spans="1:6">
      <c r="A1791" s="685"/>
      <c r="B1791" s="686">
        <v>1509</v>
      </c>
      <c r="C1791" s="687">
        <v>450700</v>
      </c>
      <c r="D1791" s="688" t="s">
        <v>68</v>
      </c>
      <c r="E1791" s="689">
        <v>0.01</v>
      </c>
      <c r="F1791" s="687">
        <f t="shared" si="27"/>
        <v>4507</v>
      </c>
    </row>
    <row r="1792" spans="1:6">
      <c r="A1792" s="685"/>
      <c r="B1792" s="686">
        <v>1506</v>
      </c>
      <c r="C1792" s="687">
        <v>33850</v>
      </c>
      <c r="D1792" s="688" t="s">
        <v>68</v>
      </c>
      <c r="E1792" s="689">
        <v>0.01</v>
      </c>
      <c r="F1792" s="687">
        <f t="shared" si="27"/>
        <v>338.5</v>
      </c>
    </row>
    <row r="1793" spans="1:6">
      <c r="A1793" s="685"/>
      <c r="B1793" s="686">
        <v>1504</v>
      </c>
      <c r="C1793" s="687">
        <v>71800</v>
      </c>
      <c r="D1793" s="688" t="s">
        <v>68</v>
      </c>
      <c r="E1793" s="689">
        <v>0.01</v>
      </c>
      <c r="F1793" s="687">
        <f t="shared" si="27"/>
        <v>718</v>
      </c>
    </row>
    <row r="1794" spans="1:6">
      <c r="A1794" s="685"/>
      <c r="B1794" s="686">
        <v>1503</v>
      </c>
      <c r="C1794" s="687">
        <v>59150</v>
      </c>
      <c r="D1794" s="688" t="s">
        <v>68</v>
      </c>
      <c r="E1794" s="689">
        <v>0.01</v>
      </c>
      <c r="F1794" s="687">
        <f t="shared" si="27"/>
        <v>591.5</v>
      </c>
    </row>
    <row r="1795" spans="1:6">
      <c r="A1795" s="685"/>
      <c r="B1795" s="686">
        <v>1498</v>
      </c>
      <c r="C1795" s="687">
        <v>96800</v>
      </c>
      <c r="D1795" s="688" t="s">
        <v>68</v>
      </c>
      <c r="E1795" s="689">
        <v>0.01</v>
      </c>
      <c r="F1795" s="687">
        <f t="shared" ref="F1795:F1858" si="28">+C1795*E1795</f>
        <v>968</v>
      </c>
    </row>
    <row r="1796" spans="1:6">
      <c r="A1796" s="685"/>
      <c r="B1796" s="686">
        <v>1491</v>
      </c>
      <c r="C1796" s="687">
        <v>225350</v>
      </c>
      <c r="D1796" s="688" t="s">
        <v>68</v>
      </c>
      <c r="E1796" s="689">
        <v>0.01</v>
      </c>
      <c r="F1796" s="687">
        <f t="shared" si="28"/>
        <v>2253.5</v>
      </c>
    </row>
    <row r="1797" spans="1:6">
      <c r="A1797" s="685"/>
      <c r="B1797" s="686">
        <v>1476</v>
      </c>
      <c r="C1797" s="687">
        <v>169900</v>
      </c>
      <c r="D1797" s="688" t="s">
        <v>68</v>
      </c>
      <c r="E1797" s="689">
        <v>0.01</v>
      </c>
      <c r="F1797" s="687">
        <f t="shared" si="28"/>
        <v>1699</v>
      </c>
    </row>
    <row r="1798" spans="1:6">
      <c r="A1798" s="685"/>
      <c r="B1798" s="686">
        <v>2260</v>
      </c>
      <c r="C1798" s="687">
        <v>675000</v>
      </c>
      <c r="D1798" s="688" t="s">
        <v>68</v>
      </c>
      <c r="E1798" s="689">
        <v>0.01</v>
      </c>
      <c r="F1798" s="687">
        <f t="shared" si="28"/>
        <v>6750</v>
      </c>
    </row>
    <row r="1799" spans="1:6">
      <c r="A1799" s="685"/>
      <c r="B1799" s="686">
        <v>575</v>
      </c>
      <c r="C1799" s="687">
        <v>409250</v>
      </c>
      <c r="D1799" s="688" t="s">
        <v>68</v>
      </c>
      <c r="E1799" s="689">
        <v>0.1</v>
      </c>
      <c r="F1799" s="687">
        <f t="shared" si="28"/>
        <v>40925</v>
      </c>
    </row>
    <row r="1800" spans="1:6">
      <c r="A1800" s="685"/>
      <c r="B1800" s="686">
        <v>566</v>
      </c>
      <c r="C1800" s="687">
        <v>525800</v>
      </c>
      <c r="D1800" s="688" t="s">
        <v>68</v>
      </c>
      <c r="E1800" s="689">
        <v>0.1</v>
      </c>
      <c r="F1800" s="687">
        <f t="shared" si="28"/>
        <v>52580</v>
      </c>
    </row>
    <row r="1801" spans="1:6">
      <c r="A1801" s="685"/>
      <c r="B1801" s="686">
        <v>625</v>
      </c>
      <c r="C1801" s="687">
        <v>974000</v>
      </c>
      <c r="D1801" s="688" t="s">
        <v>68</v>
      </c>
      <c r="E1801" s="689">
        <v>0.1</v>
      </c>
      <c r="F1801" s="687">
        <f t="shared" si="28"/>
        <v>97400</v>
      </c>
    </row>
    <row r="1802" spans="1:6">
      <c r="A1802" s="685"/>
      <c r="B1802" s="686">
        <v>584</v>
      </c>
      <c r="C1802" s="687">
        <v>523800</v>
      </c>
      <c r="D1802" s="688" t="s">
        <v>68</v>
      </c>
      <c r="E1802" s="689">
        <v>0.1</v>
      </c>
      <c r="F1802" s="687">
        <f t="shared" si="28"/>
        <v>52380</v>
      </c>
    </row>
    <row r="1803" spans="1:6">
      <c r="A1803" s="685"/>
      <c r="B1803" s="686">
        <v>569</v>
      </c>
      <c r="C1803" s="687">
        <v>4700000</v>
      </c>
      <c r="D1803" s="688" t="s">
        <v>68</v>
      </c>
      <c r="E1803" s="689">
        <v>0.1</v>
      </c>
      <c r="F1803" s="687">
        <f t="shared" si="28"/>
        <v>470000</v>
      </c>
    </row>
    <row r="1804" spans="1:6">
      <c r="A1804" s="685"/>
      <c r="B1804" s="686">
        <v>1457</v>
      </c>
      <c r="C1804" s="687">
        <v>2452000</v>
      </c>
      <c r="D1804" s="688" t="s">
        <v>68</v>
      </c>
      <c r="E1804" s="689">
        <v>0.01</v>
      </c>
      <c r="F1804" s="687">
        <f t="shared" si="28"/>
        <v>24520</v>
      </c>
    </row>
    <row r="1805" spans="1:6">
      <c r="A1805" s="685"/>
      <c r="B1805" s="686">
        <v>631</v>
      </c>
      <c r="C1805" s="687">
        <v>357900</v>
      </c>
      <c r="D1805" s="688" t="s">
        <v>68</v>
      </c>
      <c r="E1805" s="689">
        <v>0.1</v>
      </c>
      <c r="F1805" s="687">
        <f t="shared" si="28"/>
        <v>35790</v>
      </c>
    </row>
    <row r="1806" spans="1:6">
      <c r="A1806" s="685"/>
      <c r="B1806" s="686">
        <v>643</v>
      </c>
      <c r="C1806" s="687">
        <v>1810000</v>
      </c>
      <c r="D1806" s="688" t="s">
        <v>68</v>
      </c>
      <c r="E1806" s="689">
        <v>0.1</v>
      </c>
      <c r="F1806" s="687">
        <f t="shared" si="28"/>
        <v>181000</v>
      </c>
    </row>
    <row r="1807" spans="1:6">
      <c r="A1807" s="685"/>
      <c r="B1807" s="686">
        <v>571</v>
      </c>
      <c r="C1807" s="687">
        <v>500000</v>
      </c>
      <c r="D1807" s="688" t="s">
        <v>68</v>
      </c>
      <c r="E1807" s="689">
        <v>0.1</v>
      </c>
      <c r="F1807" s="687">
        <f t="shared" si="28"/>
        <v>50000</v>
      </c>
    </row>
    <row r="1808" spans="1:6">
      <c r="A1808" s="685"/>
      <c r="B1808" s="686">
        <v>583</v>
      </c>
      <c r="C1808" s="687">
        <v>370000</v>
      </c>
      <c r="D1808" s="688" t="s">
        <v>68</v>
      </c>
      <c r="E1808" s="689">
        <v>0.1</v>
      </c>
      <c r="F1808" s="687">
        <f t="shared" si="28"/>
        <v>37000</v>
      </c>
    </row>
    <row r="1809" spans="1:6">
      <c r="A1809" s="685"/>
      <c r="B1809" s="686">
        <v>1032</v>
      </c>
      <c r="C1809" s="687">
        <v>504400</v>
      </c>
      <c r="D1809" s="688" t="s">
        <v>68</v>
      </c>
      <c r="E1809" s="689">
        <v>0.05</v>
      </c>
      <c r="F1809" s="687">
        <f t="shared" si="28"/>
        <v>25220</v>
      </c>
    </row>
    <row r="1810" spans="1:6">
      <c r="A1810" s="685"/>
      <c r="B1810" s="686">
        <v>588</v>
      </c>
      <c r="C1810" s="687">
        <v>788800</v>
      </c>
      <c r="D1810" s="688" t="s">
        <v>68</v>
      </c>
      <c r="E1810" s="689">
        <v>0.1</v>
      </c>
      <c r="F1810" s="687">
        <f t="shared" si="28"/>
        <v>78880</v>
      </c>
    </row>
    <row r="1811" spans="1:6">
      <c r="A1811" s="685"/>
      <c r="B1811" s="686">
        <v>1274</v>
      </c>
      <c r="C1811" s="687">
        <v>256147</v>
      </c>
      <c r="D1811" s="688" t="s">
        <v>68</v>
      </c>
      <c r="E1811" s="689">
        <v>0.01</v>
      </c>
      <c r="F1811" s="687">
        <f t="shared" si="28"/>
        <v>2561.4700000000003</v>
      </c>
    </row>
    <row r="1812" spans="1:6">
      <c r="A1812" s="685"/>
      <c r="B1812" s="686">
        <v>571</v>
      </c>
      <c r="C1812" s="687">
        <v>1303000</v>
      </c>
      <c r="D1812" s="688" t="s">
        <v>68</v>
      </c>
      <c r="E1812" s="689">
        <v>0.1</v>
      </c>
      <c r="F1812" s="687">
        <f t="shared" si="28"/>
        <v>130300</v>
      </c>
    </row>
    <row r="1813" spans="1:6">
      <c r="A1813" s="685"/>
      <c r="B1813" s="686">
        <v>603</v>
      </c>
      <c r="C1813" s="687">
        <v>1271600</v>
      </c>
      <c r="D1813" s="688" t="s">
        <v>68</v>
      </c>
      <c r="E1813" s="689">
        <v>0.1</v>
      </c>
      <c r="F1813" s="687">
        <f t="shared" si="28"/>
        <v>127160</v>
      </c>
    </row>
    <row r="1814" spans="1:6">
      <c r="A1814" s="685"/>
      <c r="B1814" s="686">
        <v>978</v>
      </c>
      <c r="C1814" s="687">
        <v>600100</v>
      </c>
      <c r="D1814" s="688" t="s">
        <v>68</v>
      </c>
      <c r="E1814" s="689">
        <v>0.05</v>
      </c>
      <c r="F1814" s="687">
        <f t="shared" si="28"/>
        <v>30005</v>
      </c>
    </row>
    <row r="1815" spans="1:6">
      <c r="A1815" s="685"/>
      <c r="B1815" s="686">
        <v>976</v>
      </c>
      <c r="C1815" s="687">
        <v>333350</v>
      </c>
      <c r="D1815" s="688" t="s">
        <v>68</v>
      </c>
      <c r="E1815" s="689">
        <v>0.05</v>
      </c>
      <c r="F1815" s="687">
        <f t="shared" si="28"/>
        <v>16667.5</v>
      </c>
    </row>
    <row r="1816" spans="1:6">
      <c r="A1816" s="685"/>
      <c r="B1816" s="686">
        <v>947</v>
      </c>
      <c r="C1816" s="687">
        <v>27900</v>
      </c>
      <c r="D1816" s="688" t="s">
        <v>68</v>
      </c>
      <c r="E1816" s="689">
        <v>0.05</v>
      </c>
      <c r="F1816" s="687">
        <f t="shared" si="28"/>
        <v>1395</v>
      </c>
    </row>
    <row r="1817" spans="1:6">
      <c r="A1817" s="685"/>
      <c r="B1817" s="686">
        <v>2550</v>
      </c>
      <c r="C1817" s="687">
        <v>145808</v>
      </c>
      <c r="D1817" s="688" t="s">
        <v>68</v>
      </c>
      <c r="E1817" s="689">
        <v>0.01</v>
      </c>
      <c r="F1817" s="687">
        <f t="shared" si="28"/>
        <v>1458.08</v>
      </c>
    </row>
    <row r="1818" spans="1:6">
      <c r="A1818" s="685"/>
      <c r="B1818" s="686">
        <v>2585</v>
      </c>
      <c r="C1818" s="687">
        <v>428961</v>
      </c>
      <c r="D1818" s="688" t="s">
        <v>68</v>
      </c>
      <c r="E1818" s="689">
        <v>0.01</v>
      </c>
      <c r="F1818" s="687">
        <f t="shared" si="28"/>
        <v>4289.6099999999997</v>
      </c>
    </row>
    <row r="1819" spans="1:6">
      <c r="A1819" s="685"/>
      <c r="B1819" s="686">
        <v>2694</v>
      </c>
      <c r="C1819" s="687">
        <v>47291</v>
      </c>
      <c r="D1819" s="688" t="s">
        <v>68</v>
      </c>
      <c r="E1819" s="689">
        <v>0.01</v>
      </c>
      <c r="F1819" s="687">
        <f t="shared" si="28"/>
        <v>472.91</v>
      </c>
    </row>
    <row r="1820" spans="1:6">
      <c r="A1820" s="685"/>
      <c r="B1820" s="686">
        <v>2597</v>
      </c>
      <c r="C1820" s="687">
        <v>202460</v>
      </c>
      <c r="D1820" s="688" t="s">
        <v>68</v>
      </c>
      <c r="E1820" s="689">
        <v>0.01</v>
      </c>
      <c r="F1820" s="687">
        <f t="shared" si="28"/>
        <v>2024.6000000000001</v>
      </c>
    </row>
    <row r="1821" spans="1:6">
      <c r="A1821" s="685"/>
      <c r="B1821" s="686">
        <v>2583</v>
      </c>
      <c r="C1821" s="687">
        <v>196124</v>
      </c>
      <c r="D1821" s="688" t="s">
        <v>68</v>
      </c>
      <c r="E1821" s="689">
        <v>0.01</v>
      </c>
      <c r="F1821" s="687">
        <f t="shared" si="28"/>
        <v>1961.24</v>
      </c>
    </row>
    <row r="1822" spans="1:6">
      <c r="A1822" s="685"/>
      <c r="B1822" s="686">
        <v>2583</v>
      </c>
      <c r="C1822" s="687">
        <v>240100</v>
      </c>
      <c r="D1822" s="688" t="s">
        <v>68</v>
      </c>
      <c r="E1822" s="689">
        <v>0.01</v>
      </c>
      <c r="F1822" s="687">
        <f t="shared" si="28"/>
        <v>2401</v>
      </c>
    </row>
    <row r="1823" spans="1:6">
      <c r="A1823" s="685"/>
      <c r="B1823" s="686">
        <v>2568</v>
      </c>
      <c r="C1823" s="687">
        <v>122300</v>
      </c>
      <c r="D1823" s="688" t="s">
        <v>68</v>
      </c>
      <c r="E1823" s="689">
        <v>0.01</v>
      </c>
      <c r="F1823" s="687">
        <f t="shared" si="28"/>
        <v>1223</v>
      </c>
    </row>
    <row r="1824" spans="1:6">
      <c r="A1824" s="685"/>
      <c r="B1824" s="686">
        <v>2566</v>
      </c>
      <c r="C1824" s="687">
        <v>144200</v>
      </c>
      <c r="D1824" s="688" t="s">
        <v>68</v>
      </c>
      <c r="E1824" s="689">
        <v>0.01</v>
      </c>
      <c r="F1824" s="687">
        <f t="shared" si="28"/>
        <v>1442</v>
      </c>
    </row>
    <row r="1825" spans="1:6">
      <c r="A1825" s="685"/>
      <c r="B1825" s="686">
        <v>2559</v>
      </c>
      <c r="C1825" s="687">
        <v>181968</v>
      </c>
      <c r="D1825" s="688" t="s">
        <v>68</v>
      </c>
      <c r="E1825" s="689">
        <v>0.01</v>
      </c>
      <c r="F1825" s="687">
        <f t="shared" si="28"/>
        <v>1819.68</v>
      </c>
    </row>
    <row r="1826" spans="1:6">
      <c r="A1826" s="685"/>
      <c r="B1826" s="686">
        <v>2555</v>
      </c>
      <c r="C1826" s="687">
        <v>192217</v>
      </c>
      <c r="D1826" s="688" t="s">
        <v>68</v>
      </c>
      <c r="E1826" s="689">
        <v>0.01</v>
      </c>
      <c r="F1826" s="687">
        <f t="shared" si="28"/>
        <v>1922.17</v>
      </c>
    </row>
    <row r="1827" spans="1:6">
      <c r="A1827" s="685"/>
      <c r="B1827" s="686">
        <v>2564</v>
      </c>
      <c r="C1827" s="687">
        <v>216828</v>
      </c>
      <c r="D1827" s="688" t="s">
        <v>68</v>
      </c>
      <c r="E1827" s="689">
        <v>0.01</v>
      </c>
      <c r="F1827" s="687">
        <f t="shared" si="28"/>
        <v>2168.2800000000002</v>
      </c>
    </row>
    <row r="1828" spans="1:6">
      <c r="A1828" s="685"/>
      <c r="B1828" s="686">
        <v>2557</v>
      </c>
      <c r="C1828" s="687">
        <v>92829</v>
      </c>
      <c r="D1828" s="688" t="s">
        <v>68</v>
      </c>
      <c r="E1828" s="689">
        <v>0.01</v>
      </c>
      <c r="F1828" s="687">
        <f t="shared" si="28"/>
        <v>928.29</v>
      </c>
    </row>
    <row r="1829" spans="1:6">
      <c r="A1829" s="685"/>
      <c r="B1829" s="686">
        <v>2555</v>
      </c>
      <c r="C1829" s="687">
        <v>173853</v>
      </c>
      <c r="D1829" s="688" t="s">
        <v>68</v>
      </c>
      <c r="E1829" s="689">
        <v>0.01</v>
      </c>
      <c r="F1829" s="687">
        <f t="shared" si="28"/>
        <v>1738.53</v>
      </c>
    </row>
    <row r="1830" spans="1:6">
      <c r="A1830" s="685"/>
      <c r="B1830" s="686">
        <v>2543</v>
      </c>
      <c r="C1830" s="687">
        <v>117289</v>
      </c>
      <c r="D1830" s="688" t="s">
        <v>68</v>
      </c>
      <c r="E1830" s="689">
        <v>0.01</v>
      </c>
      <c r="F1830" s="687">
        <f t="shared" si="28"/>
        <v>1172.8900000000001</v>
      </c>
    </row>
    <row r="1831" spans="1:6">
      <c r="A1831" s="685"/>
      <c r="B1831" s="686">
        <v>2538</v>
      </c>
      <c r="C1831" s="687">
        <v>119832</v>
      </c>
      <c r="D1831" s="688" t="s">
        <v>68</v>
      </c>
      <c r="E1831" s="689">
        <v>0.01</v>
      </c>
      <c r="F1831" s="687">
        <f t="shared" si="28"/>
        <v>1198.32</v>
      </c>
    </row>
    <row r="1832" spans="1:6">
      <c r="A1832" s="685"/>
      <c r="B1832" s="686">
        <v>2723</v>
      </c>
      <c r="C1832" s="687">
        <v>270064</v>
      </c>
      <c r="D1832" s="688" t="s">
        <v>68</v>
      </c>
      <c r="E1832" s="689">
        <v>0.01</v>
      </c>
      <c r="F1832" s="687">
        <f t="shared" si="28"/>
        <v>2700.64</v>
      </c>
    </row>
    <row r="1833" spans="1:6">
      <c r="A1833" s="685"/>
      <c r="B1833" s="686">
        <v>2723</v>
      </c>
      <c r="C1833" s="687">
        <v>66163</v>
      </c>
      <c r="D1833" s="688" t="s">
        <v>68</v>
      </c>
      <c r="E1833" s="689">
        <v>0.01</v>
      </c>
      <c r="F1833" s="687">
        <f t="shared" si="28"/>
        <v>661.63</v>
      </c>
    </row>
    <row r="1834" spans="1:6">
      <c r="A1834" s="685"/>
      <c r="B1834" s="686">
        <v>2720</v>
      </c>
      <c r="C1834" s="687">
        <v>521954</v>
      </c>
      <c r="D1834" s="688" t="s">
        <v>68</v>
      </c>
      <c r="E1834" s="689">
        <v>0.01</v>
      </c>
      <c r="F1834" s="687">
        <f t="shared" si="28"/>
        <v>5219.54</v>
      </c>
    </row>
    <row r="1835" spans="1:6">
      <c r="A1835" s="685"/>
      <c r="B1835" s="686">
        <v>2719</v>
      </c>
      <c r="C1835" s="687">
        <v>155798</v>
      </c>
      <c r="D1835" s="688" t="s">
        <v>68</v>
      </c>
      <c r="E1835" s="689">
        <v>0.01</v>
      </c>
      <c r="F1835" s="687">
        <f t="shared" si="28"/>
        <v>1557.98</v>
      </c>
    </row>
    <row r="1836" spans="1:6">
      <c r="A1836" s="685"/>
      <c r="B1836" s="686">
        <v>2718</v>
      </c>
      <c r="C1836" s="687">
        <v>128751</v>
      </c>
      <c r="D1836" s="688" t="s">
        <v>68</v>
      </c>
      <c r="E1836" s="689">
        <v>0.01</v>
      </c>
      <c r="F1836" s="687">
        <f t="shared" si="28"/>
        <v>1287.51</v>
      </c>
    </row>
    <row r="1837" spans="1:6">
      <c r="A1837" s="685"/>
      <c r="B1837" s="686">
        <v>2718</v>
      </c>
      <c r="C1837" s="687">
        <v>209909</v>
      </c>
      <c r="D1837" s="688" t="s">
        <v>68</v>
      </c>
      <c r="E1837" s="689">
        <v>0.01</v>
      </c>
      <c r="F1837" s="687">
        <f t="shared" si="28"/>
        <v>2099.09</v>
      </c>
    </row>
    <row r="1838" spans="1:6">
      <c r="A1838" s="685"/>
      <c r="B1838" s="686">
        <v>2711</v>
      </c>
      <c r="C1838" s="687">
        <v>177937</v>
      </c>
      <c r="D1838" s="688" t="s">
        <v>68</v>
      </c>
      <c r="E1838" s="689">
        <v>0.01</v>
      </c>
      <c r="F1838" s="687">
        <f t="shared" si="28"/>
        <v>1779.3700000000001</v>
      </c>
    </row>
    <row r="1839" spans="1:6">
      <c r="A1839" s="685"/>
      <c r="B1839" s="686">
        <v>2734</v>
      </c>
      <c r="C1839" s="687">
        <v>120094</v>
      </c>
      <c r="D1839" s="688" t="s">
        <v>68</v>
      </c>
      <c r="E1839" s="689">
        <v>0.01</v>
      </c>
      <c r="F1839" s="687">
        <f t="shared" si="28"/>
        <v>1200.94</v>
      </c>
    </row>
    <row r="1840" spans="1:6">
      <c r="A1840" s="685"/>
      <c r="B1840" s="686">
        <v>2696</v>
      </c>
      <c r="C1840" s="687">
        <v>177937</v>
      </c>
      <c r="D1840" s="688" t="s">
        <v>68</v>
      </c>
      <c r="E1840" s="689">
        <v>0.01</v>
      </c>
      <c r="F1840" s="687">
        <f t="shared" si="28"/>
        <v>1779.3700000000001</v>
      </c>
    </row>
    <row r="1841" spans="1:6">
      <c r="A1841" s="685"/>
      <c r="B1841" s="686">
        <v>2736</v>
      </c>
      <c r="C1841" s="687">
        <v>61448</v>
      </c>
      <c r="D1841" s="688" t="s">
        <v>68</v>
      </c>
      <c r="E1841" s="689">
        <v>0.01</v>
      </c>
      <c r="F1841" s="687">
        <f t="shared" si="28"/>
        <v>614.48</v>
      </c>
    </row>
    <row r="1842" spans="1:6">
      <c r="A1842" s="685"/>
      <c r="B1842" s="686">
        <v>2675</v>
      </c>
      <c r="C1842" s="687">
        <v>184344</v>
      </c>
      <c r="D1842" s="688" t="s">
        <v>68</v>
      </c>
      <c r="E1842" s="689">
        <v>0.01</v>
      </c>
      <c r="F1842" s="687">
        <f t="shared" si="28"/>
        <v>1843.44</v>
      </c>
    </row>
    <row r="1843" spans="1:6">
      <c r="A1843" s="685"/>
      <c r="B1843" s="686">
        <v>2668</v>
      </c>
      <c r="C1843" s="687">
        <v>192377</v>
      </c>
      <c r="D1843" s="688" t="s">
        <v>68</v>
      </c>
      <c r="E1843" s="689">
        <v>0.01</v>
      </c>
      <c r="F1843" s="687">
        <f t="shared" si="28"/>
        <v>1923.77</v>
      </c>
    </row>
    <row r="1844" spans="1:6">
      <c r="A1844" s="685"/>
      <c r="B1844" s="686">
        <v>2661</v>
      </c>
      <c r="C1844" s="687">
        <v>175937</v>
      </c>
      <c r="D1844" s="688" t="s">
        <v>68</v>
      </c>
      <c r="E1844" s="689">
        <v>0.01</v>
      </c>
      <c r="F1844" s="687">
        <f t="shared" si="28"/>
        <v>1759.3700000000001</v>
      </c>
    </row>
    <row r="1845" spans="1:6">
      <c r="A1845" s="685"/>
      <c r="B1845" s="686">
        <v>2659</v>
      </c>
      <c r="C1845" s="687">
        <v>67999</v>
      </c>
      <c r="D1845" s="688" t="s">
        <v>68</v>
      </c>
      <c r="E1845" s="689">
        <v>0.01</v>
      </c>
      <c r="F1845" s="687">
        <f t="shared" si="28"/>
        <v>679.99</v>
      </c>
    </row>
    <row r="1846" spans="1:6">
      <c r="A1846" s="685"/>
      <c r="B1846" s="686">
        <v>2619</v>
      </c>
      <c r="C1846" s="687">
        <v>127571</v>
      </c>
      <c r="D1846" s="688" t="s">
        <v>68</v>
      </c>
      <c r="E1846" s="689">
        <v>0.01</v>
      </c>
      <c r="F1846" s="687">
        <f t="shared" si="28"/>
        <v>1275.71</v>
      </c>
    </row>
    <row r="1847" spans="1:6">
      <c r="A1847" s="685"/>
      <c r="B1847" s="686">
        <v>2577</v>
      </c>
      <c r="C1847" s="687">
        <v>182618</v>
      </c>
      <c r="D1847" s="688" t="s">
        <v>68</v>
      </c>
      <c r="E1847" s="689">
        <v>0.01</v>
      </c>
      <c r="F1847" s="687">
        <f t="shared" si="28"/>
        <v>1826.18</v>
      </c>
    </row>
    <row r="1848" spans="1:6">
      <c r="A1848" s="685"/>
      <c r="B1848" s="686">
        <v>2570</v>
      </c>
      <c r="C1848" s="687">
        <v>182615</v>
      </c>
      <c r="D1848" s="688" t="s">
        <v>68</v>
      </c>
      <c r="E1848" s="689">
        <v>0.01</v>
      </c>
      <c r="F1848" s="687">
        <f t="shared" si="28"/>
        <v>1826.15</v>
      </c>
    </row>
    <row r="1849" spans="1:6">
      <c r="A1849" s="685"/>
      <c r="B1849" s="686">
        <v>2563</v>
      </c>
      <c r="C1849" s="687">
        <v>182615</v>
      </c>
      <c r="D1849" s="688" t="s">
        <v>68</v>
      </c>
      <c r="E1849" s="689">
        <v>0.01</v>
      </c>
      <c r="F1849" s="687">
        <f t="shared" si="28"/>
        <v>1826.15</v>
      </c>
    </row>
    <row r="1850" spans="1:6">
      <c r="A1850" s="685"/>
      <c r="B1850" s="686">
        <v>2563</v>
      </c>
      <c r="C1850" s="687">
        <v>23766</v>
      </c>
      <c r="D1850" s="688" t="s">
        <v>68</v>
      </c>
      <c r="E1850" s="689">
        <v>0.01</v>
      </c>
      <c r="F1850" s="687">
        <f t="shared" si="28"/>
        <v>237.66</v>
      </c>
    </row>
    <row r="1851" spans="1:6">
      <c r="A1851" s="685"/>
      <c r="B1851" s="686">
        <v>2549</v>
      </c>
      <c r="C1851" s="687">
        <v>182618</v>
      </c>
      <c r="D1851" s="688" t="s">
        <v>68</v>
      </c>
      <c r="E1851" s="689">
        <v>0.01</v>
      </c>
      <c r="F1851" s="687">
        <f t="shared" si="28"/>
        <v>1826.18</v>
      </c>
    </row>
    <row r="1852" spans="1:6">
      <c r="A1852" s="685"/>
      <c r="B1852" s="686">
        <v>2085</v>
      </c>
      <c r="C1852" s="687">
        <v>772850</v>
      </c>
      <c r="D1852" s="688" t="s">
        <v>68</v>
      </c>
      <c r="E1852" s="689">
        <v>0.01</v>
      </c>
      <c r="F1852" s="687">
        <f t="shared" si="28"/>
        <v>7728.5</v>
      </c>
    </row>
    <row r="1853" spans="1:6">
      <c r="A1853" s="685"/>
      <c r="B1853" s="686">
        <v>1785</v>
      </c>
      <c r="C1853" s="687">
        <v>228052</v>
      </c>
      <c r="D1853" s="688" t="s">
        <v>68</v>
      </c>
      <c r="E1853" s="689">
        <v>0.01</v>
      </c>
      <c r="F1853" s="687">
        <f t="shared" si="28"/>
        <v>2280.52</v>
      </c>
    </row>
    <row r="1854" spans="1:6">
      <c r="A1854" s="685"/>
      <c r="B1854" s="686">
        <v>2264</v>
      </c>
      <c r="C1854" s="687">
        <v>129827</v>
      </c>
      <c r="D1854" s="688" t="s">
        <v>68</v>
      </c>
      <c r="E1854" s="689">
        <v>0.01</v>
      </c>
      <c r="F1854" s="687">
        <f t="shared" si="28"/>
        <v>1298.27</v>
      </c>
    </row>
    <row r="1855" spans="1:6">
      <c r="A1855" s="685"/>
      <c r="B1855" s="686">
        <v>2264</v>
      </c>
      <c r="C1855" s="687">
        <v>43276</v>
      </c>
      <c r="D1855" s="688" t="s">
        <v>68</v>
      </c>
      <c r="E1855" s="689">
        <v>0.01</v>
      </c>
      <c r="F1855" s="687">
        <f t="shared" si="28"/>
        <v>432.76</v>
      </c>
    </row>
    <row r="1856" spans="1:6">
      <c r="A1856" s="685"/>
      <c r="B1856" s="686">
        <v>2165</v>
      </c>
      <c r="C1856" s="687">
        <v>267414</v>
      </c>
      <c r="D1856" s="688" t="s">
        <v>68</v>
      </c>
      <c r="E1856" s="689">
        <v>0.01</v>
      </c>
      <c r="F1856" s="687">
        <f t="shared" si="28"/>
        <v>2674.14</v>
      </c>
    </row>
    <row r="1857" spans="1:6">
      <c r="A1857" s="685"/>
      <c r="B1857" s="686">
        <v>616</v>
      </c>
      <c r="C1857" s="687">
        <v>428200</v>
      </c>
      <c r="D1857" s="688" t="s">
        <v>68</v>
      </c>
      <c r="E1857" s="689">
        <v>0.1</v>
      </c>
      <c r="F1857" s="687">
        <f t="shared" si="28"/>
        <v>42820</v>
      </c>
    </row>
    <row r="1858" spans="1:6">
      <c r="A1858" s="685"/>
      <c r="B1858" s="686">
        <v>3387</v>
      </c>
      <c r="C1858" s="687">
        <v>208544</v>
      </c>
      <c r="D1858" s="688" t="s">
        <v>68</v>
      </c>
      <c r="E1858" s="689">
        <v>0.01</v>
      </c>
      <c r="F1858" s="687">
        <f t="shared" si="28"/>
        <v>2085.44</v>
      </c>
    </row>
    <row r="1859" spans="1:6">
      <c r="A1859" s="685"/>
      <c r="B1859" s="686">
        <v>1495</v>
      </c>
      <c r="C1859" s="687">
        <v>1073000</v>
      </c>
      <c r="D1859" s="688" t="s">
        <v>68</v>
      </c>
      <c r="E1859" s="689">
        <v>0.01</v>
      </c>
      <c r="F1859" s="687">
        <f t="shared" ref="F1859:F1922" si="29">+C1859*E1859</f>
        <v>10730</v>
      </c>
    </row>
    <row r="1860" spans="1:6">
      <c r="A1860" s="685"/>
      <c r="B1860" s="686">
        <v>3352</v>
      </c>
      <c r="C1860" s="687">
        <v>1586283</v>
      </c>
      <c r="D1860" s="688" t="s">
        <v>68</v>
      </c>
      <c r="E1860" s="689">
        <v>0.01</v>
      </c>
      <c r="F1860" s="687">
        <f t="shared" si="29"/>
        <v>15862.83</v>
      </c>
    </row>
    <row r="1861" spans="1:6">
      <c r="A1861" s="685"/>
      <c r="B1861" s="686">
        <v>3333</v>
      </c>
      <c r="C1861" s="687">
        <v>1427149</v>
      </c>
      <c r="D1861" s="688" t="s">
        <v>68</v>
      </c>
      <c r="E1861" s="689">
        <v>0.01</v>
      </c>
      <c r="F1861" s="687">
        <f t="shared" si="29"/>
        <v>14271.49</v>
      </c>
    </row>
    <row r="1862" spans="1:6">
      <c r="A1862" s="685"/>
      <c r="B1862" s="686">
        <v>3331</v>
      </c>
      <c r="C1862" s="687">
        <v>353646</v>
      </c>
      <c r="D1862" s="688" t="s">
        <v>68</v>
      </c>
      <c r="E1862" s="689">
        <v>0.01</v>
      </c>
      <c r="F1862" s="687">
        <f t="shared" si="29"/>
        <v>3536.46</v>
      </c>
    </row>
    <row r="1863" spans="1:6">
      <c r="A1863" s="685"/>
      <c r="B1863" s="686">
        <v>3355</v>
      </c>
      <c r="C1863" s="687">
        <v>113684</v>
      </c>
      <c r="D1863" s="688" t="s">
        <v>68</v>
      </c>
      <c r="E1863" s="689">
        <v>0.01</v>
      </c>
      <c r="F1863" s="687">
        <f t="shared" si="29"/>
        <v>1136.8399999999999</v>
      </c>
    </row>
    <row r="1864" spans="1:6">
      <c r="A1864" s="685"/>
      <c r="B1864" s="686">
        <v>3350</v>
      </c>
      <c r="C1864" s="687">
        <v>29015</v>
      </c>
      <c r="D1864" s="688" t="s">
        <v>68</v>
      </c>
      <c r="E1864" s="689">
        <v>0.01</v>
      </c>
      <c r="F1864" s="687">
        <f t="shared" si="29"/>
        <v>290.15000000000003</v>
      </c>
    </row>
    <row r="1865" spans="1:6">
      <c r="A1865" s="685"/>
      <c r="B1865" s="686">
        <v>3318</v>
      </c>
      <c r="C1865" s="687">
        <v>587826</v>
      </c>
      <c r="D1865" s="688" t="s">
        <v>68</v>
      </c>
      <c r="E1865" s="689">
        <v>0.01</v>
      </c>
      <c r="F1865" s="687">
        <f t="shared" si="29"/>
        <v>5878.26</v>
      </c>
    </row>
    <row r="1866" spans="1:6">
      <c r="A1866" s="685"/>
      <c r="B1866" s="686">
        <v>3348</v>
      </c>
      <c r="C1866" s="687">
        <v>333819</v>
      </c>
      <c r="D1866" s="688" t="s">
        <v>68</v>
      </c>
      <c r="E1866" s="689">
        <v>0.01</v>
      </c>
      <c r="F1866" s="687">
        <f t="shared" si="29"/>
        <v>3338.19</v>
      </c>
    </row>
    <row r="1867" spans="1:6">
      <c r="A1867" s="685"/>
      <c r="B1867" s="686">
        <v>3347</v>
      </c>
      <c r="C1867" s="687">
        <v>42245</v>
      </c>
      <c r="D1867" s="688" t="s">
        <v>68</v>
      </c>
      <c r="E1867" s="689">
        <v>0.01</v>
      </c>
      <c r="F1867" s="687">
        <f t="shared" si="29"/>
        <v>422.45</v>
      </c>
    </row>
    <row r="1868" spans="1:6">
      <c r="A1868" s="685"/>
      <c r="B1868" s="686">
        <v>3309</v>
      </c>
      <c r="C1868" s="687">
        <v>2121014</v>
      </c>
      <c r="D1868" s="688" t="s">
        <v>68</v>
      </c>
      <c r="E1868" s="689">
        <v>0.01</v>
      </c>
      <c r="F1868" s="687">
        <f t="shared" si="29"/>
        <v>21210.14</v>
      </c>
    </row>
    <row r="1869" spans="1:6">
      <c r="A1869" s="685"/>
      <c r="B1869" s="686">
        <v>669</v>
      </c>
      <c r="C1869" s="687">
        <v>610000</v>
      </c>
      <c r="D1869" s="688" t="s">
        <v>68</v>
      </c>
      <c r="E1869" s="689">
        <v>0.1</v>
      </c>
      <c r="F1869" s="687">
        <f t="shared" si="29"/>
        <v>61000</v>
      </c>
    </row>
    <row r="1870" spans="1:6">
      <c r="A1870" s="685"/>
      <c r="B1870" s="686">
        <v>1696</v>
      </c>
      <c r="C1870" s="687">
        <v>310900</v>
      </c>
      <c r="D1870" s="688" t="s">
        <v>68</v>
      </c>
      <c r="E1870" s="689">
        <v>0.01</v>
      </c>
      <c r="F1870" s="687">
        <f t="shared" si="29"/>
        <v>3109</v>
      </c>
    </row>
    <row r="1871" spans="1:6">
      <c r="A1871" s="685"/>
      <c r="B1871" s="686">
        <v>2731</v>
      </c>
      <c r="C1871" s="687">
        <v>80000</v>
      </c>
      <c r="D1871" s="688" t="s">
        <v>68</v>
      </c>
      <c r="E1871" s="689">
        <v>0.01</v>
      </c>
      <c r="F1871" s="687">
        <f t="shared" si="29"/>
        <v>800</v>
      </c>
    </row>
    <row r="1872" spans="1:6">
      <c r="A1872" s="685"/>
      <c r="B1872" s="686">
        <v>882</v>
      </c>
      <c r="C1872" s="687">
        <v>113400</v>
      </c>
      <c r="D1872" s="688" t="s">
        <v>114</v>
      </c>
      <c r="E1872" s="689">
        <v>0.5</v>
      </c>
      <c r="F1872" s="687">
        <f t="shared" si="29"/>
        <v>56700</v>
      </c>
    </row>
    <row r="1873" spans="1:6">
      <c r="A1873" s="685"/>
      <c r="B1873" s="686">
        <v>885</v>
      </c>
      <c r="C1873" s="687">
        <v>3490000</v>
      </c>
      <c r="D1873" s="688" t="s">
        <v>114</v>
      </c>
      <c r="E1873" s="689">
        <v>0.5</v>
      </c>
      <c r="F1873" s="687">
        <f t="shared" si="29"/>
        <v>1745000</v>
      </c>
    </row>
    <row r="1874" spans="1:6">
      <c r="A1874" s="685"/>
      <c r="B1874" s="686">
        <v>1415</v>
      </c>
      <c r="C1874" s="687">
        <v>1038700</v>
      </c>
      <c r="D1874" s="688" t="s">
        <v>68</v>
      </c>
      <c r="E1874" s="689">
        <v>0.01</v>
      </c>
      <c r="F1874" s="687">
        <f t="shared" si="29"/>
        <v>10387</v>
      </c>
    </row>
    <row r="1875" spans="1:6">
      <c r="A1875" s="685"/>
      <c r="B1875" s="686">
        <v>1408</v>
      </c>
      <c r="C1875" s="687">
        <v>499750</v>
      </c>
      <c r="D1875" s="688" t="s">
        <v>68</v>
      </c>
      <c r="E1875" s="689">
        <v>0.01</v>
      </c>
      <c r="F1875" s="687">
        <f t="shared" si="29"/>
        <v>4997.5</v>
      </c>
    </row>
    <row r="1876" spans="1:6">
      <c r="A1876" s="685"/>
      <c r="B1876" s="686">
        <v>1907</v>
      </c>
      <c r="C1876" s="687">
        <v>1124472</v>
      </c>
      <c r="D1876" s="688" t="s">
        <v>68</v>
      </c>
      <c r="E1876" s="689">
        <v>0.01</v>
      </c>
      <c r="F1876" s="687">
        <f t="shared" si="29"/>
        <v>11244.72</v>
      </c>
    </row>
    <row r="1877" spans="1:6">
      <c r="A1877" s="685"/>
      <c r="B1877" s="686">
        <v>1905</v>
      </c>
      <c r="C1877" s="687">
        <v>2139000</v>
      </c>
      <c r="D1877" s="688" t="s">
        <v>68</v>
      </c>
      <c r="E1877" s="689">
        <v>0.01</v>
      </c>
      <c r="F1877" s="687">
        <f t="shared" si="29"/>
        <v>21390</v>
      </c>
    </row>
    <row r="1878" spans="1:6">
      <c r="A1878" s="685"/>
      <c r="B1878" s="686">
        <v>651</v>
      </c>
      <c r="C1878" s="687">
        <v>105100</v>
      </c>
      <c r="D1878" s="688" t="s">
        <v>68</v>
      </c>
      <c r="E1878" s="689">
        <v>0.1</v>
      </c>
      <c r="F1878" s="687">
        <f t="shared" si="29"/>
        <v>10510</v>
      </c>
    </row>
    <row r="1879" spans="1:6">
      <c r="A1879" s="685"/>
      <c r="B1879" s="686">
        <v>3004</v>
      </c>
      <c r="C1879" s="687">
        <v>6885000</v>
      </c>
      <c r="D1879" s="688" t="s">
        <v>68</v>
      </c>
      <c r="E1879" s="689">
        <v>0.01</v>
      </c>
      <c r="F1879" s="687">
        <f t="shared" si="29"/>
        <v>68850</v>
      </c>
    </row>
    <row r="1880" spans="1:6">
      <c r="A1880" s="685"/>
      <c r="B1880" s="686">
        <v>1487</v>
      </c>
      <c r="C1880" s="687">
        <v>124570</v>
      </c>
      <c r="D1880" s="688" t="s">
        <v>68</v>
      </c>
      <c r="E1880" s="689">
        <v>0.01</v>
      </c>
      <c r="F1880" s="687">
        <f t="shared" si="29"/>
        <v>1245.7</v>
      </c>
    </row>
    <row r="1881" spans="1:6">
      <c r="A1881" s="685"/>
      <c r="B1881" s="686">
        <v>1465</v>
      </c>
      <c r="C1881" s="687">
        <v>487800</v>
      </c>
      <c r="D1881" s="688" t="s">
        <v>68</v>
      </c>
      <c r="E1881" s="689">
        <v>0.01</v>
      </c>
      <c r="F1881" s="687">
        <f t="shared" si="29"/>
        <v>4878</v>
      </c>
    </row>
    <row r="1882" spans="1:6">
      <c r="A1882" s="685"/>
      <c r="B1882" s="686">
        <v>2136</v>
      </c>
      <c r="C1882" s="687">
        <v>70990</v>
      </c>
      <c r="D1882" s="688" t="s">
        <v>68</v>
      </c>
      <c r="E1882" s="689">
        <v>0.01</v>
      </c>
      <c r="F1882" s="687">
        <f t="shared" si="29"/>
        <v>709.9</v>
      </c>
    </row>
    <row r="1883" spans="1:6">
      <c r="A1883" s="685"/>
      <c r="B1883" s="686">
        <v>1481</v>
      </c>
      <c r="C1883" s="687">
        <v>2439750</v>
      </c>
      <c r="D1883" s="688" t="s">
        <v>68</v>
      </c>
      <c r="E1883" s="689">
        <v>0.01</v>
      </c>
      <c r="F1883" s="687">
        <f t="shared" si="29"/>
        <v>24397.5</v>
      </c>
    </row>
    <row r="1884" spans="1:6">
      <c r="A1884" s="685"/>
      <c r="B1884" s="686">
        <v>1481</v>
      </c>
      <c r="C1884" s="687">
        <v>343950</v>
      </c>
      <c r="D1884" s="688" t="s">
        <v>68</v>
      </c>
      <c r="E1884" s="689">
        <v>0.01</v>
      </c>
      <c r="F1884" s="687">
        <f t="shared" si="29"/>
        <v>3439.5</v>
      </c>
    </row>
    <row r="1885" spans="1:6">
      <c r="A1885" s="685"/>
      <c r="B1885" s="686">
        <v>1469</v>
      </c>
      <c r="C1885" s="687">
        <v>144450</v>
      </c>
      <c r="D1885" s="688" t="s">
        <v>68</v>
      </c>
      <c r="E1885" s="689">
        <v>0.01</v>
      </c>
      <c r="F1885" s="687">
        <f t="shared" si="29"/>
        <v>1444.5</v>
      </c>
    </row>
    <row r="1886" spans="1:6">
      <c r="A1886" s="685"/>
      <c r="B1886" s="686">
        <v>1406</v>
      </c>
      <c r="C1886" s="687">
        <v>1269000</v>
      </c>
      <c r="D1886" s="688" t="s">
        <v>68</v>
      </c>
      <c r="E1886" s="689">
        <v>0.01</v>
      </c>
      <c r="F1886" s="687">
        <f t="shared" si="29"/>
        <v>12690</v>
      </c>
    </row>
    <row r="1887" spans="1:6">
      <c r="A1887" s="685"/>
      <c r="B1887" s="686">
        <v>748</v>
      </c>
      <c r="C1887" s="687">
        <v>120350</v>
      </c>
      <c r="D1887" s="688" t="s">
        <v>68</v>
      </c>
      <c r="E1887" s="689">
        <v>0.05</v>
      </c>
      <c r="F1887" s="687">
        <f t="shared" si="29"/>
        <v>6017.5</v>
      </c>
    </row>
    <row r="1888" spans="1:6">
      <c r="A1888" s="685"/>
      <c r="B1888" s="686">
        <v>728</v>
      </c>
      <c r="C1888" s="687">
        <v>524000</v>
      </c>
      <c r="D1888" s="688" t="s">
        <v>68</v>
      </c>
      <c r="E1888" s="689">
        <v>0.05</v>
      </c>
      <c r="F1888" s="687">
        <f t="shared" si="29"/>
        <v>26200</v>
      </c>
    </row>
    <row r="1889" spans="1:6">
      <c r="A1889" s="685"/>
      <c r="B1889" s="686">
        <v>710</v>
      </c>
      <c r="C1889" s="687">
        <v>843750</v>
      </c>
      <c r="D1889" s="688" t="s">
        <v>68</v>
      </c>
      <c r="E1889" s="689">
        <v>0.1</v>
      </c>
      <c r="F1889" s="687">
        <f t="shared" si="29"/>
        <v>84375</v>
      </c>
    </row>
    <row r="1890" spans="1:6">
      <c r="A1890" s="685"/>
      <c r="B1890" s="686">
        <v>676</v>
      </c>
      <c r="C1890" s="687">
        <v>22050</v>
      </c>
      <c r="D1890" s="688" t="s">
        <v>68</v>
      </c>
      <c r="E1890" s="689">
        <v>0.1</v>
      </c>
      <c r="F1890" s="687">
        <f t="shared" si="29"/>
        <v>2205</v>
      </c>
    </row>
    <row r="1891" spans="1:6">
      <c r="A1891" s="685"/>
      <c r="B1891" s="686">
        <v>1533</v>
      </c>
      <c r="C1891" s="687">
        <v>1490300</v>
      </c>
      <c r="D1891" s="688" t="s">
        <v>68</v>
      </c>
      <c r="E1891" s="689">
        <v>0.01</v>
      </c>
      <c r="F1891" s="687">
        <f t="shared" si="29"/>
        <v>14903</v>
      </c>
    </row>
    <row r="1892" spans="1:6">
      <c r="A1892" s="685"/>
      <c r="B1892" s="686">
        <v>1432</v>
      </c>
      <c r="C1892" s="687">
        <v>31200</v>
      </c>
      <c r="D1892" s="688" t="s">
        <v>68</v>
      </c>
      <c r="E1892" s="689">
        <v>0.01</v>
      </c>
      <c r="F1892" s="687">
        <f t="shared" si="29"/>
        <v>312</v>
      </c>
    </row>
    <row r="1893" spans="1:6">
      <c r="A1893" s="685"/>
      <c r="B1893" s="686">
        <v>2451</v>
      </c>
      <c r="C1893" s="687">
        <v>2329061</v>
      </c>
      <c r="D1893" s="688" t="s">
        <v>68</v>
      </c>
      <c r="E1893" s="689">
        <v>0.01</v>
      </c>
      <c r="F1893" s="687">
        <f t="shared" si="29"/>
        <v>23290.61</v>
      </c>
    </row>
    <row r="1894" spans="1:6">
      <c r="A1894" s="685"/>
      <c r="B1894" s="686">
        <v>1785</v>
      </c>
      <c r="C1894" s="687">
        <v>12258650</v>
      </c>
      <c r="D1894" s="688" t="s">
        <v>68</v>
      </c>
      <c r="E1894" s="689">
        <v>0.01</v>
      </c>
      <c r="F1894" s="687">
        <f t="shared" si="29"/>
        <v>122586.5</v>
      </c>
    </row>
    <row r="1895" spans="1:6">
      <c r="A1895" s="685"/>
      <c r="B1895" s="686">
        <v>1772</v>
      </c>
      <c r="C1895" s="687">
        <v>178250</v>
      </c>
      <c r="D1895" s="688" t="s">
        <v>68</v>
      </c>
      <c r="E1895" s="689">
        <v>0.01</v>
      </c>
      <c r="F1895" s="687">
        <f t="shared" si="29"/>
        <v>1782.5</v>
      </c>
    </row>
    <row r="1896" spans="1:6">
      <c r="A1896" s="685"/>
      <c r="B1896" s="686">
        <v>1763</v>
      </c>
      <c r="C1896" s="687">
        <v>186400</v>
      </c>
      <c r="D1896" s="688" t="s">
        <v>68</v>
      </c>
      <c r="E1896" s="689">
        <v>0.01</v>
      </c>
      <c r="F1896" s="687">
        <f t="shared" si="29"/>
        <v>1864</v>
      </c>
    </row>
    <row r="1897" spans="1:6">
      <c r="A1897" s="685"/>
      <c r="B1897" s="686">
        <v>1756</v>
      </c>
      <c r="C1897" s="687">
        <v>55850</v>
      </c>
      <c r="D1897" s="688" t="s">
        <v>68</v>
      </c>
      <c r="E1897" s="689">
        <v>0.01</v>
      </c>
      <c r="F1897" s="687">
        <f t="shared" si="29"/>
        <v>558.5</v>
      </c>
    </row>
    <row r="1898" spans="1:6">
      <c r="A1898" s="685"/>
      <c r="B1898" s="686">
        <v>1751</v>
      </c>
      <c r="C1898" s="687">
        <v>260230</v>
      </c>
      <c r="D1898" s="688" t="s">
        <v>68</v>
      </c>
      <c r="E1898" s="689">
        <v>0.01</v>
      </c>
      <c r="F1898" s="687">
        <f t="shared" si="29"/>
        <v>2602.3000000000002</v>
      </c>
    </row>
    <row r="1899" spans="1:6">
      <c r="A1899" s="685"/>
      <c r="B1899" s="686">
        <v>1974</v>
      </c>
      <c r="C1899" s="687">
        <v>2720990</v>
      </c>
      <c r="D1899" s="688" t="s">
        <v>68</v>
      </c>
      <c r="E1899" s="689">
        <v>0.01</v>
      </c>
      <c r="F1899" s="687">
        <f t="shared" si="29"/>
        <v>27209.9</v>
      </c>
    </row>
    <row r="1900" spans="1:6">
      <c r="A1900" s="685"/>
      <c r="B1900" s="686">
        <v>1969</v>
      </c>
      <c r="C1900" s="687">
        <v>2053296</v>
      </c>
      <c r="D1900" s="688" t="s">
        <v>68</v>
      </c>
      <c r="E1900" s="689">
        <v>0.01</v>
      </c>
      <c r="F1900" s="687">
        <f t="shared" si="29"/>
        <v>20532.96</v>
      </c>
    </row>
    <row r="1901" spans="1:6">
      <c r="A1901" s="685"/>
      <c r="B1901" s="686">
        <v>1892</v>
      </c>
      <c r="C1901" s="687">
        <v>103750</v>
      </c>
      <c r="D1901" s="688" t="s">
        <v>68</v>
      </c>
      <c r="E1901" s="689">
        <v>0.01</v>
      </c>
      <c r="F1901" s="687">
        <f t="shared" si="29"/>
        <v>1037.5</v>
      </c>
    </row>
    <row r="1902" spans="1:6">
      <c r="A1902" s="685"/>
      <c r="B1902" s="686">
        <v>3204</v>
      </c>
      <c r="C1902" s="687">
        <v>10699</v>
      </c>
      <c r="D1902" s="688" t="s">
        <v>68</v>
      </c>
      <c r="E1902" s="689">
        <v>0.01</v>
      </c>
      <c r="F1902" s="687">
        <f t="shared" si="29"/>
        <v>106.99000000000001</v>
      </c>
    </row>
    <row r="1903" spans="1:6">
      <c r="A1903" s="685"/>
      <c r="B1903" s="686">
        <v>3204</v>
      </c>
      <c r="C1903" s="687">
        <v>7679</v>
      </c>
      <c r="D1903" s="688" t="s">
        <v>68</v>
      </c>
      <c r="E1903" s="689">
        <v>0.01</v>
      </c>
      <c r="F1903" s="687">
        <f t="shared" si="29"/>
        <v>76.790000000000006</v>
      </c>
    </row>
    <row r="1904" spans="1:6">
      <c r="A1904" s="685"/>
      <c r="B1904" s="686">
        <v>592</v>
      </c>
      <c r="C1904" s="687">
        <v>258550</v>
      </c>
      <c r="D1904" s="688" t="s">
        <v>68</v>
      </c>
      <c r="E1904" s="689">
        <v>0.1</v>
      </c>
      <c r="F1904" s="687">
        <f t="shared" si="29"/>
        <v>25855</v>
      </c>
    </row>
    <row r="1905" spans="1:6">
      <c r="A1905" s="685"/>
      <c r="B1905" s="686">
        <v>592</v>
      </c>
      <c r="C1905" s="687">
        <v>78000</v>
      </c>
      <c r="D1905" s="688" t="s">
        <v>68</v>
      </c>
      <c r="E1905" s="689">
        <v>0.1</v>
      </c>
      <c r="F1905" s="687">
        <f t="shared" si="29"/>
        <v>7800</v>
      </c>
    </row>
    <row r="1906" spans="1:6">
      <c r="A1906" s="685"/>
      <c r="B1906" s="686">
        <v>591</v>
      </c>
      <c r="C1906" s="687">
        <v>56400</v>
      </c>
      <c r="D1906" s="688" t="s">
        <v>68</v>
      </c>
      <c r="E1906" s="689">
        <v>0.1</v>
      </c>
      <c r="F1906" s="687">
        <f t="shared" si="29"/>
        <v>5640</v>
      </c>
    </row>
    <row r="1907" spans="1:6">
      <c r="A1907" s="685"/>
      <c r="B1907" s="686">
        <v>2067</v>
      </c>
      <c r="C1907" s="687">
        <v>128469</v>
      </c>
      <c r="D1907" s="688" t="s">
        <v>68</v>
      </c>
      <c r="E1907" s="689">
        <v>0.01</v>
      </c>
      <c r="F1907" s="687">
        <f t="shared" si="29"/>
        <v>1284.69</v>
      </c>
    </row>
    <row r="1908" spans="1:6">
      <c r="A1908" s="685"/>
      <c r="B1908" s="686">
        <v>2456</v>
      </c>
      <c r="C1908" s="687">
        <v>235263</v>
      </c>
      <c r="D1908" s="688" t="s">
        <v>68</v>
      </c>
      <c r="E1908" s="689">
        <v>0.01</v>
      </c>
      <c r="F1908" s="687">
        <f t="shared" si="29"/>
        <v>2352.63</v>
      </c>
    </row>
    <row r="1909" spans="1:6">
      <c r="A1909" s="685"/>
      <c r="B1909" s="686">
        <v>1719</v>
      </c>
      <c r="C1909" s="687">
        <v>1264000</v>
      </c>
      <c r="D1909" s="688" t="s">
        <v>68</v>
      </c>
      <c r="E1909" s="689">
        <v>0.01</v>
      </c>
      <c r="F1909" s="687">
        <f t="shared" si="29"/>
        <v>12640</v>
      </c>
    </row>
    <row r="1910" spans="1:6">
      <c r="A1910" s="685"/>
      <c r="B1910" s="686">
        <v>1698</v>
      </c>
      <c r="C1910" s="687">
        <v>250500</v>
      </c>
      <c r="D1910" s="688" t="s">
        <v>68</v>
      </c>
      <c r="E1910" s="689">
        <v>0.01</v>
      </c>
      <c r="F1910" s="687">
        <f t="shared" si="29"/>
        <v>2505</v>
      </c>
    </row>
    <row r="1911" spans="1:6">
      <c r="A1911" s="685"/>
      <c r="B1911" s="686">
        <v>1694</v>
      </c>
      <c r="C1911" s="687">
        <v>300900</v>
      </c>
      <c r="D1911" s="688" t="s">
        <v>68</v>
      </c>
      <c r="E1911" s="689">
        <v>0.01</v>
      </c>
      <c r="F1911" s="687">
        <f t="shared" si="29"/>
        <v>3009</v>
      </c>
    </row>
    <row r="1912" spans="1:6">
      <c r="A1912" s="685"/>
      <c r="B1912" s="686">
        <v>1693</v>
      </c>
      <c r="C1912" s="687">
        <v>10550</v>
      </c>
      <c r="D1912" s="688" t="s">
        <v>68</v>
      </c>
      <c r="E1912" s="689">
        <v>0.01</v>
      </c>
      <c r="F1912" s="687">
        <f t="shared" si="29"/>
        <v>105.5</v>
      </c>
    </row>
    <row r="1913" spans="1:6">
      <c r="A1913" s="685"/>
      <c r="B1913" s="686">
        <v>1686</v>
      </c>
      <c r="C1913" s="687">
        <v>60450</v>
      </c>
      <c r="D1913" s="688" t="s">
        <v>68</v>
      </c>
      <c r="E1913" s="689">
        <v>0.01</v>
      </c>
      <c r="F1913" s="687">
        <f t="shared" si="29"/>
        <v>604.5</v>
      </c>
    </row>
    <row r="1914" spans="1:6">
      <c r="A1914" s="685"/>
      <c r="B1914" s="686">
        <v>1679</v>
      </c>
      <c r="C1914" s="687">
        <v>14350</v>
      </c>
      <c r="D1914" s="688" t="s">
        <v>68</v>
      </c>
      <c r="E1914" s="689">
        <v>0.01</v>
      </c>
      <c r="F1914" s="687">
        <f t="shared" si="29"/>
        <v>143.5</v>
      </c>
    </row>
    <row r="1915" spans="1:6">
      <c r="A1915" s="685"/>
      <c r="B1915" s="686">
        <v>1677</v>
      </c>
      <c r="C1915" s="687">
        <v>59700</v>
      </c>
      <c r="D1915" s="688" t="s">
        <v>68</v>
      </c>
      <c r="E1915" s="689">
        <v>0.01</v>
      </c>
      <c r="F1915" s="687">
        <f t="shared" si="29"/>
        <v>597</v>
      </c>
    </row>
    <row r="1916" spans="1:6">
      <c r="A1916" s="685"/>
      <c r="B1916" s="686">
        <v>1665</v>
      </c>
      <c r="C1916" s="687">
        <v>10550</v>
      </c>
      <c r="D1916" s="688" t="s">
        <v>68</v>
      </c>
      <c r="E1916" s="689">
        <v>0.01</v>
      </c>
      <c r="F1916" s="687">
        <f t="shared" si="29"/>
        <v>105.5</v>
      </c>
    </row>
    <row r="1917" spans="1:6">
      <c r="A1917" s="685"/>
      <c r="B1917" s="686">
        <v>1664</v>
      </c>
      <c r="C1917" s="687">
        <v>21750</v>
      </c>
      <c r="D1917" s="688" t="s">
        <v>68</v>
      </c>
      <c r="E1917" s="689">
        <v>0.01</v>
      </c>
      <c r="F1917" s="687">
        <f t="shared" si="29"/>
        <v>217.5</v>
      </c>
    </row>
    <row r="1918" spans="1:6">
      <c r="A1918" s="685"/>
      <c r="B1918" s="686">
        <v>1653</v>
      </c>
      <c r="C1918" s="687">
        <v>1006600</v>
      </c>
      <c r="D1918" s="688" t="s">
        <v>68</v>
      </c>
      <c r="E1918" s="689">
        <v>0.01</v>
      </c>
      <c r="F1918" s="687">
        <f t="shared" si="29"/>
        <v>10066</v>
      </c>
    </row>
    <row r="1919" spans="1:6">
      <c r="A1919" s="685"/>
      <c r="B1919" s="686">
        <v>1647</v>
      </c>
      <c r="C1919" s="687">
        <v>9100</v>
      </c>
      <c r="D1919" s="688" t="s">
        <v>68</v>
      </c>
      <c r="E1919" s="689">
        <v>0.01</v>
      </c>
      <c r="F1919" s="687">
        <f t="shared" si="29"/>
        <v>91</v>
      </c>
    </row>
    <row r="1920" spans="1:6">
      <c r="A1920" s="685"/>
      <c r="B1920" s="686">
        <v>1643</v>
      </c>
      <c r="C1920" s="687">
        <v>63700</v>
      </c>
      <c r="D1920" s="688" t="s">
        <v>68</v>
      </c>
      <c r="E1920" s="689">
        <v>0.01</v>
      </c>
      <c r="F1920" s="687">
        <f t="shared" si="29"/>
        <v>637</v>
      </c>
    </row>
    <row r="1921" spans="1:6">
      <c r="A1921" s="685"/>
      <c r="B1921" s="686">
        <v>1624</v>
      </c>
      <c r="C1921" s="687">
        <v>72850</v>
      </c>
      <c r="D1921" s="688" t="s">
        <v>68</v>
      </c>
      <c r="E1921" s="689">
        <v>0.01</v>
      </c>
      <c r="F1921" s="687">
        <f t="shared" si="29"/>
        <v>728.5</v>
      </c>
    </row>
    <row r="1922" spans="1:6">
      <c r="A1922" s="685"/>
      <c r="B1922" s="686">
        <v>1621</v>
      </c>
      <c r="C1922" s="687">
        <v>20100</v>
      </c>
      <c r="D1922" s="688" t="s">
        <v>68</v>
      </c>
      <c r="E1922" s="689">
        <v>0.01</v>
      </c>
      <c r="F1922" s="687">
        <f t="shared" si="29"/>
        <v>201</v>
      </c>
    </row>
    <row r="1923" spans="1:6">
      <c r="A1923" s="685"/>
      <c r="B1923" s="686">
        <v>1618</v>
      </c>
      <c r="C1923" s="687">
        <v>36200</v>
      </c>
      <c r="D1923" s="688" t="s">
        <v>68</v>
      </c>
      <c r="E1923" s="689">
        <v>0.01</v>
      </c>
      <c r="F1923" s="687">
        <f t="shared" ref="F1923:F1986" si="30">+C1923*E1923</f>
        <v>362</v>
      </c>
    </row>
    <row r="1924" spans="1:6">
      <c r="A1924" s="685"/>
      <c r="B1924" s="686">
        <v>1617</v>
      </c>
      <c r="C1924" s="687">
        <v>31800</v>
      </c>
      <c r="D1924" s="688" t="s">
        <v>68</v>
      </c>
      <c r="E1924" s="689">
        <v>0.01</v>
      </c>
      <c r="F1924" s="687">
        <f t="shared" si="30"/>
        <v>318</v>
      </c>
    </row>
    <row r="1925" spans="1:6">
      <c r="A1925" s="685"/>
      <c r="B1925" s="686">
        <v>1617</v>
      </c>
      <c r="C1925" s="687">
        <v>96000</v>
      </c>
      <c r="D1925" s="688" t="s">
        <v>68</v>
      </c>
      <c r="E1925" s="689">
        <v>0.01</v>
      </c>
      <c r="F1925" s="687">
        <f t="shared" si="30"/>
        <v>960</v>
      </c>
    </row>
    <row r="1926" spans="1:6">
      <c r="A1926" s="685"/>
      <c r="B1926" s="686">
        <v>2048</v>
      </c>
      <c r="C1926" s="687">
        <v>554450</v>
      </c>
      <c r="D1926" s="688" t="s">
        <v>68</v>
      </c>
      <c r="E1926" s="689">
        <v>0.01</v>
      </c>
      <c r="F1926" s="687">
        <f t="shared" si="30"/>
        <v>5544.5</v>
      </c>
    </row>
    <row r="1927" spans="1:6">
      <c r="A1927" s="685"/>
      <c r="B1927" s="686">
        <v>2035</v>
      </c>
      <c r="C1927" s="687">
        <v>351000</v>
      </c>
      <c r="D1927" s="688" t="s">
        <v>68</v>
      </c>
      <c r="E1927" s="689">
        <v>0.01</v>
      </c>
      <c r="F1927" s="687">
        <f t="shared" si="30"/>
        <v>3510</v>
      </c>
    </row>
    <row r="1928" spans="1:6">
      <c r="A1928" s="685"/>
      <c r="B1928" s="686">
        <v>2035</v>
      </c>
      <c r="C1928" s="687">
        <v>97500</v>
      </c>
      <c r="D1928" s="688" t="s">
        <v>68</v>
      </c>
      <c r="E1928" s="689">
        <v>0.01</v>
      </c>
      <c r="F1928" s="687">
        <f t="shared" si="30"/>
        <v>975</v>
      </c>
    </row>
    <row r="1929" spans="1:6">
      <c r="A1929" s="685"/>
      <c r="B1929" s="686">
        <v>2032</v>
      </c>
      <c r="C1929" s="687">
        <v>258395</v>
      </c>
      <c r="D1929" s="688" t="s">
        <v>68</v>
      </c>
      <c r="E1929" s="689">
        <v>0.01</v>
      </c>
      <c r="F1929" s="687">
        <f t="shared" si="30"/>
        <v>2583.9500000000003</v>
      </c>
    </row>
    <row r="1930" spans="1:6">
      <c r="A1930" s="685"/>
      <c r="B1930" s="686">
        <v>2030</v>
      </c>
      <c r="C1930" s="687">
        <v>23350</v>
      </c>
      <c r="D1930" s="688" t="s">
        <v>68</v>
      </c>
      <c r="E1930" s="689">
        <v>0.01</v>
      </c>
      <c r="F1930" s="687">
        <f t="shared" si="30"/>
        <v>233.5</v>
      </c>
    </row>
    <row r="1931" spans="1:6">
      <c r="A1931" s="685"/>
      <c r="B1931" s="686">
        <v>998</v>
      </c>
      <c r="C1931" s="687">
        <v>1491700</v>
      </c>
      <c r="D1931" s="688" t="s">
        <v>68</v>
      </c>
      <c r="E1931" s="689">
        <v>0.05</v>
      </c>
      <c r="F1931" s="687">
        <f t="shared" si="30"/>
        <v>74585</v>
      </c>
    </row>
    <row r="1932" spans="1:6">
      <c r="A1932" s="685"/>
      <c r="B1932" s="686">
        <v>2981</v>
      </c>
      <c r="C1932" s="687">
        <v>513800</v>
      </c>
      <c r="D1932" s="688" t="s">
        <v>68</v>
      </c>
      <c r="E1932" s="689">
        <v>0.01</v>
      </c>
      <c r="F1932" s="687">
        <f t="shared" si="30"/>
        <v>5138</v>
      </c>
    </row>
    <row r="1933" spans="1:6">
      <c r="A1933" s="685"/>
      <c r="B1933" s="686">
        <v>1916</v>
      </c>
      <c r="C1933" s="687">
        <v>338056</v>
      </c>
      <c r="D1933" s="688" t="s">
        <v>68</v>
      </c>
      <c r="E1933" s="689">
        <v>0.01</v>
      </c>
      <c r="F1933" s="687">
        <f t="shared" si="30"/>
        <v>3380.56</v>
      </c>
    </row>
    <row r="1934" spans="1:6">
      <c r="A1934" s="685"/>
      <c r="B1934" s="686">
        <v>1870</v>
      </c>
      <c r="C1934" s="687">
        <v>78050</v>
      </c>
      <c r="D1934" s="688" t="s">
        <v>68</v>
      </c>
      <c r="E1934" s="689">
        <v>0.01</v>
      </c>
      <c r="F1934" s="687">
        <f t="shared" si="30"/>
        <v>780.5</v>
      </c>
    </row>
    <row r="1935" spans="1:6">
      <c r="A1935" s="685"/>
      <c r="B1935" s="686">
        <v>1838</v>
      </c>
      <c r="C1935" s="687">
        <v>372000</v>
      </c>
      <c r="D1935" s="688" t="s">
        <v>68</v>
      </c>
      <c r="E1935" s="689">
        <v>0.01</v>
      </c>
      <c r="F1935" s="687">
        <f t="shared" si="30"/>
        <v>3720</v>
      </c>
    </row>
    <row r="1936" spans="1:6">
      <c r="A1936" s="685"/>
      <c r="B1936" s="686">
        <v>1849</v>
      </c>
      <c r="C1936" s="687">
        <v>111200</v>
      </c>
      <c r="D1936" s="688" t="s">
        <v>68</v>
      </c>
      <c r="E1936" s="689">
        <v>0.01</v>
      </c>
      <c r="F1936" s="687">
        <f t="shared" si="30"/>
        <v>1112</v>
      </c>
    </row>
    <row r="1937" spans="1:6">
      <c r="A1937" s="685"/>
      <c r="B1937" s="686">
        <v>1728</v>
      </c>
      <c r="C1937" s="687">
        <v>211050</v>
      </c>
      <c r="D1937" s="688" t="s">
        <v>68</v>
      </c>
      <c r="E1937" s="689">
        <v>0.01</v>
      </c>
      <c r="F1937" s="687">
        <f t="shared" si="30"/>
        <v>2110.5</v>
      </c>
    </row>
    <row r="1938" spans="1:6">
      <c r="A1938" s="685"/>
      <c r="B1938" s="686">
        <v>1725</v>
      </c>
      <c r="C1938" s="687">
        <v>464800</v>
      </c>
      <c r="D1938" s="688" t="s">
        <v>68</v>
      </c>
      <c r="E1938" s="689">
        <v>0.01</v>
      </c>
      <c r="F1938" s="687">
        <f t="shared" si="30"/>
        <v>4648</v>
      </c>
    </row>
    <row r="1939" spans="1:6">
      <c r="A1939" s="685"/>
      <c r="B1939" s="686">
        <v>1723</v>
      </c>
      <c r="C1939" s="687">
        <v>58100</v>
      </c>
      <c r="D1939" s="688" t="s">
        <v>68</v>
      </c>
      <c r="E1939" s="689">
        <v>0.01</v>
      </c>
      <c r="F1939" s="687">
        <f t="shared" si="30"/>
        <v>581</v>
      </c>
    </row>
    <row r="1940" spans="1:6">
      <c r="A1940" s="685"/>
      <c r="B1940" s="686">
        <v>1719</v>
      </c>
      <c r="C1940" s="687">
        <v>523300</v>
      </c>
      <c r="D1940" s="688" t="s">
        <v>68</v>
      </c>
      <c r="E1940" s="689">
        <v>0.01</v>
      </c>
      <c r="F1940" s="687">
        <f t="shared" si="30"/>
        <v>5233</v>
      </c>
    </row>
    <row r="1941" spans="1:6">
      <c r="A1941" s="685"/>
      <c r="B1941" s="686">
        <v>1716</v>
      </c>
      <c r="C1941" s="687">
        <v>88900</v>
      </c>
      <c r="D1941" s="688" t="s">
        <v>68</v>
      </c>
      <c r="E1941" s="689">
        <v>0.01</v>
      </c>
      <c r="F1941" s="687">
        <f t="shared" si="30"/>
        <v>889</v>
      </c>
    </row>
    <row r="1942" spans="1:6">
      <c r="A1942" s="685"/>
      <c r="B1942" s="686">
        <v>1714</v>
      </c>
      <c r="C1942" s="687">
        <v>114350</v>
      </c>
      <c r="D1942" s="688" t="s">
        <v>68</v>
      </c>
      <c r="E1942" s="689">
        <v>0.01</v>
      </c>
      <c r="F1942" s="687">
        <f t="shared" si="30"/>
        <v>1143.5</v>
      </c>
    </row>
    <row r="1943" spans="1:6">
      <c r="A1943" s="685"/>
      <c r="B1943" s="686">
        <v>1713</v>
      </c>
      <c r="C1943" s="687">
        <v>465200</v>
      </c>
      <c r="D1943" s="688" t="s">
        <v>68</v>
      </c>
      <c r="E1943" s="689">
        <v>0.01</v>
      </c>
      <c r="F1943" s="687">
        <f t="shared" si="30"/>
        <v>4652</v>
      </c>
    </row>
    <row r="1944" spans="1:6">
      <c r="A1944" s="685"/>
      <c r="B1944" s="686">
        <v>1710</v>
      </c>
      <c r="C1944" s="687">
        <v>464800</v>
      </c>
      <c r="D1944" s="688" t="s">
        <v>68</v>
      </c>
      <c r="E1944" s="689">
        <v>0.01</v>
      </c>
      <c r="F1944" s="687">
        <f t="shared" si="30"/>
        <v>4648</v>
      </c>
    </row>
    <row r="1945" spans="1:6">
      <c r="A1945" s="685"/>
      <c r="B1945" s="686">
        <v>1709</v>
      </c>
      <c r="C1945" s="687">
        <v>178950</v>
      </c>
      <c r="D1945" s="688" t="s">
        <v>68</v>
      </c>
      <c r="E1945" s="689">
        <v>0.01</v>
      </c>
      <c r="F1945" s="687">
        <f t="shared" si="30"/>
        <v>1789.5</v>
      </c>
    </row>
    <row r="1946" spans="1:6">
      <c r="A1946" s="685"/>
      <c r="B1946" s="686">
        <v>1704</v>
      </c>
      <c r="C1946" s="687">
        <v>65300</v>
      </c>
      <c r="D1946" s="688" t="s">
        <v>68</v>
      </c>
      <c r="E1946" s="689">
        <v>0.01</v>
      </c>
      <c r="F1946" s="687">
        <f t="shared" si="30"/>
        <v>653</v>
      </c>
    </row>
    <row r="1947" spans="1:6">
      <c r="A1947" s="685"/>
      <c r="B1947" s="686">
        <v>1776</v>
      </c>
      <c r="C1947" s="687">
        <v>1964900</v>
      </c>
      <c r="D1947" s="688" t="s">
        <v>68</v>
      </c>
      <c r="E1947" s="689">
        <v>0.01</v>
      </c>
      <c r="F1947" s="687">
        <f t="shared" si="30"/>
        <v>19649</v>
      </c>
    </row>
    <row r="1948" spans="1:6">
      <c r="A1948" s="685"/>
      <c r="B1948" s="686">
        <v>1698</v>
      </c>
      <c r="C1948" s="687">
        <v>71150</v>
      </c>
      <c r="D1948" s="688" t="s">
        <v>68</v>
      </c>
      <c r="E1948" s="689">
        <v>0.01</v>
      </c>
      <c r="F1948" s="687">
        <f t="shared" si="30"/>
        <v>711.5</v>
      </c>
    </row>
    <row r="1949" spans="1:6">
      <c r="A1949" s="685"/>
      <c r="B1949" s="686">
        <v>1698</v>
      </c>
      <c r="C1949" s="687">
        <v>349000</v>
      </c>
      <c r="D1949" s="688" t="s">
        <v>68</v>
      </c>
      <c r="E1949" s="689">
        <v>0.01</v>
      </c>
      <c r="F1949" s="687">
        <f t="shared" si="30"/>
        <v>3490</v>
      </c>
    </row>
    <row r="1950" spans="1:6">
      <c r="A1950" s="685"/>
      <c r="B1950" s="686">
        <v>1695</v>
      </c>
      <c r="C1950" s="687">
        <v>106250</v>
      </c>
      <c r="D1950" s="688" t="s">
        <v>68</v>
      </c>
      <c r="E1950" s="689">
        <v>0.01</v>
      </c>
      <c r="F1950" s="687">
        <f t="shared" si="30"/>
        <v>1062.5</v>
      </c>
    </row>
    <row r="1951" spans="1:6">
      <c r="A1951" s="685"/>
      <c r="B1951" s="686">
        <v>1769</v>
      </c>
      <c r="C1951" s="687">
        <v>1046640</v>
      </c>
      <c r="D1951" s="688" t="s">
        <v>68</v>
      </c>
      <c r="E1951" s="689">
        <v>0.01</v>
      </c>
      <c r="F1951" s="687">
        <f t="shared" si="30"/>
        <v>10466.4</v>
      </c>
    </row>
    <row r="1952" spans="1:6">
      <c r="A1952" s="685"/>
      <c r="B1952" s="686">
        <v>1694</v>
      </c>
      <c r="C1952" s="687">
        <v>1335000</v>
      </c>
      <c r="D1952" s="688" t="s">
        <v>68</v>
      </c>
      <c r="E1952" s="689">
        <v>0.01</v>
      </c>
      <c r="F1952" s="687">
        <f t="shared" si="30"/>
        <v>13350</v>
      </c>
    </row>
    <row r="1953" spans="1:6">
      <c r="A1953" s="685"/>
      <c r="B1953" s="686">
        <v>1693</v>
      </c>
      <c r="C1953" s="687">
        <v>348600</v>
      </c>
      <c r="D1953" s="688" t="s">
        <v>68</v>
      </c>
      <c r="E1953" s="689">
        <v>0.01</v>
      </c>
      <c r="F1953" s="687">
        <f t="shared" si="30"/>
        <v>3486</v>
      </c>
    </row>
    <row r="1954" spans="1:6">
      <c r="A1954" s="685"/>
      <c r="B1954" s="686">
        <v>1688</v>
      </c>
      <c r="C1954" s="687">
        <v>121500</v>
      </c>
      <c r="D1954" s="688" t="s">
        <v>68</v>
      </c>
      <c r="E1954" s="689">
        <v>0.01</v>
      </c>
      <c r="F1954" s="687">
        <f t="shared" si="30"/>
        <v>1215</v>
      </c>
    </row>
    <row r="1955" spans="1:6">
      <c r="A1955" s="685"/>
      <c r="B1955" s="686">
        <v>1687</v>
      </c>
      <c r="C1955" s="687">
        <v>290500</v>
      </c>
      <c r="D1955" s="688" t="s">
        <v>68</v>
      </c>
      <c r="E1955" s="689">
        <v>0.01</v>
      </c>
      <c r="F1955" s="687">
        <f t="shared" si="30"/>
        <v>2905</v>
      </c>
    </row>
    <row r="1956" spans="1:6">
      <c r="A1956" s="685"/>
      <c r="B1956" s="686">
        <v>1687</v>
      </c>
      <c r="C1956" s="687">
        <v>58100</v>
      </c>
      <c r="D1956" s="688" t="s">
        <v>68</v>
      </c>
      <c r="E1956" s="689">
        <v>0.01</v>
      </c>
      <c r="F1956" s="687">
        <f t="shared" si="30"/>
        <v>581</v>
      </c>
    </row>
    <row r="1957" spans="1:6">
      <c r="A1957" s="685"/>
      <c r="B1957" s="686">
        <v>1685</v>
      </c>
      <c r="C1957" s="687">
        <v>116600</v>
      </c>
      <c r="D1957" s="688" t="s">
        <v>68</v>
      </c>
      <c r="E1957" s="689">
        <v>0.01</v>
      </c>
      <c r="F1957" s="687">
        <f t="shared" si="30"/>
        <v>1166</v>
      </c>
    </row>
    <row r="1958" spans="1:6">
      <c r="A1958" s="685"/>
      <c r="B1958" s="686">
        <v>1683</v>
      </c>
      <c r="C1958" s="687">
        <v>288150</v>
      </c>
      <c r="D1958" s="688" t="s">
        <v>68</v>
      </c>
      <c r="E1958" s="689">
        <v>0.01</v>
      </c>
      <c r="F1958" s="687">
        <f t="shared" si="30"/>
        <v>2881.5</v>
      </c>
    </row>
    <row r="1959" spans="1:6">
      <c r="A1959" s="685"/>
      <c r="B1959" s="686">
        <v>1676</v>
      </c>
      <c r="C1959" s="687">
        <v>290500</v>
      </c>
      <c r="D1959" s="688" t="s">
        <v>68</v>
      </c>
      <c r="E1959" s="689">
        <v>0.01</v>
      </c>
      <c r="F1959" s="687">
        <f t="shared" si="30"/>
        <v>2905</v>
      </c>
    </row>
    <row r="1960" spans="1:6">
      <c r="A1960" s="685"/>
      <c r="B1960" s="686">
        <v>1876</v>
      </c>
      <c r="C1960" s="687">
        <v>3850000</v>
      </c>
      <c r="D1960" s="688" t="s">
        <v>68</v>
      </c>
      <c r="E1960" s="689">
        <v>0.01</v>
      </c>
      <c r="F1960" s="687">
        <f t="shared" si="30"/>
        <v>38500</v>
      </c>
    </row>
    <row r="1961" spans="1:6">
      <c r="A1961" s="685"/>
      <c r="B1961" s="686">
        <v>1874</v>
      </c>
      <c r="C1961" s="687">
        <v>3311000</v>
      </c>
      <c r="D1961" s="688" t="s">
        <v>68</v>
      </c>
      <c r="E1961" s="689">
        <v>0.01</v>
      </c>
      <c r="F1961" s="687">
        <f t="shared" si="30"/>
        <v>33110</v>
      </c>
    </row>
    <row r="1962" spans="1:6">
      <c r="A1962" s="685"/>
      <c r="B1962" s="686">
        <v>1869</v>
      </c>
      <c r="C1962" s="687">
        <v>1771000</v>
      </c>
      <c r="D1962" s="688" t="s">
        <v>68</v>
      </c>
      <c r="E1962" s="689">
        <v>0.01</v>
      </c>
      <c r="F1962" s="687">
        <f t="shared" si="30"/>
        <v>17710</v>
      </c>
    </row>
    <row r="1963" spans="1:6">
      <c r="A1963" s="685"/>
      <c r="B1963" s="686">
        <v>1868</v>
      </c>
      <c r="C1963" s="687">
        <v>4620000</v>
      </c>
      <c r="D1963" s="688" t="s">
        <v>68</v>
      </c>
      <c r="E1963" s="689">
        <v>0.01</v>
      </c>
      <c r="F1963" s="687">
        <f t="shared" si="30"/>
        <v>46200</v>
      </c>
    </row>
    <row r="1964" spans="1:6">
      <c r="A1964" s="685"/>
      <c r="B1964" s="686">
        <v>1866</v>
      </c>
      <c r="C1964" s="687">
        <v>1728000</v>
      </c>
      <c r="D1964" s="688" t="s">
        <v>68</v>
      </c>
      <c r="E1964" s="689">
        <v>0.01</v>
      </c>
      <c r="F1964" s="687">
        <f t="shared" si="30"/>
        <v>17280</v>
      </c>
    </row>
    <row r="1965" spans="1:6">
      <c r="A1965" s="685"/>
      <c r="B1965" s="686">
        <v>1863</v>
      </c>
      <c r="C1965" s="687">
        <v>329850</v>
      </c>
      <c r="D1965" s="688" t="s">
        <v>68</v>
      </c>
      <c r="E1965" s="689">
        <v>0.01</v>
      </c>
      <c r="F1965" s="687">
        <f t="shared" si="30"/>
        <v>3298.5</v>
      </c>
    </row>
    <row r="1966" spans="1:6">
      <c r="A1966" s="685"/>
      <c r="B1966" s="686">
        <v>1856</v>
      </c>
      <c r="C1966" s="687">
        <v>154550</v>
      </c>
      <c r="D1966" s="688" t="s">
        <v>68</v>
      </c>
      <c r="E1966" s="689">
        <v>0.01</v>
      </c>
      <c r="F1966" s="687">
        <f t="shared" si="30"/>
        <v>1545.5</v>
      </c>
    </row>
    <row r="1967" spans="1:6">
      <c r="A1967" s="685"/>
      <c r="B1967" s="686">
        <v>1848</v>
      </c>
      <c r="C1967" s="687">
        <v>119000</v>
      </c>
      <c r="D1967" s="688" t="s">
        <v>68</v>
      </c>
      <c r="E1967" s="689">
        <v>0.01</v>
      </c>
      <c r="F1967" s="687">
        <f t="shared" si="30"/>
        <v>1190</v>
      </c>
    </row>
    <row r="1968" spans="1:6">
      <c r="A1968" s="685"/>
      <c r="B1968" s="686">
        <v>1842</v>
      </c>
      <c r="C1968" s="687">
        <v>83400</v>
      </c>
      <c r="D1968" s="688" t="s">
        <v>68</v>
      </c>
      <c r="E1968" s="689">
        <v>0.01</v>
      </c>
      <c r="F1968" s="687">
        <f t="shared" si="30"/>
        <v>834</v>
      </c>
    </row>
    <row r="1969" spans="1:6">
      <c r="A1969" s="685"/>
      <c r="B1969" s="686">
        <v>1916</v>
      </c>
      <c r="C1969" s="687">
        <v>97118</v>
      </c>
      <c r="D1969" s="688" t="s">
        <v>68</v>
      </c>
      <c r="E1969" s="689">
        <v>0.01</v>
      </c>
      <c r="F1969" s="687">
        <f t="shared" si="30"/>
        <v>971.18000000000006</v>
      </c>
    </row>
    <row r="1970" spans="1:6">
      <c r="A1970" s="685"/>
      <c r="B1970" s="686">
        <v>1840</v>
      </c>
      <c r="C1970" s="687">
        <v>64000</v>
      </c>
      <c r="D1970" s="688" t="s">
        <v>68</v>
      </c>
      <c r="E1970" s="689">
        <v>0.01</v>
      </c>
      <c r="F1970" s="687">
        <f t="shared" si="30"/>
        <v>640</v>
      </c>
    </row>
    <row r="1971" spans="1:6">
      <c r="A1971" s="685"/>
      <c r="B1971" s="686">
        <v>1915</v>
      </c>
      <c r="C1971" s="687">
        <v>94080</v>
      </c>
      <c r="D1971" s="688" t="s">
        <v>68</v>
      </c>
      <c r="E1971" s="689">
        <v>0.01</v>
      </c>
      <c r="F1971" s="687">
        <f t="shared" si="30"/>
        <v>940.80000000000007</v>
      </c>
    </row>
    <row r="1972" spans="1:6">
      <c r="A1972" s="685"/>
      <c r="B1972" s="686">
        <v>1914</v>
      </c>
      <c r="C1972" s="687">
        <v>311493</v>
      </c>
      <c r="D1972" s="688" t="s">
        <v>68</v>
      </c>
      <c r="E1972" s="689">
        <v>0.01</v>
      </c>
      <c r="F1972" s="687">
        <f t="shared" si="30"/>
        <v>3114.9300000000003</v>
      </c>
    </row>
    <row r="1973" spans="1:6">
      <c r="A1973" s="685"/>
      <c r="B1973" s="686">
        <v>1831</v>
      </c>
      <c r="C1973" s="687">
        <v>160000</v>
      </c>
      <c r="D1973" s="688" t="s">
        <v>68</v>
      </c>
      <c r="E1973" s="689">
        <v>0.01</v>
      </c>
      <c r="F1973" s="687">
        <f t="shared" si="30"/>
        <v>1600</v>
      </c>
    </row>
    <row r="1974" spans="1:6">
      <c r="A1974" s="685"/>
      <c r="B1974" s="686">
        <v>1807</v>
      </c>
      <c r="C1974" s="687">
        <v>155441</v>
      </c>
      <c r="D1974" s="688" t="s">
        <v>68</v>
      </c>
      <c r="E1974" s="689">
        <v>0.01</v>
      </c>
      <c r="F1974" s="687">
        <f t="shared" si="30"/>
        <v>1554.41</v>
      </c>
    </row>
    <row r="1975" spans="1:6">
      <c r="A1975" s="685"/>
      <c r="B1975" s="686">
        <v>1800</v>
      </c>
      <c r="C1975" s="687">
        <v>129500</v>
      </c>
      <c r="D1975" s="688" t="s">
        <v>68</v>
      </c>
      <c r="E1975" s="689">
        <v>0.01</v>
      </c>
      <c r="F1975" s="687">
        <f t="shared" si="30"/>
        <v>1295</v>
      </c>
    </row>
    <row r="1976" spans="1:6">
      <c r="A1976" s="685"/>
      <c r="B1976" s="686">
        <v>1793</v>
      </c>
      <c r="C1976" s="687">
        <v>36450</v>
      </c>
      <c r="D1976" s="688" t="s">
        <v>68</v>
      </c>
      <c r="E1976" s="689">
        <v>0.01</v>
      </c>
      <c r="F1976" s="687">
        <f t="shared" si="30"/>
        <v>364.5</v>
      </c>
    </row>
    <row r="1977" spans="1:6">
      <c r="A1977" s="685"/>
      <c r="B1977" s="686">
        <v>1779</v>
      </c>
      <c r="C1977" s="687">
        <v>71100</v>
      </c>
      <c r="D1977" s="688" t="s">
        <v>68</v>
      </c>
      <c r="E1977" s="689">
        <v>0.01</v>
      </c>
      <c r="F1977" s="687">
        <f t="shared" si="30"/>
        <v>711</v>
      </c>
    </row>
    <row r="1978" spans="1:6">
      <c r="A1978" s="685"/>
      <c r="B1978" s="686">
        <v>1764</v>
      </c>
      <c r="C1978" s="687">
        <v>134950</v>
      </c>
      <c r="D1978" s="688" t="s">
        <v>68</v>
      </c>
      <c r="E1978" s="689">
        <v>0.01</v>
      </c>
      <c r="F1978" s="687">
        <f t="shared" si="30"/>
        <v>1349.5</v>
      </c>
    </row>
    <row r="1979" spans="1:6">
      <c r="A1979" s="685"/>
      <c r="B1979" s="686">
        <v>1751</v>
      </c>
      <c r="C1979" s="687">
        <v>131150</v>
      </c>
      <c r="D1979" s="688" t="s">
        <v>68</v>
      </c>
      <c r="E1979" s="689">
        <v>0.01</v>
      </c>
      <c r="F1979" s="687">
        <f t="shared" si="30"/>
        <v>1311.5</v>
      </c>
    </row>
    <row r="1980" spans="1:6">
      <c r="A1980" s="685"/>
      <c r="B1980" s="686">
        <v>1750</v>
      </c>
      <c r="C1980" s="687">
        <v>407500</v>
      </c>
      <c r="D1980" s="688" t="s">
        <v>68</v>
      </c>
      <c r="E1980" s="689">
        <v>0.01</v>
      </c>
      <c r="F1980" s="687">
        <f t="shared" si="30"/>
        <v>4075</v>
      </c>
    </row>
    <row r="1981" spans="1:6">
      <c r="A1981" s="685"/>
      <c r="B1981" s="686">
        <v>1749</v>
      </c>
      <c r="C1981" s="687">
        <v>23000</v>
      </c>
      <c r="D1981" s="688" t="s">
        <v>68</v>
      </c>
      <c r="E1981" s="689">
        <v>0.01</v>
      </c>
      <c r="F1981" s="687">
        <f t="shared" si="30"/>
        <v>230</v>
      </c>
    </row>
    <row r="1982" spans="1:6">
      <c r="A1982" s="685"/>
      <c r="B1982" s="686">
        <v>1745</v>
      </c>
      <c r="C1982" s="687">
        <v>290500</v>
      </c>
      <c r="D1982" s="688" t="s">
        <v>68</v>
      </c>
      <c r="E1982" s="689">
        <v>0.01</v>
      </c>
      <c r="F1982" s="687">
        <f t="shared" si="30"/>
        <v>2905</v>
      </c>
    </row>
    <row r="1983" spans="1:6">
      <c r="A1983" s="685"/>
      <c r="B1983" s="686">
        <v>1739</v>
      </c>
      <c r="C1983" s="687">
        <v>582200</v>
      </c>
      <c r="D1983" s="688" t="s">
        <v>68</v>
      </c>
      <c r="E1983" s="689">
        <v>0.01</v>
      </c>
      <c r="F1983" s="687">
        <f t="shared" si="30"/>
        <v>5822</v>
      </c>
    </row>
    <row r="1984" spans="1:6">
      <c r="A1984" s="685"/>
      <c r="B1984" s="686">
        <v>3554</v>
      </c>
      <c r="C1984" s="687">
        <v>36192</v>
      </c>
      <c r="D1984" s="688" t="s">
        <v>68</v>
      </c>
      <c r="E1984" s="689">
        <v>0.01</v>
      </c>
      <c r="F1984" s="687">
        <f t="shared" si="30"/>
        <v>361.92</v>
      </c>
    </row>
    <row r="1985" spans="1:6">
      <c r="A1985" s="685"/>
      <c r="B1985" s="686">
        <v>3238</v>
      </c>
      <c r="C1985" s="687">
        <v>77997</v>
      </c>
      <c r="D1985" s="688" t="s">
        <v>68</v>
      </c>
      <c r="E1985" s="689">
        <v>0.01</v>
      </c>
      <c r="F1985" s="687">
        <f t="shared" si="30"/>
        <v>779.97</v>
      </c>
    </row>
    <row r="1986" spans="1:6">
      <c r="A1986" s="685"/>
      <c r="B1986" s="686">
        <v>3354</v>
      </c>
      <c r="C1986" s="687">
        <v>779972</v>
      </c>
      <c r="D1986" s="688" t="s">
        <v>68</v>
      </c>
      <c r="E1986" s="689">
        <v>0.01</v>
      </c>
      <c r="F1986" s="687">
        <f t="shared" si="30"/>
        <v>7799.72</v>
      </c>
    </row>
    <row r="1987" spans="1:6">
      <c r="A1987" s="685"/>
      <c r="B1987" s="686">
        <v>1974</v>
      </c>
      <c r="C1987" s="687">
        <v>769731</v>
      </c>
      <c r="D1987" s="688" t="s">
        <v>68</v>
      </c>
      <c r="E1987" s="689">
        <v>0.01</v>
      </c>
      <c r="F1987" s="687">
        <f t="shared" ref="F1987:F2050" si="31">+C1987*E1987</f>
        <v>7697.31</v>
      </c>
    </row>
    <row r="1988" spans="1:6">
      <c r="A1988" s="685"/>
      <c r="B1988" s="686">
        <v>3330</v>
      </c>
      <c r="C1988" s="687">
        <v>349601</v>
      </c>
      <c r="D1988" s="688" t="s">
        <v>68</v>
      </c>
      <c r="E1988" s="689">
        <v>0.01</v>
      </c>
      <c r="F1988" s="687">
        <f t="shared" si="31"/>
        <v>3496.01</v>
      </c>
    </row>
    <row r="1989" spans="1:6">
      <c r="A1989" s="685"/>
      <c r="B1989" s="686">
        <v>3311</v>
      </c>
      <c r="C1989" s="687">
        <v>369842</v>
      </c>
      <c r="D1989" s="688" t="s">
        <v>68</v>
      </c>
      <c r="E1989" s="689">
        <v>0.01</v>
      </c>
      <c r="F1989" s="687">
        <f t="shared" si="31"/>
        <v>3698.42</v>
      </c>
    </row>
    <row r="1990" spans="1:6">
      <c r="A1990" s="685"/>
      <c r="B1990" s="686">
        <v>3309</v>
      </c>
      <c r="C1990" s="687">
        <v>232928</v>
      </c>
      <c r="D1990" s="688" t="s">
        <v>68</v>
      </c>
      <c r="E1990" s="689">
        <v>0.01</v>
      </c>
      <c r="F1990" s="687">
        <f t="shared" si="31"/>
        <v>2329.2800000000002</v>
      </c>
    </row>
    <row r="1991" spans="1:6">
      <c r="A1991" s="685"/>
      <c r="B1991" s="686">
        <v>3372</v>
      </c>
      <c r="C1991" s="687">
        <v>287478</v>
      </c>
      <c r="D1991" s="688" t="s">
        <v>68</v>
      </c>
      <c r="E1991" s="689">
        <v>0.01</v>
      </c>
      <c r="F1991" s="687">
        <f t="shared" si="31"/>
        <v>2874.78</v>
      </c>
    </row>
    <row r="1992" spans="1:6">
      <c r="A1992" s="685"/>
      <c r="B1992" s="686">
        <v>917</v>
      </c>
      <c r="C1992" s="687">
        <v>1409800</v>
      </c>
      <c r="D1992" s="688" t="s">
        <v>68</v>
      </c>
      <c r="E1992" s="689">
        <v>0.05</v>
      </c>
      <c r="F1992" s="687">
        <f t="shared" si="31"/>
        <v>70490</v>
      </c>
    </row>
    <row r="1993" spans="1:6">
      <c r="A1993" s="685"/>
      <c r="B1993" s="686">
        <v>906</v>
      </c>
      <c r="C1993" s="687">
        <v>259000</v>
      </c>
      <c r="D1993" s="688" t="s">
        <v>68</v>
      </c>
      <c r="E1993" s="689">
        <v>0.05</v>
      </c>
      <c r="F1993" s="687">
        <f t="shared" si="31"/>
        <v>12950</v>
      </c>
    </row>
    <row r="1994" spans="1:6">
      <c r="A1994" s="685"/>
      <c r="B1994" s="686">
        <v>872</v>
      </c>
      <c r="C1994" s="687">
        <v>870400</v>
      </c>
      <c r="D1994" s="688" t="s">
        <v>68</v>
      </c>
      <c r="E1994" s="689">
        <v>0.05</v>
      </c>
      <c r="F1994" s="687">
        <f t="shared" si="31"/>
        <v>43520</v>
      </c>
    </row>
    <row r="1995" spans="1:6">
      <c r="A1995" s="685"/>
      <c r="B1995" s="686">
        <v>825</v>
      </c>
      <c r="C1995" s="687">
        <v>1340000</v>
      </c>
      <c r="D1995" s="688" t="s">
        <v>68</v>
      </c>
      <c r="E1995" s="689">
        <v>0.05</v>
      </c>
      <c r="F1995" s="687">
        <f t="shared" si="31"/>
        <v>67000</v>
      </c>
    </row>
    <row r="1996" spans="1:6">
      <c r="A1996" s="685"/>
      <c r="B1996" s="686">
        <v>815</v>
      </c>
      <c r="C1996" s="687">
        <v>872400</v>
      </c>
      <c r="D1996" s="688" t="s">
        <v>68</v>
      </c>
      <c r="E1996" s="689">
        <v>0.05</v>
      </c>
      <c r="F1996" s="687">
        <f t="shared" si="31"/>
        <v>43620</v>
      </c>
    </row>
    <row r="1997" spans="1:6">
      <c r="A1997" s="685"/>
      <c r="B1997" s="686">
        <v>587</v>
      </c>
      <c r="C1997" s="687">
        <v>130793</v>
      </c>
      <c r="D1997" s="688" t="s">
        <v>68</v>
      </c>
      <c r="E1997" s="689">
        <v>0.1</v>
      </c>
      <c r="F1997" s="687">
        <f t="shared" si="31"/>
        <v>13079.300000000001</v>
      </c>
    </row>
    <row r="1998" spans="1:6">
      <c r="A1998" s="685"/>
      <c r="B1998" s="686">
        <v>1767</v>
      </c>
      <c r="C1998" s="687">
        <v>61446</v>
      </c>
      <c r="D1998" s="688" t="s">
        <v>68</v>
      </c>
      <c r="E1998" s="689">
        <v>0.01</v>
      </c>
      <c r="F1998" s="687">
        <f t="shared" si="31"/>
        <v>614.46</v>
      </c>
    </row>
    <row r="1999" spans="1:6">
      <c r="A1999" s="685"/>
      <c r="B1999" s="686">
        <v>1669</v>
      </c>
      <c r="C1999" s="687">
        <v>240000</v>
      </c>
      <c r="D1999" s="688" t="s">
        <v>68</v>
      </c>
      <c r="E1999" s="689">
        <v>0.01</v>
      </c>
      <c r="F1999" s="687">
        <f t="shared" si="31"/>
        <v>2400</v>
      </c>
    </row>
    <row r="2000" spans="1:6">
      <c r="A2000" s="685"/>
      <c r="B2000" s="686">
        <v>1724</v>
      </c>
      <c r="C2000" s="687">
        <v>92120</v>
      </c>
      <c r="D2000" s="688" t="s">
        <v>68</v>
      </c>
      <c r="E2000" s="689">
        <v>0.01</v>
      </c>
      <c r="F2000" s="687">
        <f t="shared" si="31"/>
        <v>921.2</v>
      </c>
    </row>
    <row r="2001" spans="1:6">
      <c r="A2001" s="685"/>
      <c r="B2001" s="686">
        <v>1724</v>
      </c>
      <c r="C2001" s="687">
        <v>246960</v>
      </c>
      <c r="D2001" s="688" t="s">
        <v>68</v>
      </c>
      <c r="E2001" s="689">
        <v>0.01</v>
      </c>
      <c r="F2001" s="687">
        <f t="shared" si="31"/>
        <v>2469.6</v>
      </c>
    </row>
    <row r="2002" spans="1:6">
      <c r="A2002" s="685"/>
      <c r="B2002" s="686">
        <v>1641</v>
      </c>
      <c r="C2002" s="687">
        <v>972400</v>
      </c>
      <c r="D2002" s="688" t="s">
        <v>68</v>
      </c>
      <c r="E2002" s="689">
        <v>0.01</v>
      </c>
      <c r="F2002" s="687">
        <f t="shared" si="31"/>
        <v>9724</v>
      </c>
    </row>
    <row r="2003" spans="1:6">
      <c r="A2003" s="685"/>
      <c r="B2003" s="686">
        <v>1638</v>
      </c>
      <c r="C2003" s="687">
        <v>605950</v>
      </c>
      <c r="D2003" s="688" t="s">
        <v>68</v>
      </c>
      <c r="E2003" s="689">
        <v>0.01</v>
      </c>
      <c r="F2003" s="687">
        <f t="shared" si="31"/>
        <v>6059.5</v>
      </c>
    </row>
    <row r="2004" spans="1:6">
      <c r="A2004" s="685"/>
      <c r="B2004" s="686">
        <v>1711</v>
      </c>
      <c r="C2004" s="687">
        <v>71148</v>
      </c>
      <c r="D2004" s="688" t="s">
        <v>68</v>
      </c>
      <c r="E2004" s="689">
        <v>0.01</v>
      </c>
      <c r="F2004" s="687">
        <f t="shared" si="31"/>
        <v>711.48</v>
      </c>
    </row>
    <row r="2005" spans="1:6">
      <c r="A2005" s="685"/>
      <c r="B2005" s="686">
        <v>1711</v>
      </c>
      <c r="C2005" s="687">
        <v>67963</v>
      </c>
      <c r="D2005" s="688" t="s">
        <v>68</v>
      </c>
      <c r="E2005" s="689">
        <v>0.01</v>
      </c>
      <c r="F2005" s="687">
        <f t="shared" si="31"/>
        <v>679.63</v>
      </c>
    </row>
    <row r="2006" spans="1:6">
      <c r="A2006" s="685"/>
      <c r="B2006" s="686">
        <v>1711</v>
      </c>
      <c r="C2006" s="687">
        <v>20669</v>
      </c>
      <c r="D2006" s="688" t="s">
        <v>68</v>
      </c>
      <c r="E2006" s="689">
        <v>0.01</v>
      </c>
      <c r="F2006" s="687">
        <f t="shared" si="31"/>
        <v>206.69</v>
      </c>
    </row>
    <row r="2007" spans="1:6">
      <c r="A2007" s="685"/>
      <c r="B2007" s="686">
        <v>1634</v>
      </c>
      <c r="C2007" s="687">
        <v>378000</v>
      </c>
      <c r="D2007" s="688" t="s">
        <v>68</v>
      </c>
      <c r="E2007" s="689">
        <v>0.01</v>
      </c>
      <c r="F2007" s="687">
        <f t="shared" si="31"/>
        <v>3780</v>
      </c>
    </row>
    <row r="2008" spans="1:6">
      <c r="A2008" s="685"/>
      <c r="B2008" s="686">
        <v>1634</v>
      </c>
      <c r="C2008" s="687">
        <v>1236300</v>
      </c>
      <c r="D2008" s="688" t="s">
        <v>68</v>
      </c>
      <c r="E2008" s="689">
        <v>0.01</v>
      </c>
      <c r="F2008" s="687">
        <f t="shared" si="31"/>
        <v>12363</v>
      </c>
    </row>
    <row r="2009" spans="1:6">
      <c r="A2009" s="685"/>
      <c r="B2009" s="686">
        <v>1621</v>
      </c>
      <c r="C2009" s="687">
        <v>143600</v>
      </c>
      <c r="D2009" s="688" t="s">
        <v>68</v>
      </c>
      <c r="E2009" s="689">
        <v>0.01</v>
      </c>
      <c r="F2009" s="687">
        <f t="shared" si="31"/>
        <v>1436</v>
      </c>
    </row>
    <row r="2010" spans="1:6">
      <c r="A2010" s="685"/>
      <c r="B2010" s="686">
        <v>1614</v>
      </c>
      <c r="C2010" s="687">
        <v>833950</v>
      </c>
      <c r="D2010" s="688" t="s">
        <v>68</v>
      </c>
      <c r="E2010" s="689">
        <v>0.01</v>
      </c>
      <c r="F2010" s="687">
        <f t="shared" si="31"/>
        <v>8339.5</v>
      </c>
    </row>
    <row r="2011" spans="1:6">
      <c r="A2011" s="685"/>
      <c r="B2011" s="686">
        <v>1631</v>
      </c>
      <c r="C2011" s="687">
        <v>1270570</v>
      </c>
      <c r="D2011" s="688" t="s">
        <v>68</v>
      </c>
      <c r="E2011" s="689">
        <v>0.01</v>
      </c>
      <c r="F2011" s="687">
        <f t="shared" si="31"/>
        <v>12705.7</v>
      </c>
    </row>
    <row r="2012" spans="1:6">
      <c r="A2012" s="685"/>
      <c r="B2012" s="686">
        <v>1630</v>
      </c>
      <c r="C2012" s="687">
        <v>345205</v>
      </c>
      <c r="D2012" s="688" t="s">
        <v>68</v>
      </c>
      <c r="E2012" s="689">
        <v>0.01</v>
      </c>
      <c r="F2012" s="687">
        <f t="shared" si="31"/>
        <v>3452.05</v>
      </c>
    </row>
    <row r="2013" spans="1:6">
      <c r="A2013" s="685"/>
      <c r="B2013" s="686">
        <v>1627</v>
      </c>
      <c r="C2013" s="687">
        <v>254408</v>
      </c>
      <c r="D2013" s="688" t="s">
        <v>68</v>
      </c>
      <c r="E2013" s="689">
        <v>0.01</v>
      </c>
      <c r="F2013" s="687">
        <f t="shared" si="31"/>
        <v>2544.08</v>
      </c>
    </row>
    <row r="2014" spans="1:6">
      <c r="A2014" s="685"/>
      <c r="B2014" s="686">
        <v>1626</v>
      </c>
      <c r="C2014" s="687">
        <v>379447</v>
      </c>
      <c r="D2014" s="688" t="s">
        <v>68</v>
      </c>
      <c r="E2014" s="689">
        <v>0.01</v>
      </c>
      <c r="F2014" s="687">
        <f t="shared" si="31"/>
        <v>3794.4700000000003</v>
      </c>
    </row>
    <row r="2015" spans="1:6">
      <c r="A2015" s="685"/>
      <c r="B2015" s="686">
        <v>1622</v>
      </c>
      <c r="C2015" s="687">
        <v>237405</v>
      </c>
      <c r="D2015" s="688" t="s">
        <v>68</v>
      </c>
      <c r="E2015" s="689">
        <v>0.01</v>
      </c>
      <c r="F2015" s="687">
        <f t="shared" si="31"/>
        <v>2374.0500000000002</v>
      </c>
    </row>
    <row r="2016" spans="1:6">
      <c r="A2016" s="685"/>
      <c r="B2016" s="686">
        <v>1619</v>
      </c>
      <c r="C2016" s="687">
        <v>307426</v>
      </c>
      <c r="D2016" s="688" t="s">
        <v>68</v>
      </c>
      <c r="E2016" s="689">
        <v>0.01</v>
      </c>
      <c r="F2016" s="687">
        <f t="shared" si="31"/>
        <v>3074.26</v>
      </c>
    </row>
    <row r="2017" spans="1:6">
      <c r="A2017" s="685"/>
      <c r="B2017" s="686">
        <v>1543</v>
      </c>
      <c r="C2017" s="687">
        <v>151800</v>
      </c>
      <c r="D2017" s="688" t="s">
        <v>68</v>
      </c>
      <c r="E2017" s="689">
        <v>0.01</v>
      </c>
      <c r="F2017" s="687">
        <f t="shared" si="31"/>
        <v>1518</v>
      </c>
    </row>
    <row r="2018" spans="1:6">
      <c r="A2018" s="685"/>
      <c r="B2018" s="686">
        <v>1617</v>
      </c>
      <c r="C2018" s="687">
        <v>72912</v>
      </c>
      <c r="D2018" s="688" t="s">
        <v>68</v>
      </c>
      <c r="E2018" s="689">
        <v>0.01</v>
      </c>
      <c r="F2018" s="687">
        <f t="shared" si="31"/>
        <v>729.12</v>
      </c>
    </row>
    <row r="2019" spans="1:6">
      <c r="A2019" s="685"/>
      <c r="B2019" s="686">
        <v>1613</v>
      </c>
      <c r="C2019" s="687">
        <v>494949</v>
      </c>
      <c r="D2019" s="688" t="s">
        <v>68</v>
      </c>
      <c r="E2019" s="689">
        <v>0.01</v>
      </c>
      <c r="F2019" s="687">
        <f t="shared" si="31"/>
        <v>4949.49</v>
      </c>
    </row>
    <row r="2020" spans="1:6">
      <c r="A2020" s="685"/>
      <c r="B2020" s="686">
        <v>1609</v>
      </c>
      <c r="C2020" s="687">
        <v>232398</v>
      </c>
      <c r="D2020" s="688" t="s">
        <v>68</v>
      </c>
      <c r="E2020" s="689">
        <v>0.01</v>
      </c>
      <c r="F2020" s="687">
        <f t="shared" si="31"/>
        <v>2323.98</v>
      </c>
    </row>
    <row r="2021" spans="1:6">
      <c r="A2021" s="685"/>
      <c r="B2021" s="686">
        <v>1606</v>
      </c>
      <c r="C2021" s="687">
        <v>41797</v>
      </c>
      <c r="D2021" s="688" t="s">
        <v>68</v>
      </c>
      <c r="E2021" s="689">
        <v>0.01</v>
      </c>
      <c r="F2021" s="687">
        <f t="shared" si="31"/>
        <v>417.97</v>
      </c>
    </row>
    <row r="2022" spans="1:6">
      <c r="A2022" s="685"/>
      <c r="B2022" s="686">
        <v>1606</v>
      </c>
      <c r="C2022" s="687">
        <v>17493</v>
      </c>
      <c r="D2022" s="688" t="s">
        <v>68</v>
      </c>
      <c r="E2022" s="689">
        <v>0.01</v>
      </c>
      <c r="F2022" s="687">
        <f t="shared" si="31"/>
        <v>174.93</v>
      </c>
    </row>
    <row r="2023" spans="1:6">
      <c r="A2023" s="685"/>
      <c r="B2023" s="686">
        <v>1606</v>
      </c>
      <c r="C2023" s="687">
        <v>63210</v>
      </c>
      <c r="D2023" s="688" t="s">
        <v>68</v>
      </c>
      <c r="E2023" s="689">
        <v>0.01</v>
      </c>
      <c r="F2023" s="687">
        <f t="shared" si="31"/>
        <v>632.1</v>
      </c>
    </row>
    <row r="2024" spans="1:6">
      <c r="A2024" s="685"/>
      <c r="B2024" s="686">
        <v>1598</v>
      </c>
      <c r="C2024" s="687">
        <v>148764</v>
      </c>
      <c r="D2024" s="688" t="s">
        <v>68</v>
      </c>
      <c r="E2024" s="689">
        <v>0.01</v>
      </c>
      <c r="F2024" s="687">
        <f t="shared" si="31"/>
        <v>1487.64</v>
      </c>
    </row>
    <row r="2025" spans="1:6">
      <c r="A2025" s="685"/>
      <c r="B2025" s="686">
        <v>1588</v>
      </c>
      <c r="C2025" s="687">
        <v>239022</v>
      </c>
      <c r="D2025" s="688" t="s">
        <v>68</v>
      </c>
      <c r="E2025" s="689">
        <v>0.01</v>
      </c>
      <c r="F2025" s="687">
        <f t="shared" si="31"/>
        <v>2390.2200000000003</v>
      </c>
    </row>
    <row r="2026" spans="1:6">
      <c r="A2026" s="685"/>
      <c r="B2026" s="686">
        <v>1583</v>
      </c>
      <c r="C2026" s="687">
        <v>619605</v>
      </c>
      <c r="D2026" s="688" t="s">
        <v>68</v>
      </c>
      <c r="E2026" s="689">
        <v>0.01</v>
      </c>
      <c r="F2026" s="687">
        <f t="shared" si="31"/>
        <v>6196.05</v>
      </c>
    </row>
    <row r="2027" spans="1:6">
      <c r="A2027" s="685"/>
      <c r="B2027" s="686">
        <v>1583</v>
      </c>
      <c r="C2027" s="687">
        <v>110789</v>
      </c>
      <c r="D2027" s="688" t="s">
        <v>68</v>
      </c>
      <c r="E2027" s="689">
        <v>0.01</v>
      </c>
      <c r="F2027" s="687">
        <f t="shared" si="31"/>
        <v>1107.8900000000001</v>
      </c>
    </row>
    <row r="2028" spans="1:6">
      <c r="A2028" s="685"/>
      <c r="B2028" s="686">
        <v>704</v>
      </c>
      <c r="C2028" s="687">
        <v>1669500</v>
      </c>
      <c r="D2028" s="688" t="s">
        <v>68</v>
      </c>
      <c r="E2028" s="689">
        <v>0.1</v>
      </c>
      <c r="F2028" s="687">
        <f t="shared" si="31"/>
        <v>166950</v>
      </c>
    </row>
    <row r="2029" spans="1:6">
      <c r="A2029" s="685"/>
      <c r="B2029" s="686">
        <v>1509</v>
      </c>
      <c r="C2029" s="687">
        <v>2650040</v>
      </c>
      <c r="D2029" s="688" t="s">
        <v>68</v>
      </c>
      <c r="E2029" s="689">
        <v>0.01</v>
      </c>
      <c r="F2029" s="687">
        <f t="shared" si="31"/>
        <v>26500.400000000001</v>
      </c>
    </row>
    <row r="2030" spans="1:6">
      <c r="A2030" s="685"/>
      <c r="B2030" s="686">
        <v>1512</v>
      </c>
      <c r="C2030" s="687">
        <v>147000</v>
      </c>
      <c r="D2030" s="688" t="s">
        <v>68</v>
      </c>
      <c r="E2030" s="689">
        <v>0.01</v>
      </c>
      <c r="F2030" s="687">
        <f t="shared" si="31"/>
        <v>1470</v>
      </c>
    </row>
    <row r="2031" spans="1:6">
      <c r="A2031" s="685"/>
      <c r="B2031" s="686">
        <v>1828</v>
      </c>
      <c r="C2031" s="687">
        <v>253000</v>
      </c>
      <c r="D2031" s="688" t="s">
        <v>68</v>
      </c>
      <c r="E2031" s="689">
        <v>0.01</v>
      </c>
      <c r="F2031" s="687">
        <f t="shared" si="31"/>
        <v>2530</v>
      </c>
    </row>
    <row r="2032" spans="1:6">
      <c r="A2032" s="685"/>
      <c r="B2032" s="686">
        <v>3046</v>
      </c>
      <c r="C2032" s="687">
        <v>173048</v>
      </c>
      <c r="D2032" s="688" t="s">
        <v>114</v>
      </c>
      <c r="E2032" s="689">
        <v>0.5</v>
      </c>
      <c r="F2032" s="687">
        <f t="shared" si="31"/>
        <v>86524</v>
      </c>
    </row>
    <row r="2033" spans="1:6">
      <c r="A2033" s="685"/>
      <c r="B2033" s="686">
        <v>3044</v>
      </c>
      <c r="C2033" s="687">
        <v>307222</v>
      </c>
      <c r="D2033" s="688" t="s">
        <v>114</v>
      </c>
      <c r="E2033" s="689">
        <v>0.5</v>
      </c>
      <c r="F2033" s="687">
        <f t="shared" si="31"/>
        <v>153611</v>
      </c>
    </row>
    <row r="2034" spans="1:6">
      <c r="A2034" s="685"/>
      <c r="B2034" s="686">
        <v>3043</v>
      </c>
      <c r="C2034" s="687">
        <v>21800</v>
      </c>
      <c r="D2034" s="688" t="s">
        <v>114</v>
      </c>
      <c r="E2034" s="689">
        <v>0.5</v>
      </c>
      <c r="F2034" s="687">
        <f t="shared" si="31"/>
        <v>10900</v>
      </c>
    </row>
    <row r="2035" spans="1:6">
      <c r="A2035" s="685"/>
      <c r="B2035" s="686">
        <v>3042</v>
      </c>
      <c r="C2035" s="687">
        <v>307222</v>
      </c>
      <c r="D2035" s="688" t="s">
        <v>114</v>
      </c>
      <c r="E2035" s="689">
        <v>0.5</v>
      </c>
      <c r="F2035" s="687">
        <f t="shared" si="31"/>
        <v>153611</v>
      </c>
    </row>
    <row r="2036" spans="1:6">
      <c r="A2036" s="685"/>
      <c r="B2036" s="686">
        <v>3021</v>
      </c>
      <c r="C2036" s="687">
        <v>307222</v>
      </c>
      <c r="D2036" s="688" t="s">
        <v>114</v>
      </c>
      <c r="E2036" s="689">
        <v>0.5</v>
      </c>
      <c r="F2036" s="687">
        <f t="shared" si="31"/>
        <v>153611</v>
      </c>
    </row>
    <row r="2037" spans="1:6">
      <c r="A2037" s="685"/>
      <c r="B2037" s="686">
        <v>3016</v>
      </c>
      <c r="C2037" s="687">
        <v>20714</v>
      </c>
      <c r="D2037" s="688" t="s">
        <v>114</v>
      </c>
      <c r="E2037" s="689">
        <v>0.5</v>
      </c>
      <c r="F2037" s="687">
        <f t="shared" si="31"/>
        <v>10357</v>
      </c>
    </row>
    <row r="2038" spans="1:6">
      <c r="A2038" s="685"/>
      <c r="B2038" s="686">
        <v>3010</v>
      </c>
      <c r="C2038" s="687">
        <v>272298</v>
      </c>
      <c r="D2038" s="688" t="s">
        <v>114</v>
      </c>
      <c r="E2038" s="689">
        <v>0.5</v>
      </c>
      <c r="F2038" s="687">
        <f t="shared" si="31"/>
        <v>136149</v>
      </c>
    </row>
    <row r="2039" spans="1:6">
      <c r="A2039" s="685"/>
      <c r="B2039" s="686">
        <v>3010</v>
      </c>
      <c r="C2039" s="687">
        <v>254328</v>
      </c>
      <c r="D2039" s="688" t="s">
        <v>114</v>
      </c>
      <c r="E2039" s="689">
        <v>0.5</v>
      </c>
      <c r="F2039" s="687">
        <f t="shared" si="31"/>
        <v>127164</v>
      </c>
    </row>
    <row r="2040" spans="1:6">
      <c r="A2040" s="685"/>
      <c r="B2040" s="686">
        <v>3010</v>
      </c>
      <c r="C2040" s="687">
        <v>81690</v>
      </c>
      <c r="D2040" s="688" t="s">
        <v>114</v>
      </c>
      <c r="E2040" s="689">
        <v>0.5</v>
      </c>
      <c r="F2040" s="687">
        <f t="shared" si="31"/>
        <v>40845</v>
      </c>
    </row>
    <row r="2041" spans="1:6">
      <c r="A2041" s="685"/>
      <c r="B2041" s="686">
        <v>3009</v>
      </c>
      <c r="C2041" s="687">
        <v>159222</v>
      </c>
      <c r="D2041" s="688" t="s">
        <v>114</v>
      </c>
      <c r="E2041" s="689">
        <v>0.5</v>
      </c>
      <c r="F2041" s="687">
        <f t="shared" si="31"/>
        <v>79611</v>
      </c>
    </row>
    <row r="2042" spans="1:6">
      <c r="A2042" s="685"/>
      <c r="B2042" s="686">
        <v>3007</v>
      </c>
      <c r="C2042" s="687">
        <v>3447000</v>
      </c>
      <c r="D2042" s="688" t="s">
        <v>114</v>
      </c>
      <c r="E2042" s="689">
        <v>0.5</v>
      </c>
      <c r="F2042" s="687">
        <f t="shared" si="31"/>
        <v>1723500</v>
      </c>
    </row>
    <row r="2043" spans="1:6">
      <c r="A2043" s="685"/>
      <c r="B2043" s="686">
        <v>3006</v>
      </c>
      <c r="C2043" s="687">
        <v>82000</v>
      </c>
      <c r="D2043" s="688" t="s">
        <v>114</v>
      </c>
      <c r="E2043" s="689">
        <v>0.5</v>
      </c>
      <c r="F2043" s="687">
        <f t="shared" si="31"/>
        <v>41000</v>
      </c>
    </row>
    <row r="2044" spans="1:6">
      <c r="A2044" s="685"/>
      <c r="B2044" s="686">
        <v>2997</v>
      </c>
      <c r="C2044" s="687">
        <v>82000</v>
      </c>
      <c r="D2044" s="688" t="s">
        <v>114</v>
      </c>
      <c r="E2044" s="689">
        <v>0.5</v>
      </c>
      <c r="F2044" s="687">
        <f t="shared" si="31"/>
        <v>41000</v>
      </c>
    </row>
    <row r="2045" spans="1:6">
      <c r="A2045" s="685"/>
      <c r="B2045" s="686">
        <v>2991</v>
      </c>
      <c r="C2045" s="687">
        <v>111448</v>
      </c>
      <c r="D2045" s="688" t="s">
        <v>114</v>
      </c>
      <c r="E2045" s="689">
        <v>0.5</v>
      </c>
      <c r="F2045" s="687">
        <f t="shared" si="31"/>
        <v>55724</v>
      </c>
    </row>
    <row r="2046" spans="1:6">
      <c r="A2046" s="685"/>
      <c r="B2046" s="686">
        <v>2979</v>
      </c>
      <c r="C2046" s="687">
        <v>51457</v>
      </c>
      <c r="D2046" s="688" t="s">
        <v>114</v>
      </c>
      <c r="E2046" s="689">
        <v>0.5</v>
      </c>
      <c r="F2046" s="687">
        <f t="shared" si="31"/>
        <v>25728.5</v>
      </c>
    </row>
    <row r="2047" spans="1:6">
      <c r="A2047" s="685"/>
      <c r="B2047" s="686">
        <v>2978</v>
      </c>
      <c r="C2047" s="687">
        <v>31042</v>
      </c>
      <c r="D2047" s="688" t="s">
        <v>114</v>
      </c>
      <c r="E2047" s="689">
        <v>0.5</v>
      </c>
      <c r="F2047" s="687">
        <f t="shared" si="31"/>
        <v>15521</v>
      </c>
    </row>
    <row r="2048" spans="1:6">
      <c r="A2048" s="685"/>
      <c r="B2048" s="686">
        <v>2975</v>
      </c>
      <c r="C2048" s="687">
        <v>146724</v>
      </c>
      <c r="D2048" s="688" t="s">
        <v>114</v>
      </c>
      <c r="E2048" s="689">
        <v>0.5</v>
      </c>
      <c r="F2048" s="687">
        <f t="shared" si="31"/>
        <v>73362</v>
      </c>
    </row>
    <row r="2049" spans="1:6">
      <c r="A2049" s="685"/>
      <c r="B2049" s="686">
        <v>2974</v>
      </c>
      <c r="C2049" s="687">
        <v>147331</v>
      </c>
      <c r="D2049" s="688" t="s">
        <v>114</v>
      </c>
      <c r="E2049" s="689">
        <v>0.5</v>
      </c>
      <c r="F2049" s="687">
        <f t="shared" si="31"/>
        <v>73665.5</v>
      </c>
    </row>
    <row r="2050" spans="1:6">
      <c r="A2050" s="685"/>
      <c r="B2050" s="686">
        <v>2973</v>
      </c>
      <c r="C2050" s="687">
        <v>49016</v>
      </c>
      <c r="D2050" s="688" t="s">
        <v>114</v>
      </c>
      <c r="E2050" s="689">
        <v>0.5</v>
      </c>
      <c r="F2050" s="687">
        <f t="shared" si="31"/>
        <v>24508</v>
      </c>
    </row>
    <row r="2051" spans="1:6">
      <c r="A2051" s="685"/>
      <c r="B2051" s="686">
        <v>2972</v>
      </c>
      <c r="C2051" s="687">
        <v>35933</v>
      </c>
      <c r="D2051" s="688" t="s">
        <v>114</v>
      </c>
      <c r="E2051" s="689">
        <v>0.5</v>
      </c>
      <c r="F2051" s="687">
        <f t="shared" ref="F2051:F2114" si="32">+C2051*E2051</f>
        <v>17966.5</v>
      </c>
    </row>
    <row r="2052" spans="1:6">
      <c r="A2052" s="685"/>
      <c r="B2052" s="686">
        <v>2972</v>
      </c>
      <c r="C2052" s="687">
        <v>9803</v>
      </c>
      <c r="D2052" s="688" t="s">
        <v>114</v>
      </c>
      <c r="E2052" s="689">
        <v>0.5</v>
      </c>
      <c r="F2052" s="687">
        <f t="shared" si="32"/>
        <v>4901.5</v>
      </c>
    </row>
    <row r="2053" spans="1:6">
      <c r="A2053" s="685"/>
      <c r="B2053" s="686">
        <v>2971</v>
      </c>
      <c r="C2053" s="687">
        <v>23442</v>
      </c>
      <c r="D2053" s="688" t="s">
        <v>114</v>
      </c>
      <c r="E2053" s="689">
        <v>0.5</v>
      </c>
      <c r="F2053" s="687">
        <f t="shared" si="32"/>
        <v>11721</v>
      </c>
    </row>
    <row r="2054" spans="1:6">
      <c r="A2054" s="685"/>
      <c r="B2054" s="686">
        <v>2967</v>
      </c>
      <c r="C2054" s="687">
        <v>342000</v>
      </c>
      <c r="D2054" s="688" t="s">
        <v>114</v>
      </c>
      <c r="E2054" s="689">
        <v>0.5</v>
      </c>
      <c r="F2054" s="687">
        <f t="shared" si="32"/>
        <v>171000</v>
      </c>
    </row>
    <row r="2055" spans="1:6">
      <c r="A2055" s="685"/>
      <c r="B2055" s="686">
        <v>2966</v>
      </c>
      <c r="C2055" s="687">
        <v>171000</v>
      </c>
      <c r="D2055" s="688" t="s">
        <v>114</v>
      </c>
      <c r="E2055" s="689">
        <v>0.5</v>
      </c>
      <c r="F2055" s="687">
        <f t="shared" si="32"/>
        <v>85500</v>
      </c>
    </row>
    <row r="2056" spans="1:6">
      <c r="A2056" s="685"/>
      <c r="B2056" s="686">
        <v>2965</v>
      </c>
      <c r="C2056" s="687">
        <v>163372</v>
      </c>
      <c r="D2056" s="688" t="s">
        <v>114</v>
      </c>
      <c r="E2056" s="689">
        <v>0.5</v>
      </c>
      <c r="F2056" s="687">
        <f t="shared" si="32"/>
        <v>81686</v>
      </c>
    </row>
    <row r="2057" spans="1:6">
      <c r="A2057" s="685"/>
      <c r="B2057" s="686">
        <v>2964</v>
      </c>
      <c r="C2057" s="687">
        <v>5527</v>
      </c>
      <c r="D2057" s="688" t="s">
        <v>114</v>
      </c>
      <c r="E2057" s="689">
        <v>0.5</v>
      </c>
      <c r="F2057" s="687">
        <f t="shared" si="32"/>
        <v>2763.5</v>
      </c>
    </row>
    <row r="2058" spans="1:6">
      <c r="A2058" s="685"/>
      <c r="B2058" s="686">
        <v>2964</v>
      </c>
      <c r="C2058" s="687">
        <v>29409</v>
      </c>
      <c r="D2058" s="688" t="s">
        <v>114</v>
      </c>
      <c r="E2058" s="689">
        <v>0.5</v>
      </c>
      <c r="F2058" s="687">
        <f t="shared" si="32"/>
        <v>14704.5</v>
      </c>
    </row>
    <row r="2059" spans="1:6">
      <c r="A2059" s="685"/>
      <c r="B2059" s="686">
        <v>2963</v>
      </c>
      <c r="C2059" s="687">
        <v>90100</v>
      </c>
      <c r="D2059" s="688" t="s">
        <v>114</v>
      </c>
      <c r="E2059" s="689">
        <v>0.5</v>
      </c>
      <c r="F2059" s="687">
        <f t="shared" si="32"/>
        <v>45050</v>
      </c>
    </row>
    <row r="2060" spans="1:6">
      <c r="A2060" s="685"/>
      <c r="B2060" s="686">
        <v>2962</v>
      </c>
      <c r="C2060" s="687">
        <v>84973</v>
      </c>
      <c r="D2060" s="688" t="s">
        <v>114</v>
      </c>
      <c r="E2060" s="689">
        <v>0.5</v>
      </c>
      <c r="F2060" s="687">
        <f t="shared" si="32"/>
        <v>42486.5</v>
      </c>
    </row>
    <row r="2061" spans="1:6">
      <c r="A2061" s="685"/>
      <c r="B2061" s="686">
        <v>2956</v>
      </c>
      <c r="C2061" s="687">
        <v>27229</v>
      </c>
      <c r="D2061" s="688" t="s">
        <v>114</v>
      </c>
      <c r="E2061" s="689">
        <v>0.5</v>
      </c>
      <c r="F2061" s="687">
        <f t="shared" si="32"/>
        <v>13614.5</v>
      </c>
    </row>
    <row r="2062" spans="1:6">
      <c r="A2062" s="685"/>
      <c r="B2062" s="686">
        <v>2948</v>
      </c>
      <c r="C2062" s="687">
        <v>90100</v>
      </c>
      <c r="D2062" s="688" t="s">
        <v>114</v>
      </c>
      <c r="E2062" s="689">
        <v>0.5</v>
      </c>
      <c r="F2062" s="687">
        <f t="shared" si="32"/>
        <v>45050</v>
      </c>
    </row>
    <row r="2063" spans="1:6">
      <c r="A2063" s="685"/>
      <c r="B2063" s="686">
        <v>2941</v>
      </c>
      <c r="C2063" s="687">
        <v>90100</v>
      </c>
      <c r="D2063" s="688" t="s">
        <v>114</v>
      </c>
      <c r="E2063" s="689">
        <v>0.5</v>
      </c>
      <c r="F2063" s="687">
        <f t="shared" si="32"/>
        <v>45050</v>
      </c>
    </row>
    <row r="2064" spans="1:6">
      <c r="A2064" s="685"/>
      <c r="B2064" s="686">
        <v>2938</v>
      </c>
      <c r="C2064" s="687">
        <v>106639</v>
      </c>
      <c r="D2064" s="688" t="s">
        <v>114</v>
      </c>
      <c r="E2064" s="689">
        <v>0.5</v>
      </c>
      <c r="F2064" s="687">
        <f t="shared" si="32"/>
        <v>53319.5</v>
      </c>
    </row>
    <row r="2065" spans="1:6">
      <c r="A2065" s="685"/>
      <c r="B2065" s="686">
        <v>2935</v>
      </c>
      <c r="C2065" s="687">
        <v>21944</v>
      </c>
      <c r="D2065" s="688" t="s">
        <v>114</v>
      </c>
      <c r="E2065" s="689">
        <v>0.5</v>
      </c>
      <c r="F2065" s="687">
        <f t="shared" si="32"/>
        <v>10972</v>
      </c>
    </row>
    <row r="2066" spans="1:6">
      <c r="A2066" s="685"/>
      <c r="B2066" s="686">
        <v>2935</v>
      </c>
      <c r="C2066" s="687">
        <v>49954</v>
      </c>
      <c r="D2066" s="688" t="s">
        <v>114</v>
      </c>
      <c r="E2066" s="689">
        <v>0.5</v>
      </c>
      <c r="F2066" s="687">
        <f t="shared" si="32"/>
        <v>24977</v>
      </c>
    </row>
    <row r="2067" spans="1:6">
      <c r="A2067" s="685"/>
      <c r="B2067" s="686">
        <v>2887</v>
      </c>
      <c r="C2067" s="687">
        <v>92500</v>
      </c>
      <c r="D2067" s="688" t="s">
        <v>114</v>
      </c>
      <c r="E2067" s="689">
        <v>0.5</v>
      </c>
      <c r="F2067" s="687">
        <f t="shared" si="32"/>
        <v>46250</v>
      </c>
    </row>
    <row r="2068" spans="1:6">
      <c r="A2068" s="685"/>
      <c r="B2068" s="686">
        <v>1390</v>
      </c>
      <c r="C2068" s="687">
        <v>256840</v>
      </c>
      <c r="D2068" s="688" t="s">
        <v>68</v>
      </c>
      <c r="E2068" s="689">
        <v>0.01</v>
      </c>
      <c r="F2068" s="687">
        <f t="shared" si="32"/>
        <v>2568.4</v>
      </c>
    </row>
    <row r="2069" spans="1:6">
      <c r="A2069" s="685"/>
      <c r="B2069" s="686">
        <v>1390</v>
      </c>
      <c r="C2069" s="687">
        <v>375000</v>
      </c>
      <c r="D2069" s="688" t="s">
        <v>68</v>
      </c>
      <c r="E2069" s="689">
        <v>0.01</v>
      </c>
      <c r="F2069" s="687">
        <f t="shared" si="32"/>
        <v>3750</v>
      </c>
    </row>
    <row r="2070" spans="1:6">
      <c r="A2070" s="685"/>
      <c r="B2070" s="686">
        <v>1390</v>
      </c>
      <c r="C2070" s="687">
        <v>5327918</v>
      </c>
      <c r="D2070" s="688" t="s">
        <v>68</v>
      </c>
      <c r="E2070" s="689">
        <v>0.01</v>
      </c>
      <c r="F2070" s="687">
        <f t="shared" si="32"/>
        <v>53279.18</v>
      </c>
    </row>
    <row r="2071" spans="1:6">
      <c r="A2071" s="685"/>
      <c r="B2071" s="686">
        <v>1384</v>
      </c>
      <c r="C2071" s="687">
        <v>4824000</v>
      </c>
      <c r="D2071" s="688" t="s">
        <v>68</v>
      </c>
      <c r="E2071" s="689">
        <v>0.01</v>
      </c>
      <c r="F2071" s="687">
        <f t="shared" si="32"/>
        <v>48240</v>
      </c>
    </row>
    <row r="2072" spans="1:6">
      <c r="A2072" s="685"/>
      <c r="B2072" s="686">
        <v>1458</v>
      </c>
      <c r="C2072" s="687">
        <v>171206</v>
      </c>
      <c r="D2072" s="688" t="s">
        <v>68</v>
      </c>
      <c r="E2072" s="689">
        <v>0.01</v>
      </c>
      <c r="F2072" s="687">
        <f t="shared" si="32"/>
        <v>1712.06</v>
      </c>
    </row>
    <row r="2073" spans="1:6">
      <c r="A2073" s="685"/>
      <c r="B2073" s="686">
        <v>1382</v>
      </c>
      <c r="C2073" s="687">
        <v>219650</v>
      </c>
      <c r="D2073" s="688" t="s">
        <v>68</v>
      </c>
      <c r="E2073" s="689">
        <v>0.01</v>
      </c>
      <c r="F2073" s="687">
        <f t="shared" si="32"/>
        <v>2196.5</v>
      </c>
    </row>
    <row r="2074" spans="1:6">
      <c r="A2074" s="685"/>
      <c r="B2074" s="686">
        <v>1381</v>
      </c>
      <c r="C2074" s="687">
        <v>275290</v>
      </c>
      <c r="D2074" s="688" t="s">
        <v>68</v>
      </c>
      <c r="E2074" s="689">
        <v>0.01</v>
      </c>
      <c r="F2074" s="687">
        <f t="shared" si="32"/>
        <v>2752.9</v>
      </c>
    </row>
    <row r="2075" spans="1:6">
      <c r="A2075" s="685"/>
      <c r="B2075" s="686">
        <v>1464</v>
      </c>
      <c r="C2075" s="687">
        <v>1118200</v>
      </c>
      <c r="D2075" s="688" t="s">
        <v>68</v>
      </c>
      <c r="E2075" s="689">
        <v>0.01</v>
      </c>
      <c r="F2075" s="687">
        <f t="shared" si="32"/>
        <v>11182</v>
      </c>
    </row>
    <row r="2076" spans="1:6">
      <c r="A2076" s="685"/>
      <c r="B2076" s="686">
        <v>1625</v>
      </c>
      <c r="C2076" s="687">
        <v>68150</v>
      </c>
      <c r="D2076" s="688" t="s">
        <v>68</v>
      </c>
      <c r="E2076" s="689">
        <v>0.01</v>
      </c>
      <c r="F2076" s="687">
        <f t="shared" si="32"/>
        <v>681.5</v>
      </c>
    </row>
    <row r="2077" spans="1:6">
      <c r="A2077" s="685"/>
      <c r="B2077" s="686">
        <v>1597</v>
      </c>
      <c r="C2077" s="687">
        <v>105700</v>
      </c>
      <c r="D2077" s="688" t="s">
        <v>68</v>
      </c>
      <c r="E2077" s="689">
        <v>0.01</v>
      </c>
      <c r="F2077" s="687">
        <f t="shared" si="32"/>
        <v>1057</v>
      </c>
    </row>
    <row r="2078" spans="1:6">
      <c r="A2078" s="685"/>
      <c r="B2078" s="686">
        <v>2042</v>
      </c>
      <c r="C2078" s="687">
        <v>855600</v>
      </c>
      <c r="D2078" s="688" t="s">
        <v>68</v>
      </c>
      <c r="E2078" s="689">
        <v>0.01</v>
      </c>
      <c r="F2078" s="687">
        <f t="shared" si="32"/>
        <v>8556</v>
      </c>
    </row>
    <row r="2079" spans="1:6">
      <c r="A2079" s="685"/>
      <c r="B2079" s="686">
        <v>569</v>
      </c>
      <c r="C2079" s="687">
        <v>515310</v>
      </c>
      <c r="D2079" s="688" t="s">
        <v>68</v>
      </c>
      <c r="E2079" s="689">
        <v>0.1</v>
      </c>
      <c r="F2079" s="687">
        <f t="shared" si="32"/>
        <v>51531</v>
      </c>
    </row>
    <row r="2080" spans="1:6">
      <c r="A2080" s="685"/>
      <c r="B2080" s="686">
        <v>667</v>
      </c>
      <c r="C2080" s="687">
        <v>1025484</v>
      </c>
      <c r="D2080" s="688" t="s">
        <v>68</v>
      </c>
      <c r="E2080" s="689">
        <v>0.1</v>
      </c>
      <c r="F2080" s="687">
        <f t="shared" si="32"/>
        <v>102548.40000000001</v>
      </c>
    </row>
    <row r="2081" spans="1:6">
      <c r="A2081" s="685"/>
      <c r="B2081" s="686">
        <v>2554</v>
      </c>
      <c r="C2081" s="687">
        <v>701639</v>
      </c>
      <c r="D2081" s="688" t="s">
        <v>68</v>
      </c>
      <c r="E2081" s="689">
        <v>0.01</v>
      </c>
      <c r="F2081" s="687">
        <f t="shared" si="32"/>
        <v>7016.39</v>
      </c>
    </row>
    <row r="2082" spans="1:6">
      <c r="A2082" s="685"/>
      <c r="B2082" s="686">
        <v>1722</v>
      </c>
      <c r="C2082" s="687">
        <v>347147</v>
      </c>
      <c r="D2082" s="688" t="s">
        <v>68</v>
      </c>
      <c r="E2082" s="689">
        <v>0.01</v>
      </c>
      <c r="F2082" s="687">
        <f t="shared" si="32"/>
        <v>3471.4700000000003</v>
      </c>
    </row>
    <row r="2083" spans="1:6">
      <c r="A2083" s="685"/>
      <c r="B2083" s="686">
        <v>2125</v>
      </c>
      <c r="C2083" s="687">
        <v>3650000</v>
      </c>
      <c r="D2083" s="688" t="s">
        <v>68</v>
      </c>
      <c r="E2083" s="689">
        <v>0.01</v>
      </c>
      <c r="F2083" s="687">
        <f t="shared" si="32"/>
        <v>36500</v>
      </c>
    </row>
    <row r="2084" spans="1:6">
      <c r="A2084" s="685"/>
      <c r="B2084" s="686">
        <v>1486</v>
      </c>
      <c r="C2084" s="687">
        <v>802890</v>
      </c>
      <c r="D2084" s="688" t="s">
        <v>68</v>
      </c>
      <c r="E2084" s="689">
        <v>0.01</v>
      </c>
      <c r="F2084" s="687">
        <f t="shared" si="32"/>
        <v>8028.9000000000005</v>
      </c>
    </row>
    <row r="2085" spans="1:6">
      <c r="A2085" s="685"/>
      <c r="B2085" s="686">
        <v>1477</v>
      </c>
      <c r="C2085" s="687">
        <v>1022540</v>
      </c>
      <c r="D2085" s="688" t="s">
        <v>68</v>
      </c>
      <c r="E2085" s="689">
        <v>0.01</v>
      </c>
      <c r="F2085" s="687">
        <f t="shared" si="32"/>
        <v>10225.4</v>
      </c>
    </row>
    <row r="2086" spans="1:6">
      <c r="A2086" s="685"/>
      <c r="B2086" s="686">
        <v>1431</v>
      </c>
      <c r="C2086" s="687">
        <v>928940</v>
      </c>
      <c r="D2086" s="688" t="s">
        <v>68</v>
      </c>
      <c r="E2086" s="689">
        <v>0.01</v>
      </c>
      <c r="F2086" s="687">
        <f t="shared" si="32"/>
        <v>9289.4</v>
      </c>
    </row>
    <row r="2087" spans="1:6">
      <c r="A2087" s="685"/>
      <c r="B2087" s="686">
        <v>3428</v>
      </c>
      <c r="C2087" s="687">
        <v>996691</v>
      </c>
      <c r="D2087" s="688" t="s">
        <v>68</v>
      </c>
      <c r="E2087" s="689">
        <v>0.01</v>
      </c>
      <c r="F2087" s="687">
        <f t="shared" si="32"/>
        <v>9966.91</v>
      </c>
    </row>
    <row r="2088" spans="1:6">
      <c r="A2088" s="685"/>
      <c r="B2088" s="686">
        <v>3422</v>
      </c>
      <c r="C2088" s="687">
        <v>466462</v>
      </c>
      <c r="D2088" s="688" t="s">
        <v>68</v>
      </c>
      <c r="E2088" s="689">
        <v>0.01</v>
      </c>
      <c r="F2088" s="687">
        <f t="shared" si="32"/>
        <v>4664.62</v>
      </c>
    </row>
    <row r="2089" spans="1:6">
      <c r="A2089" s="685"/>
      <c r="B2089" s="686">
        <v>3424</v>
      </c>
      <c r="C2089" s="687">
        <v>234599</v>
      </c>
      <c r="D2089" s="688" t="s">
        <v>68</v>
      </c>
      <c r="E2089" s="689">
        <v>0.01</v>
      </c>
      <c r="F2089" s="687">
        <f t="shared" si="32"/>
        <v>2345.9900000000002</v>
      </c>
    </row>
    <row r="2090" spans="1:6">
      <c r="A2090" s="685"/>
      <c r="B2090" s="686">
        <v>3423</v>
      </c>
      <c r="C2090" s="687">
        <v>2861</v>
      </c>
      <c r="D2090" s="688" t="s">
        <v>68</v>
      </c>
      <c r="E2090" s="689">
        <v>0.01</v>
      </c>
      <c r="F2090" s="687">
        <f t="shared" si="32"/>
        <v>28.61</v>
      </c>
    </row>
    <row r="2091" spans="1:6">
      <c r="A2091" s="685"/>
      <c r="B2091" s="686">
        <v>3417</v>
      </c>
      <c r="C2091" s="687">
        <v>67987</v>
      </c>
      <c r="D2091" s="688" t="s">
        <v>68</v>
      </c>
      <c r="E2091" s="689">
        <v>0.01</v>
      </c>
      <c r="F2091" s="687">
        <f t="shared" si="32"/>
        <v>679.87</v>
      </c>
    </row>
    <row r="2092" spans="1:6">
      <c r="A2092" s="685"/>
      <c r="B2092" s="686">
        <v>3417</v>
      </c>
      <c r="C2092" s="687">
        <v>138256</v>
      </c>
      <c r="D2092" s="688" t="s">
        <v>68</v>
      </c>
      <c r="E2092" s="689">
        <v>0.01</v>
      </c>
      <c r="F2092" s="687">
        <f t="shared" si="32"/>
        <v>1382.56</v>
      </c>
    </row>
    <row r="2093" spans="1:6">
      <c r="A2093" s="685"/>
      <c r="B2093" s="686">
        <v>3414</v>
      </c>
      <c r="C2093" s="687">
        <v>8244</v>
      </c>
      <c r="D2093" s="688" t="s">
        <v>68</v>
      </c>
      <c r="E2093" s="689">
        <v>0.01</v>
      </c>
      <c r="F2093" s="687">
        <f t="shared" si="32"/>
        <v>82.44</v>
      </c>
    </row>
    <row r="2094" spans="1:6">
      <c r="A2094" s="685"/>
      <c r="B2094" s="686">
        <v>3410</v>
      </c>
      <c r="C2094" s="687">
        <v>58782</v>
      </c>
      <c r="D2094" s="688" t="s">
        <v>68</v>
      </c>
      <c r="E2094" s="689">
        <v>0.01</v>
      </c>
      <c r="F2094" s="687">
        <f t="shared" si="32"/>
        <v>587.82000000000005</v>
      </c>
    </row>
    <row r="2095" spans="1:6">
      <c r="A2095" s="685"/>
      <c r="B2095" s="686">
        <v>3410</v>
      </c>
      <c r="C2095" s="687">
        <v>251969</v>
      </c>
      <c r="D2095" s="688" t="s">
        <v>68</v>
      </c>
      <c r="E2095" s="689">
        <v>0.01</v>
      </c>
      <c r="F2095" s="687">
        <f t="shared" si="32"/>
        <v>2519.69</v>
      </c>
    </row>
    <row r="2096" spans="1:6">
      <c r="A2096" s="685"/>
      <c r="B2096" s="686">
        <v>3365</v>
      </c>
      <c r="C2096" s="687">
        <v>1413</v>
      </c>
      <c r="D2096" s="688" t="s">
        <v>68</v>
      </c>
      <c r="E2096" s="689">
        <v>0.01</v>
      </c>
      <c r="F2096" s="687">
        <f t="shared" si="32"/>
        <v>14.13</v>
      </c>
    </row>
    <row r="2097" spans="1:6">
      <c r="A2097" s="685"/>
      <c r="B2097" s="686">
        <v>3404</v>
      </c>
      <c r="C2097" s="687">
        <v>813110</v>
      </c>
      <c r="D2097" s="688" t="s">
        <v>68</v>
      </c>
      <c r="E2097" s="689">
        <v>0.01</v>
      </c>
      <c r="F2097" s="687">
        <f t="shared" si="32"/>
        <v>8131.1</v>
      </c>
    </row>
    <row r="2098" spans="1:6">
      <c r="A2098" s="685"/>
      <c r="B2098" s="686">
        <v>3389</v>
      </c>
      <c r="C2098" s="687">
        <v>482662</v>
      </c>
      <c r="D2098" s="688" t="s">
        <v>68</v>
      </c>
      <c r="E2098" s="689">
        <v>0.01</v>
      </c>
      <c r="F2098" s="687">
        <f t="shared" si="32"/>
        <v>4826.62</v>
      </c>
    </row>
    <row r="2099" spans="1:6">
      <c r="A2099" s="685"/>
      <c r="B2099" s="686">
        <v>3386</v>
      </c>
      <c r="C2099" s="687">
        <v>2525938</v>
      </c>
      <c r="D2099" s="688" t="s">
        <v>68</v>
      </c>
      <c r="E2099" s="689">
        <v>0.01</v>
      </c>
      <c r="F2099" s="687">
        <f t="shared" si="32"/>
        <v>25259.38</v>
      </c>
    </row>
    <row r="2100" spans="1:6">
      <c r="A2100" s="685"/>
      <c r="B2100" s="686">
        <v>3377</v>
      </c>
      <c r="C2100" s="687">
        <v>383577</v>
      </c>
      <c r="D2100" s="688" t="s">
        <v>68</v>
      </c>
      <c r="E2100" s="689">
        <v>0.01</v>
      </c>
      <c r="F2100" s="687">
        <f t="shared" si="32"/>
        <v>3835.77</v>
      </c>
    </row>
    <row r="2101" spans="1:6">
      <c r="A2101" s="685"/>
      <c r="B2101" s="686">
        <v>3170</v>
      </c>
      <c r="C2101" s="687">
        <v>35085</v>
      </c>
      <c r="D2101" s="688" t="s">
        <v>68</v>
      </c>
      <c r="E2101" s="689">
        <v>0.01</v>
      </c>
      <c r="F2101" s="687">
        <f t="shared" si="32"/>
        <v>350.85</v>
      </c>
    </row>
    <row r="2102" spans="1:6">
      <c r="A2102" s="685"/>
      <c r="B2102" s="686">
        <v>3123</v>
      </c>
      <c r="C2102" s="687">
        <v>2174615</v>
      </c>
      <c r="D2102" s="688" t="s">
        <v>68</v>
      </c>
      <c r="E2102" s="689">
        <v>0.01</v>
      </c>
      <c r="F2102" s="687">
        <f t="shared" si="32"/>
        <v>21746.15</v>
      </c>
    </row>
    <row r="2103" spans="1:6">
      <c r="A2103" s="685"/>
      <c r="B2103" s="686">
        <v>2997</v>
      </c>
      <c r="C2103" s="687">
        <v>8709</v>
      </c>
      <c r="D2103" s="688" t="s">
        <v>68</v>
      </c>
      <c r="E2103" s="689">
        <v>0.01</v>
      </c>
      <c r="F2103" s="687">
        <f t="shared" si="32"/>
        <v>87.09</v>
      </c>
    </row>
    <row r="2104" spans="1:6">
      <c r="A2104" s="685"/>
      <c r="B2104" s="686">
        <v>3018</v>
      </c>
      <c r="C2104" s="687">
        <v>1300000</v>
      </c>
      <c r="D2104" s="688" t="s">
        <v>68</v>
      </c>
      <c r="E2104" s="689">
        <v>0.01</v>
      </c>
      <c r="F2104" s="687">
        <f t="shared" si="32"/>
        <v>13000</v>
      </c>
    </row>
    <row r="2105" spans="1:6">
      <c r="A2105" s="685"/>
      <c r="B2105" s="686">
        <v>3667</v>
      </c>
      <c r="C2105" s="687">
        <v>487529</v>
      </c>
      <c r="D2105" s="688" t="s">
        <v>503</v>
      </c>
      <c r="E2105" s="689">
        <v>0</v>
      </c>
      <c r="F2105" s="687">
        <f t="shared" si="32"/>
        <v>0</v>
      </c>
    </row>
    <row r="2106" spans="1:6">
      <c r="A2106" s="685"/>
      <c r="B2106" s="686">
        <v>3657</v>
      </c>
      <c r="C2106" s="687">
        <v>25835</v>
      </c>
      <c r="D2106" s="688" t="s">
        <v>503</v>
      </c>
      <c r="E2106" s="689">
        <v>0</v>
      </c>
      <c r="F2106" s="687">
        <f t="shared" si="32"/>
        <v>0</v>
      </c>
    </row>
    <row r="2107" spans="1:6">
      <c r="A2107" s="685"/>
      <c r="B2107" s="686">
        <v>3718</v>
      </c>
      <c r="C2107" s="687">
        <v>109605</v>
      </c>
      <c r="D2107" s="688" t="s">
        <v>503</v>
      </c>
      <c r="E2107" s="689">
        <v>0</v>
      </c>
      <c r="F2107" s="687">
        <f t="shared" si="32"/>
        <v>0</v>
      </c>
    </row>
    <row r="2108" spans="1:6">
      <c r="A2108" s="685"/>
      <c r="B2108" s="686">
        <v>3718</v>
      </c>
      <c r="C2108" s="687">
        <v>56680</v>
      </c>
      <c r="D2108" s="688" t="s">
        <v>503</v>
      </c>
      <c r="E2108" s="689">
        <v>0</v>
      </c>
      <c r="F2108" s="687">
        <f t="shared" si="32"/>
        <v>0</v>
      </c>
    </row>
    <row r="2109" spans="1:6">
      <c r="A2109" s="685"/>
      <c r="B2109" s="686">
        <v>3718</v>
      </c>
      <c r="C2109" s="687">
        <v>31899</v>
      </c>
      <c r="D2109" s="688" t="s">
        <v>503</v>
      </c>
      <c r="E2109" s="689">
        <v>0</v>
      </c>
      <c r="F2109" s="687">
        <f t="shared" si="32"/>
        <v>0</v>
      </c>
    </row>
    <row r="2110" spans="1:6">
      <c r="A2110" s="685"/>
      <c r="B2110" s="686">
        <v>3704</v>
      </c>
      <c r="C2110" s="687">
        <v>785291</v>
      </c>
      <c r="D2110" s="688" t="s">
        <v>503</v>
      </c>
      <c r="E2110" s="689">
        <v>0</v>
      </c>
      <c r="F2110" s="687">
        <f t="shared" si="32"/>
        <v>0</v>
      </c>
    </row>
    <row r="2111" spans="1:6">
      <c r="A2111" s="685"/>
      <c r="B2111" s="686">
        <v>3704</v>
      </c>
      <c r="C2111" s="687">
        <v>92116</v>
      </c>
      <c r="D2111" s="688" t="s">
        <v>503</v>
      </c>
      <c r="E2111" s="689">
        <v>0</v>
      </c>
      <c r="F2111" s="687">
        <f t="shared" si="32"/>
        <v>0</v>
      </c>
    </row>
    <row r="2112" spans="1:6">
      <c r="A2112" s="685"/>
      <c r="B2112" s="686">
        <v>3704</v>
      </c>
      <c r="C2112" s="687">
        <v>203000</v>
      </c>
      <c r="D2112" s="688" t="s">
        <v>503</v>
      </c>
      <c r="E2112" s="689">
        <v>0</v>
      </c>
      <c r="F2112" s="687">
        <f t="shared" si="32"/>
        <v>0</v>
      </c>
    </row>
    <row r="2113" spans="1:6">
      <c r="A2113" s="685"/>
      <c r="B2113" s="686">
        <v>3697</v>
      </c>
      <c r="C2113" s="687">
        <v>76751</v>
      </c>
      <c r="D2113" s="688" t="s">
        <v>503</v>
      </c>
      <c r="E2113" s="689">
        <v>0</v>
      </c>
      <c r="F2113" s="687">
        <f t="shared" si="32"/>
        <v>0</v>
      </c>
    </row>
    <row r="2114" spans="1:6">
      <c r="A2114" s="685"/>
      <c r="B2114" s="686">
        <v>3697</v>
      </c>
      <c r="C2114" s="687">
        <v>126114</v>
      </c>
      <c r="D2114" s="688" t="s">
        <v>503</v>
      </c>
      <c r="E2114" s="689">
        <v>0</v>
      </c>
      <c r="F2114" s="687">
        <f t="shared" si="32"/>
        <v>0</v>
      </c>
    </row>
    <row r="2115" spans="1:6">
      <c r="A2115" s="685"/>
      <c r="B2115" s="686">
        <v>3690</v>
      </c>
      <c r="C2115" s="687">
        <v>114011</v>
      </c>
      <c r="D2115" s="688" t="s">
        <v>503</v>
      </c>
      <c r="E2115" s="689">
        <v>0</v>
      </c>
      <c r="F2115" s="687">
        <f t="shared" ref="F2115:F2178" si="33">+C2115*E2115</f>
        <v>0</v>
      </c>
    </row>
    <row r="2116" spans="1:6">
      <c r="A2116" s="685"/>
      <c r="B2116" s="686">
        <v>3690</v>
      </c>
      <c r="C2116" s="687">
        <v>285238</v>
      </c>
      <c r="D2116" s="688" t="s">
        <v>503</v>
      </c>
      <c r="E2116" s="689">
        <v>0</v>
      </c>
      <c r="F2116" s="687">
        <f t="shared" si="33"/>
        <v>0</v>
      </c>
    </row>
    <row r="2117" spans="1:6">
      <c r="A2117" s="685"/>
      <c r="B2117" s="686">
        <v>3689</v>
      </c>
      <c r="C2117" s="687">
        <v>120215</v>
      </c>
      <c r="D2117" s="688" t="s">
        <v>503</v>
      </c>
      <c r="E2117" s="689">
        <v>0</v>
      </c>
      <c r="F2117" s="687">
        <f t="shared" si="33"/>
        <v>0</v>
      </c>
    </row>
    <row r="2118" spans="1:6">
      <c r="A2118" s="685"/>
      <c r="B2118" s="686">
        <v>3686</v>
      </c>
      <c r="C2118" s="687">
        <v>49185</v>
      </c>
      <c r="D2118" s="688" t="s">
        <v>503</v>
      </c>
      <c r="E2118" s="689">
        <v>0</v>
      </c>
      <c r="F2118" s="687">
        <f t="shared" si="33"/>
        <v>0</v>
      </c>
    </row>
    <row r="2119" spans="1:6">
      <c r="A2119" s="685"/>
      <c r="B2119" s="686">
        <v>3683</v>
      </c>
      <c r="C2119" s="687">
        <v>92825</v>
      </c>
      <c r="D2119" s="688" t="s">
        <v>503</v>
      </c>
      <c r="E2119" s="689">
        <v>0</v>
      </c>
      <c r="F2119" s="687">
        <f t="shared" si="33"/>
        <v>0</v>
      </c>
    </row>
    <row r="2120" spans="1:6">
      <c r="A2120" s="685"/>
      <c r="B2120" s="686">
        <v>3683</v>
      </c>
      <c r="C2120" s="687">
        <v>64799</v>
      </c>
      <c r="D2120" s="688" t="s">
        <v>503</v>
      </c>
      <c r="E2120" s="689">
        <v>0</v>
      </c>
      <c r="F2120" s="687">
        <f t="shared" si="33"/>
        <v>0</v>
      </c>
    </row>
    <row r="2121" spans="1:6">
      <c r="A2121" s="685"/>
      <c r="B2121" s="686">
        <v>3682</v>
      </c>
      <c r="C2121" s="687">
        <v>51940</v>
      </c>
      <c r="D2121" s="688" t="s">
        <v>503</v>
      </c>
      <c r="E2121" s="689">
        <v>0</v>
      </c>
      <c r="F2121" s="687">
        <f t="shared" si="33"/>
        <v>0</v>
      </c>
    </row>
    <row r="2122" spans="1:6">
      <c r="A2122" s="685"/>
      <c r="B2122" s="686">
        <v>3679</v>
      </c>
      <c r="C2122" s="687">
        <v>253748</v>
      </c>
      <c r="D2122" s="688" t="s">
        <v>503</v>
      </c>
      <c r="E2122" s="689">
        <v>0</v>
      </c>
      <c r="F2122" s="687">
        <f t="shared" si="33"/>
        <v>0</v>
      </c>
    </row>
    <row r="2123" spans="1:6">
      <c r="A2123" s="685"/>
      <c r="B2123" s="686">
        <v>3679</v>
      </c>
      <c r="C2123" s="687">
        <v>165446</v>
      </c>
      <c r="D2123" s="688" t="s">
        <v>503</v>
      </c>
      <c r="E2123" s="689">
        <v>0</v>
      </c>
      <c r="F2123" s="687">
        <f t="shared" si="33"/>
        <v>0</v>
      </c>
    </row>
    <row r="2124" spans="1:6">
      <c r="A2124" s="685"/>
      <c r="B2124" s="686">
        <v>3679</v>
      </c>
      <c r="C2124" s="687">
        <v>43800</v>
      </c>
      <c r="D2124" s="688" t="s">
        <v>503</v>
      </c>
      <c r="E2124" s="689">
        <v>0</v>
      </c>
      <c r="F2124" s="687">
        <f t="shared" si="33"/>
        <v>0</v>
      </c>
    </row>
    <row r="2125" spans="1:6">
      <c r="A2125" s="685"/>
      <c r="B2125" s="686">
        <v>3667</v>
      </c>
      <c r="C2125" s="687">
        <v>14630</v>
      </c>
      <c r="D2125" s="688" t="s">
        <v>503</v>
      </c>
      <c r="E2125" s="689">
        <v>0</v>
      </c>
      <c r="F2125" s="687">
        <f t="shared" si="33"/>
        <v>0</v>
      </c>
    </row>
    <row r="2126" spans="1:6">
      <c r="A2126" s="685"/>
      <c r="B2126" s="686">
        <v>3663</v>
      </c>
      <c r="C2126" s="687">
        <v>252810</v>
      </c>
      <c r="D2126" s="688" t="s">
        <v>503</v>
      </c>
      <c r="E2126" s="689">
        <v>0</v>
      </c>
      <c r="F2126" s="687">
        <f t="shared" si="33"/>
        <v>0</v>
      </c>
    </row>
    <row r="2127" spans="1:6">
      <c r="A2127" s="685"/>
      <c r="B2127" s="686">
        <v>3663</v>
      </c>
      <c r="C2127" s="687">
        <v>101124</v>
      </c>
      <c r="D2127" s="688" t="s">
        <v>503</v>
      </c>
      <c r="E2127" s="689">
        <v>0</v>
      </c>
      <c r="F2127" s="687">
        <f t="shared" si="33"/>
        <v>0</v>
      </c>
    </row>
    <row r="2128" spans="1:6">
      <c r="A2128" s="685"/>
      <c r="B2128" s="686">
        <v>3663</v>
      </c>
      <c r="C2128" s="687">
        <v>252810</v>
      </c>
      <c r="D2128" s="688" t="s">
        <v>503</v>
      </c>
      <c r="E2128" s="689">
        <v>0</v>
      </c>
      <c r="F2128" s="687">
        <f t="shared" si="33"/>
        <v>0</v>
      </c>
    </row>
    <row r="2129" spans="1:6">
      <c r="A2129" s="685"/>
      <c r="B2129" s="686">
        <v>3661</v>
      </c>
      <c r="C2129" s="687">
        <v>239615</v>
      </c>
      <c r="D2129" s="688" t="s">
        <v>503</v>
      </c>
      <c r="E2129" s="689">
        <v>0</v>
      </c>
      <c r="F2129" s="687">
        <f t="shared" si="33"/>
        <v>0</v>
      </c>
    </row>
    <row r="2130" spans="1:6">
      <c r="A2130" s="685"/>
      <c r="B2130" s="686">
        <v>3660</v>
      </c>
      <c r="C2130" s="687">
        <v>71015</v>
      </c>
      <c r="D2130" s="688" t="s">
        <v>503</v>
      </c>
      <c r="E2130" s="689">
        <v>0</v>
      </c>
      <c r="F2130" s="687">
        <f t="shared" si="33"/>
        <v>0</v>
      </c>
    </row>
    <row r="2131" spans="1:6">
      <c r="A2131" s="685"/>
      <c r="B2131" s="686">
        <v>3656</v>
      </c>
      <c r="C2131" s="687">
        <v>17108</v>
      </c>
      <c r="D2131" s="688" t="s">
        <v>503</v>
      </c>
      <c r="E2131" s="689">
        <v>0</v>
      </c>
      <c r="F2131" s="687">
        <f t="shared" si="33"/>
        <v>0</v>
      </c>
    </row>
    <row r="2132" spans="1:6">
      <c r="A2132" s="685"/>
      <c r="B2132" s="686">
        <v>3655</v>
      </c>
      <c r="C2132" s="687">
        <v>111091</v>
      </c>
      <c r="D2132" s="688" t="s">
        <v>503</v>
      </c>
      <c r="E2132" s="689">
        <v>0</v>
      </c>
      <c r="F2132" s="687">
        <f t="shared" si="33"/>
        <v>0</v>
      </c>
    </row>
    <row r="2133" spans="1:6">
      <c r="A2133" s="685"/>
      <c r="B2133" s="686">
        <v>3654</v>
      </c>
      <c r="C2133" s="687">
        <v>505621</v>
      </c>
      <c r="D2133" s="688" t="s">
        <v>503</v>
      </c>
      <c r="E2133" s="689">
        <v>0</v>
      </c>
      <c r="F2133" s="687">
        <f t="shared" si="33"/>
        <v>0</v>
      </c>
    </row>
    <row r="2134" spans="1:6">
      <c r="A2134" s="685"/>
      <c r="B2134" s="686">
        <v>3654</v>
      </c>
      <c r="C2134" s="687">
        <v>98134</v>
      </c>
      <c r="D2134" s="688" t="s">
        <v>503</v>
      </c>
      <c r="E2134" s="689">
        <v>0</v>
      </c>
      <c r="F2134" s="687">
        <f t="shared" si="33"/>
        <v>0</v>
      </c>
    </row>
    <row r="2135" spans="1:6">
      <c r="A2135" s="685"/>
      <c r="B2135" s="686">
        <v>3654</v>
      </c>
      <c r="C2135" s="687">
        <v>67181</v>
      </c>
      <c r="D2135" s="688" t="s">
        <v>503</v>
      </c>
      <c r="E2135" s="689">
        <v>0</v>
      </c>
      <c r="F2135" s="687">
        <f t="shared" si="33"/>
        <v>0</v>
      </c>
    </row>
    <row r="2136" spans="1:6">
      <c r="A2136" s="685"/>
      <c r="B2136" s="686">
        <v>3648</v>
      </c>
      <c r="C2136" s="687">
        <v>67969</v>
      </c>
      <c r="D2136" s="688" t="s">
        <v>503</v>
      </c>
      <c r="E2136" s="689">
        <v>0</v>
      </c>
      <c r="F2136" s="687">
        <f t="shared" si="33"/>
        <v>0</v>
      </c>
    </row>
    <row r="2137" spans="1:6">
      <c r="A2137" s="685"/>
      <c r="B2137" s="686">
        <v>3646</v>
      </c>
      <c r="C2137" s="687">
        <v>871529</v>
      </c>
      <c r="D2137" s="688" t="s">
        <v>503</v>
      </c>
      <c r="E2137" s="689">
        <v>0</v>
      </c>
      <c r="F2137" s="687">
        <f t="shared" si="33"/>
        <v>0</v>
      </c>
    </row>
    <row r="2138" spans="1:6">
      <c r="A2138" s="685"/>
      <c r="B2138" s="686">
        <v>3646</v>
      </c>
      <c r="C2138" s="687">
        <v>126405</v>
      </c>
      <c r="D2138" s="688" t="s">
        <v>503</v>
      </c>
      <c r="E2138" s="689">
        <v>0</v>
      </c>
      <c r="F2138" s="687">
        <f t="shared" si="33"/>
        <v>0</v>
      </c>
    </row>
    <row r="2139" spans="1:6">
      <c r="A2139" s="685"/>
      <c r="B2139" s="686">
        <v>3646</v>
      </c>
      <c r="C2139" s="687">
        <v>17887</v>
      </c>
      <c r="D2139" s="688" t="s">
        <v>503</v>
      </c>
      <c r="E2139" s="689">
        <v>0</v>
      </c>
      <c r="F2139" s="687">
        <f t="shared" si="33"/>
        <v>0</v>
      </c>
    </row>
    <row r="2140" spans="1:6">
      <c r="A2140" s="685"/>
      <c r="B2140" s="686">
        <v>3646</v>
      </c>
      <c r="C2140" s="687">
        <v>35679</v>
      </c>
      <c r="D2140" s="688" t="s">
        <v>503</v>
      </c>
      <c r="E2140" s="689">
        <v>0</v>
      </c>
      <c r="F2140" s="687">
        <f t="shared" si="33"/>
        <v>0</v>
      </c>
    </row>
    <row r="2141" spans="1:6">
      <c r="A2141" s="685"/>
      <c r="B2141" s="686">
        <v>3639</v>
      </c>
      <c r="C2141" s="687">
        <v>1121280</v>
      </c>
      <c r="D2141" s="688" t="s">
        <v>503</v>
      </c>
      <c r="E2141" s="689">
        <v>0</v>
      </c>
      <c r="F2141" s="687">
        <f t="shared" si="33"/>
        <v>0</v>
      </c>
    </row>
    <row r="2142" spans="1:6">
      <c r="A2142" s="685"/>
      <c r="B2142" s="686">
        <v>3639</v>
      </c>
      <c r="C2142" s="687">
        <v>32290</v>
      </c>
      <c r="D2142" s="688" t="s">
        <v>503</v>
      </c>
      <c r="E2142" s="689">
        <v>0</v>
      </c>
      <c r="F2142" s="687">
        <f t="shared" si="33"/>
        <v>0</v>
      </c>
    </row>
    <row r="2143" spans="1:6">
      <c r="A2143" s="685"/>
      <c r="B2143" s="686">
        <v>3635</v>
      </c>
      <c r="C2143" s="687">
        <v>425610</v>
      </c>
      <c r="D2143" s="688" t="s">
        <v>503</v>
      </c>
      <c r="E2143" s="689">
        <v>0</v>
      </c>
      <c r="F2143" s="687">
        <f t="shared" si="33"/>
        <v>0</v>
      </c>
    </row>
    <row r="2144" spans="1:6">
      <c r="A2144" s="685"/>
      <c r="B2144" s="686">
        <v>3633</v>
      </c>
      <c r="C2144" s="687">
        <v>50562</v>
      </c>
      <c r="D2144" s="688" t="s">
        <v>503</v>
      </c>
      <c r="E2144" s="689">
        <v>0</v>
      </c>
      <c r="F2144" s="687">
        <f t="shared" si="33"/>
        <v>0</v>
      </c>
    </row>
    <row r="2145" spans="1:6">
      <c r="A2145" s="685"/>
      <c r="B2145" s="686">
        <v>3632</v>
      </c>
      <c r="C2145" s="687">
        <v>59877</v>
      </c>
      <c r="D2145" s="688" t="s">
        <v>503</v>
      </c>
      <c r="E2145" s="689">
        <v>0</v>
      </c>
      <c r="F2145" s="687">
        <f t="shared" si="33"/>
        <v>0</v>
      </c>
    </row>
    <row r="2146" spans="1:6">
      <c r="A2146" s="685"/>
      <c r="B2146" s="686">
        <v>3632</v>
      </c>
      <c r="C2146" s="687">
        <v>7038</v>
      </c>
      <c r="D2146" s="688" t="s">
        <v>503</v>
      </c>
      <c r="E2146" s="689">
        <v>0</v>
      </c>
      <c r="F2146" s="687">
        <f t="shared" si="33"/>
        <v>0</v>
      </c>
    </row>
    <row r="2147" spans="1:6">
      <c r="A2147" s="685"/>
      <c r="B2147" s="686">
        <v>3631</v>
      </c>
      <c r="C2147" s="687">
        <v>33304</v>
      </c>
      <c r="D2147" s="688" t="s">
        <v>503</v>
      </c>
      <c r="E2147" s="689">
        <v>0</v>
      </c>
      <c r="F2147" s="687">
        <f t="shared" si="33"/>
        <v>0</v>
      </c>
    </row>
    <row r="2148" spans="1:6">
      <c r="A2148" s="685"/>
      <c r="B2148" s="686">
        <v>3557</v>
      </c>
      <c r="C2148" s="687">
        <v>695162</v>
      </c>
      <c r="D2148" s="688" t="s">
        <v>68</v>
      </c>
      <c r="E2148" s="689">
        <v>0.01</v>
      </c>
      <c r="F2148" s="687">
        <f t="shared" si="33"/>
        <v>6951.62</v>
      </c>
    </row>
    <row r="2149" spans="1:6">
      <c r="A2149" s="685"/>
      <c r="B2149" s="686">
        <v>3556</v>
      </c>
      <c r="C2149" s="687">
        <v>275792</v>
      </c>
      <c r="D2149" s="688" t="s">
        <v>68</v>
      </c>
      <c r="E2149" s="689">
        <v>0.01</v>
      </c>
      <c r="F2149" s="687">
        <f t="shared" si="33"/>
        <v>2757.92</v>
      </c>
    </row>
    <row r="2150" spans="1:6">
      <c r="A2150" s="685"/>
      <c r="B2150" s="686">
        <v>3365</v>
      </c>
      <c r="C2150" s="687">
        <v>46896</v>
      </c>
      <c r="D2150" s="688" t="s">
        <v>68</v>
      </c>
      <c r="E2150" s="689">
        <v>0.01</v>
      </c>
      <c r="F2150" s="687">
        <f t="shared" si="33"/>
        <v>468.96000000000004</v>
      </c>
    </row>
    <row r="2151" spans="1:6">
      <c r="A2151" s="685"/>
      <c r="B2151" s="686">
        <v>1519</v>
      </c>
      <c r="C2151" s="687">
        <v>5547125</v>
      </c>
      <c r="D2151" s="688" t="s">
        <v>114</v>
      </c>
      <c r="E2151" s="689">
        <v>0.5</v>
      </c>
      <c r="F2151" s="687">
        <f t="shared" si="33"/>
        <v>2773562.5</v>
      </c>
    </row>
    <row r="2152" spans="1:6">
      <c r="A2152" s="685"/>
      <c r="B2152" s="686">
        <v>1506</v>
      </c>
      <c r="C2152" s="687">
        <v>4392000</v>
      </c>
      <c r="D2152" s="688" t="s">
        <v>114</v>
      </c>
      <c r="E2152" s="689">
        <v>0.5</v>
      </c>
      <c r="F2152" s="687">
        <f t="shared" si="33"/>
        <v>2196000</v>
      </c>
    </row>
    <row r="2153" spans="1:6">
      <c r="A2153" s="685"/>
      <c r="B2153" s="686">
        <v>1498</v>
      </c>
      <c r="C2153" s="687">
        <v>33000</v>
      </c>
      <c r="D2153" s="688" t="s">
        <v>114</v>
      </c>
      <c r="E2153" s="689">
        <v>0.5</v>
      </c>
      <c r="F2153" s="687">
        <f t="shared" si="33"/>
        <v>16500</v>
      </c>
    </row>
    <row r="2154" spans="1:6">
      <c r="A2154" s="685"/>
      <c r="B2154" s="686">
        <v>1907</v>
      </c>
      <c r="C2154" s="687">
        <v>466304</v>
      </c>
      <c r="D2154" s="688" t="s">
        <v>68</v>
      </c>
      <c r="E2154" s="689">
        <v>0.01</v>
      </c>
      <c r="F2154" s="687">
        <f t="shared" si="33"/>
        <v>4663.04</v>
      </c>
    </row>
    <row r="2155" spans="1:6">
      <c r="A2155" s="685"/>
      <c r="B2155" s="686">
        <v>1903</v>
      </c>
      <c r="C2155" s="687">
        <v>23150</v>
      </c>
      <c r="D2155" s="688" t="s">
        <v>68</v>
      </c>
      <c r="E2155" s="689">
        <v>0.01</v>
      </c>
      <c r="F2155" s="687">
        <f t="shared" si="33"/>
        <v>231.5</v>
      </c>
    </row>
    <row r="2156" spans="1:6">
      <c r="A2156" s="685"/>
      <c r="B2156" s="686">
        <v>1901</v>
      </c>
      <c r="C2156" s="687">
        <v>82000</v>
      </c>
      <c r="D2156" s="688" t="s">
        <v>68</v>
      </c>
      <c r="E2156" s="689">
        <v>0.01</v>
      </c>
      <c r="F2156" s="687">
        <f t="shared" si="33"/>
        <v>820</v>
      </c>
    </row>
    <row r="2157" spans="1:6">
      <c r="A2157" s="685"/>
      <c r="B2157" s="686">
        <v>1897</v>
      </c>
      <c r="C2157" s="687">
        <v>50550</v>
      </c>
      <c r="D2157" s="688" t="s">
        <v>68</v>
      </c>
      <c r="E2157" s="689">
        <v>0.01</v>
      </c>
      <c r="F2157" s="687">
        <f t="shared" si="33"/>
        <v>505.5</v>
      </c>
    </row>
    <row r="2158" spans="1:6">
      <c r="A2158" s="685"/>
      <c r="B2158" s="686">
        <v>1887</v>
      </c>
      <c r="C2158" s="687">
        <v>50550</v>
      </c>
      <c r="D2158" s="688" t="s">
        <v>68</v>
      </c>
      <c r="E2158" s="689">
        <v>0.01</v>
      </c>
      <c r="F2158" s="687">
        <f t="shared" si="33"/>
        <v>505.5</v>
      </c>
    </row>
    <row r="2159" spans="1:6">
      <c r="A2159" s="685"/>
      <c r="B2159" s="686">
        <v>1878</v>
      </c>
      <c r="C2159" s="687">
        <v>50550</v>
      </c>
      <c r="D2159" s="688" t="s">
        <v>68</v>
      </c>
      <c r="E2159" s="689">
        <v>0.01</v>
      </c>
      <c r="F2159" s="687">
        <f t="shared" si="33"/>
        <v>505.5</v>
      </c>
    </row>
    <row r="2160" spans="1:6">
      <c r="A2160" s="685"/>
      <c r="B2160" s="686">
        <v>1874</v>
      </c>
      <c r="C2160" s="687">
        <v>142600</v>
      </c>
      <c r="D2160" s="688" t="s">
        <v>68</v>
      </c>
      <c r="E2160" s="689">
        <v>0.01</v>
      </c>
      <c r="F2160" s="687">
        <f t="shared" si="33"/>
        <v>1426</v>
      </c>
    </row>
    <row r="2161" spans="1:6">
      <c r="A2161" s="685"/>
      <c r="B2161" s="686">
        <v>1576</v>
      </c>
      <c r="C2161" s="687">
        <v>60000</v>
      </c>
      <c r="D2161" s="688" t="s">
        <v>68</v>
      </c>
      <c r="E2161" s="689">
        <v>0.01</v>
      </c>
      <c r="F2161" s="687">
        <f t="shared" si="33"/>
        <v>600</v>
      </c>
    </row>
    <row r="2162" spans="1:6">
      <c r="A2162" s="685"/>
      <c r="B2162" s="686">
        <v>1469</v>
      </c>
      <c r="C2162" s="687">
        <v>544000</v>
      </c>
      <c r="D2162" s="688" t="s">
        <v>68</v>
      </c>
      <c r="E2162" s="689">
        <v>0.01</v>
      </c>
      <c r="F2162" s="687">
        <f t="shared" si="33"/>
        <v>5440</v>
      </c>
    </row>
    <row r="2163" spans="1:6">
      <c r="A2163" s="685"/>
      <c r="B2163" s="686">
        <v>1467</v>
      </c>
      <c r="C2163" s="687">
        <v>199600</v>
      </c>
      <c r="D2163" s="688" t="s">
        <v>68</v>
      </c>
      <c r="E2163" s="689">
        <v>0.01</v>
      </c>
      <c r="F2163" s="687">
        <f t="shared" si="33"/>
        <v>1996</v>
      </c>
    </row>
    <row r="2164" spans="1:6">
      <c r="A2164" s="685"/>
      <c r="B2164" s="686">
        <v>669</v>
      </c>
      <c r="C2164" s="687">
        <v>1086000</v>
      </c>
      <c r="D2164" s="688" t="s">
        <v>68</v>
      </c>
      <c r="E2164" s="689">
        <v>0.1</v>
      </c>
      <c r="F2164" s="687">
        <f t="shared" si="33"/>
        <v>108600</v>
      </c>
    </row>
    <row r="2165" spans="1:6">
      <c r="A2165" s="685"/>
      <c r="B2165" s="686">
        <v>1680</v>
      </c>
      <c r="C2165" s="687">
        <v>71910</v>
      </c>
      <c r="D2165" s="688" t="s">
        <v>68</v>
      </c>
      <c r="E2165" s="689">
        <v>0.01</v>
      </c>
      <c r="F2165" s="687">
        <f t="shared" si="33"/>
        <v>719.1</v>
      </c>
    </row>
    <row r="2166" spans="1:6">
      <c r="A2166" s="685"/>
      <c r="B2166" s="686">
        <v>1679</v>
      </c>
      <c r="C2166" s="687">
        <v>41740</v>
      </c>
      <c r="D2166" s="688" t="s">
        <v>68</v>
      </c>
      <c r="E2166" s="689">
        <v>0.01</v>
      </c>
      <c r="F2166" s="687">
        <f t="shared" si="33"/>
        <v>417.40000000000003</v>
      </c>
    </row>
    <row r="2167" spans="1:6">
      <c r="A2167" s="685"/>
      <c r="B2167" s="686">
        <v>1672</v>
      </c>
      <c r="C2167" s="687">
        <v>314240</v>
      </c>
      <c r="D2167" s="688" t="s">
        <v>68</v>
      </c>
      <c r="E2167" s="689">
        <v>0.01</v>
      </c>
      <c r="F2167" s="687">
        <f t="shared" si="33"/>
        <v>3142.4</v>
      </c>
    </row>
    <row r="2168" spans="1:6">
      <c r="A2168" s="685"/>
      <c r="B2168" s="686">
        <v>1738</v>
      </c>
      <c r="C2168" s="687">
        <v>31000</v>
      </c>
      <c r="D2168" s="688" t="s">
        <v>68</v>
      </c>
      <c r="E2168" s="689">
        <v>0.01</v>
      </c>
      <c r="F2168" s="687">
        <f t="shared" si="33"/>
        <v>310</v>
      </c>
    </row>
    <row r="2169" spans="1:6">
      <c r="A2169" s="685"/>
      <c r="B2169" s="686">
        <v>1723</v>
      </c>
      <c r="C2169" s="687">
        <v>216550</v>
      </c>
      <c r="D2169" s="688" t="s">
        <v>68</v>
      </c>
      <c r="E2169" s="689">
        <v>0.01</v>
      </c>
      <c r="F2169" s="687">
        <f t="shared" si="33"/>
        <v>2165.5</v>
      </c>
    </row>
    <row r="2170" spans="1:6">
      <c r="A2170" s="685"/>
      <c r="B2170" s="686">
        <v>1618</v>
      </c>
      <c r="C2170" s="687">
        <v>36600</v>
      </c>
      <c r="D2170" s="688" t="s">
        <v>68</v>
      </c>
      <c r="E2170" s="689">
        <v>0.01</v>
      </c>
      <c r="F2170" s="687">
        <f t="shared" si="33"/>
        <v>366</v>
      </c>
    </row>
    <row r="2171" spans="1:6">
      <c r="A2171" s="685"/>
      <c r="B2171" s="686">
        <v>631</v>
      </c>
      <c r="C2171" s="687">
        <v>34000</v>
      </c>
      <c r="D2171" s="688" t="s">
        <v>68</v>
      </c>
      <c r="E2171" s="689">
        <v>0.1</v>
      </c>
      <c r="F2171" s="687">
        <f t="shared" si="33"/>
        <v>3400</v>
      </c>
    </row>
    <row r="2172" spans="1:6">
      <c r="A2172" s="685"/>
      <c r="B2172" s="686">
        <v>954</v>
      </c>
      <c r="C2172" s="687">
        <v>1463750</v>
      </c>
      <c r="D2172" s="688" t="s">
        <v>68</v>
      </c>
      <c r="E2172" s="689">
        <v>0.05</v>
      </c>
      <c r="F2172" s="687">
        <f t="shared" si="33"/>
        <v>73187.5</v>
      </c>
    </row>
    <row r="2173" spans="1:6">
      <c r="A2173" s="685"/>
      <c r="B2173" s="686">
        <v>659</v>
      </c>
      <c r="C2173" s="687">
        <v>174563</v>
      </c>
      <c r="D2173" s="688" t="s">
        <v>68</v>
      </c>
      <c r="E2173" s="689">
        <v>0.1</v>
      </c>
      <c r="F2173" s="687">
        <f t="shared" si="33"/>
        <v>17456.3</v>
      </c>
    </row>
    <row r="2174" spans="1:6">
      <c r="A2174" s="685"/>
      <c r="B2174" s="686">
        <v>1364</v>
      </c>
      <c r="C2174" s="687">
        <v>27350</v>
      </c>
      <c r="D2174" s="688" t="s">
        <v>68</v>
      </c>
      <c r="E2174" s="689">
        <v>0.01</v>
      </c>
      <c r="F2174" s="687">
        <f t="shared" si="33"/>
        <v>273.5</v>
      </c>
    </row>
    <row r="2175" spans="1:6">
      <c r="A2175" s="685"/>
      <c r="B2175" s="686">
        <v>1358</v>
      </c>
      <c r="C2175" s="687">
        <v>253350</v>
      </c>
      <c r="D2175" s="688" t="s">
        <v>68</v>
      </c>
      <c r="E2175" s="689">
        <v>0.01</v>
      </c>
      <c r="F2175" s="687">
        <f t="shared" si="33"/>
        <v>2533.5</v>
      </c>
    </row>
    <row r="2176" spans="1:6">
      <c r="A2176" s="685"/>
      <c r="B2176" s="686">
        <v>3641</v>
      </c>
      <c r="C2176" s="687">
        <v>1572952</v>
      </c>
      <c r="D2176" s="688" t="s">
        <v>68</v>
      </c>
      <c r="E2176" s="689">
        <v>0.01</v>
      </c>
      <c r="F2176" s="687">
        <f t="shared" si="33"/>
        <v>15729.52</v>
      </c>
    </row>
    <row r="2177" spans="1:6">
      <c r="A2177" s="685"/>
      <c r="B2177" s="686">
        <v>606</v>
      </c>
      <c r="C2177" s="687">
        <v>1147000</v>
      </c>
      <c r="D2177" s="688" t="s">
        <v>68</v>
      </c>
      <c r="E2177" s="689">
        <v>0.1</v>
      </c>
      <c r="F2177" s="687">
        <f t="shared" si="33"/>
        <v>114700</v>
      </c>
    </row>
    <row r="2178" spans="1:6">
      <c r="A2178" s="685"/>
      <c r="B2178" s="686">
        <v>583</v>
      </c>
      <c r="C2178" s="687">
        <v>4170600</v>
      </c>
      <c r="D2178" s="688" t="s">
        <v>68</v>
      </c>
      <c r="E2178" s="689">
        <v>0.1</v>
      </c>
      <c r="F2178" s="687">
        <f t="shared" si="33"/>
        <v>417060</v>
      </c>
    </row>
    <row r="2179" spans="1:6">
      <c r="A2179" s="685"/>
      <c r="B2179" s="686">
        <v>611</v>
      </c>
      <c r="C2179" s="687">
        <v>122500</v>
      </c>
      <c r="D2179" s="688" t="s">
        <v>68</v>
      </c>
      <c r="E2179" s="689">
        <v>0.1</v>
      </c>
      <c r="F2179" s="687">
        <f t="shared" ref="F2179:F2242" si="34">+C2179*E2179</f>
        <v>12250</v>
      </c>
    </row>
    <row r="2180" spans="1:6">
      <c r="A2180" s="685"/>
      <c r="B2180" s="686">
        <v>605</v>
      </c>
      <c r="C2180" s="687">
        <v>24200</v>
      </c>
      <c r="D2180" s="688" t="s">
        <v>68</v>
      </c>
      <c r="E2180" s="689">
        <v>0.1</v>
      </c>
      <c r="F2180" s="687">
        <f t="shared" si="34"/>
        <v>2420</v>
      </c>
    </row>
    <row r="2181" spans="1:6">
      <c r="A2181" s="685"/>
      <c r="B2181" s="686">
        <v>599</v>
      </c>
      <c r="C2181" s="687">
        <v>80954</v>
      </c>
      <c r="D2181" s="688" t="s">
        <v>68</v>
      </c>
      <c r="E2181" s="689">
        <v>0.1</v>
      </c>
      <c r="F2181" s="687">
        <f t="shared" si="34"/>
        <v>8095.4000000000005</v>
      </c>
    </row>
    <row r="2182" spans="1:6">
      <c r="A2182" s="685"/>
      <c r="B2182" s="686">
        <v>581</v>
      </c>
      <c r="C2182" s="687">
        <v>1638600</v>
      </c>
      <c r="D2182" s="688" t="s">
        <v>68</v>
      </c>
      <c r="E2182" s="689">
        <v>0.1</v>
      </c>
      <c r="F2182" s="687">
        <f t="shared" si="34"/>
        <v>163860</v>
      </c>
    </row>
    <row r="2183" spans="1:6">
      <c r="A2183" s="685"/>
      <c r="B2183" s="686">
        <v>1689</v>
      </c>
      <c r="C2183" s="687">
        <v>3666590</v>
      </c>
      <c r="D2183" s="688" t="s">
        <v>68</v>
      </c>
      <c r="E2183" s="689">
        <v>0.01</v>
      </c>
      <c r="F2183" s="687">
        <f t="shared" si="34"/>
        <v>36665.9</v>
      </c>
    </row>
    <row r="2184" spans="1:6">
      <c r="A2184" s="685"/>
      <c r="B2184" s="686">
        <v>1684</v>
      </c>
      <c r="C2184" s="687">
        <v>570142</v>
      </c>
      <c r="D2184" s="688" t="s">
        <v>68</v>
      </c>
      <c r="E2184" s="689">
        <v>0.01</v>
      </c>
      <c r="F2184" s="687">
        <f t="shared" si="34"/>
        <v>5701.42</v>
      </c>
    </row>
    <row r="2185" spans="1:6">
      <c r="A2185" s="685"/>
      <c r="B2185" s="686">
        <v>1675</v>
      </c>
      <c r="C2185" s="687">
        <v>1329500</v>
      </c>
      <c r="D2185" s="688" t="s">
        <v>68</v>
      </c>
      <c r="E2185" s="689">
        <v>0.01</v>
      </c>
      <c r="F2185" s="687">
        <f t="shared" si="34"/>
        <v>13295</v>
      </c>
    </row>
    <row r="2186" spans="1:6">
      <c r="A2186" s="685"/>
      <c r="B2186" s="686">
        <v>1675</v>
      </c>
      <c r="C2186" s="687">
        <v>175000</v>
      </c>
      <c r="D2186" s="688" t="s">
        <v>68</v>
      </c>
      <c r="E2186" s="689">
        <v>0.01</v>
      </c>
      <c r="F2186" s="687">
        <f t="shared" si="34"/>
        <v>1750</v>
      </c>
    </row>
    <row r="2187" spans="1:6">
      <c r="A2187" s="685"/>
      <c r="B2187" s="686">
        <v>1673</v>
      </c>
      <c r="C2187" s="687">
        <v>86200</v>
      </c>
      <c r="D2187" s="688" t="s">
        <v>68</v>
      </c>
      <c r="E2187" s="689">
        <v>0.01</v>
      </c>
      <c r="F2187" s="687">
        <f t="shared" si="34"/>
        <v>862</v>
      </c>
    </row>
    <row r="2188" spans="1:6">
      <c r="A2188" s="685"/>
      <c r="B2188" s="686">
        <v>1668</v>
      </c>
      <c r="C2188" s="687">
        <v>963000</v>
      </c>
      <c r="D2188" s="688" t="s">
        <v>68</v>
      </c>
      <c r="E2188" s="689">
        <v>0.01</v>
      </c>
      <c r="F2188" s="687">
        <f t="shared" si="34"/>
        <v>9630</v>
      </c>
    </row>
    <row r="2189" spans="1:6">
      <c r="A2189" s="685"/>
      <c r="B2189" s="686">
        <v>1664</v>
      </c>
      <c r="C2189" s="687">
        <v>86200</v>
      </c>
      <c r="D2189" s="688" t="s">
        <v>68</v>
      </c>
      <c r="E2189" s="689">
        <v>0.01</v>
      </c>
      <c r="F2189" s="687">
        <f t="shared" si="34"/>
        <v>862</v>
      </c>
    </row>
    <row r="2190" spans="1:6">
      <c r="A2190" s="685"/>
      <c r="B2190" s="686">
        <v>1659</v>
      </c>
      <c r="C2190" s="687">
        <v>51000</v>
      </c>
      <c r="D2190" s="688" t="s">
        <v>68</v>
      </c>
      <c r="E2190" s="689">
        <v>0.01</v>
      </c>
      <c r="F2190" s="687">
        <f t="shared" si="34"/>
        <v>510</v>
      </c>
    </row>
    <row r="2191" spans="1:6">
      <c r="A2191" s="685"/>
      <c r="B2191" s="686">
        <v>1656</v>
      </c>
      <c r="C2191" s="687">
        <v>57450</v>
      </c>
      <c r="D2191" s="688" t="s">
        <v>68</v>
      </c>
      <c r="E2191" s="689">
        <v>0.01</v>
      </c>
      <c r="F2191" s="687">
        <f t="shared" si="34"/>
        <v>574.5</v>
      </c>
    </row>
    <row r="2192" spans="1:6">
      <c r="A2192" s="685"/>
      <c r="B2192" s="686">
        <v>1649</v>
      </c>
      <c r="C2192" s="687">
        <v>125490</v>
      </c>
      <c r="D2192" s="688" t="s">
        <v>68</v>
      </c>
      <c r="E2192" s="689">
        <v>0.01</v>
      </c>
      <c r="F2192" s="687">
        <f t="shared" si="34"/>
        <v>1254.9000000000001</v>
      </c>
    </row>
    <row r="2193" spans="1:6">
      <c r="A2193" s="685"/>
      <c r="B2193" s="686">
        <v>1640</v>
      </c>
      <c r="C2193" s="687">
        <v>579890</v>
      </c>
      <c r="D2193" s="688" t="s">
        <v>68</v>
      </c>
      <c r="E2193" s="689">
        <v>0.01</v>
      </c>
      <c r="F2193" s="687">
        <f t="shared" si="34"/>
        <v>5798.9000000000005</v>
      </c>
    </row>
    <row r="2194" spans="1:6">
      <c r="A2194" s="685"/>
      <c r="B2194" s="686">
        <v>1634</v>
      </c>
      <c r="C2194" s="687">
        <v>948000</v>
      </c>
      <c r="D2194" s="688" t="s">
        <v>68</v>
      </c>
      <c r="E2194" s="689">
        <v>0.01</v>
      </c>
      <c r="F2194" s="687">
        <f t="shared" si="34"/>
        <v>9480</v>
      </c>
    </row>
    <row r="2195" spans="1:6">
      <c r="A2195" s="685"/>
      <c r="B2195" s="686">
        <v>1624</v>
      </c>
      <c r="C2195" s="687">
        <v>1660000</v>
      </c>
      <c r="D2195" s="688" t="s">
        <v>68</v>
      </c>
      <c r="E2195" s="689">
        <v>0.01</v>
      </c>
      <c r="F2195" s="687">
        <f t="shared" si="34"/>
        <v>16600</v>
      </c>
    </row>
    <row r="2196" spans="1:6">
      <c r="A2196" s="685"/>
      <c r="B2196" s="686">
        <v>1623</v>
      </c>
      <c r="C2196" s="687">
        <v>389000</v>
      </c>
      <c r="D2196" s="688" t="s">
        <v>68</v>
      </c>
      <c r="E2196" s="689">
        <v>0.01</v>
      </c>
      <c r="F2196" s="687">
        <f t="shared" si="34"/>
        <v>3890</v>
      </c>
    </row>
    <row r="2197" spans="1:6">
      <c r="A2197" s="685"/>
      <c r="B2197" s="686">
        <v>1619</v>
      </c>
      <c r="C2197" s="687">
        <v>251990</v>
      </c>
      <c r="D2197" s="688" t="s">
        <v>68</v>
      </c>
      <c r="E2197" s="689">
        <v>0.01</v>
      </c>
      <c r="F2197" s="687">
        <f t="shared" si="34"/>
        <v>2519.9</v>
      </c>
    </row>
    <row r="2198" spans="1:6">
      <c r="A2198" s="685"/>
      <c r="B2198" s="686">
        <v>1616</v>
      </c>
      <c r="C2198" s="687">
        <v>102540</v>
      </c>
      <c r="D2198" s="688" t="s">
        <v>68</v>
      </c>
      <c r="E2198" s="689">
        <v>0.01</v>
      </c>
      <c r="F2198" s="687">
        <f t="shared" si="34"/>
        <v>1025.4000000000001</v>
      </c>
    </row>
    <row r="2199" spans="1:6">
      <c r="A2199" s="685"/>
      <c r="B2199" s="686">
        <v>1606</v>
      </c>
      <c r="C2199" s="687">
        <v>3320000</v>
      </c>
      <c r="D2199" s="688" t="s">
        <v>68</v>
      </c>
      <c r="E2199" s="689">
        <v>0.01</v>
      </c>
      <c r="F2199" s="687">
        <f t="shared" si="34"/>
        <v>33200</v>
      </c>
    </row>
    <row r="2200" spans="1:6">
      <c r="A2200" s="685"/>
      <c r="B2200" s="686">
        <v>1602</v>
      </c>
      <c r="C2200" s="687">
        <v>88050</v>
      </c>
      <c r="D2200" s="688" t="s">
        <v>68</v>
      </c>
      <c r="E2200" s="689">
        <v>0.01</v>
      </c>
      <c r="F2200" s="687">
        <f t="shared" si="34"/>
        <v>880.5</v>
      </c>
    </row>
    <row r="2201" spans="1:6">
      <c r="A2201" s="685"/>
      <c r="B2201" s="686">
        <v>1600</v>
      </c>
      <c r="C2201" s="687">
        <v>479000</v>
      </c>
      <c r="D2201" s="688" t="s">
        <v>68</v>
      </c>
      <c r="E2201" s="689">
        <v>0.01</v>
      </c>
      <c r="F2201" s="687">
        <f t="shared" si="34"/>
        <v>4790</v>
      </c>
    </row>
    <row r="2202" spans="1:6">
      <c r="A2202" s="685"/>
      <c r="B2202" s="686">
        <v>1595</v>
      </c>
      <c r="C2202" s="687">
        <v>633050</v>
      </c>
      <c r="D2202" s="688" t="s">
        <v>68</v>
      </c>
      <c r="E2202" s="689">
        <v>0.01</v>
      </c>
      <c r="F2202" s="687">
        <f t="shared" si="34"/>
        <v>6330.5</v>
      </c>
    </row>
    <row r="2203" spans="1:6">
      <c r="A2203" s="685"/>
      <c r="B2203" s="686">
        <v>1670</v>
      </c>
      <c r="C2203" s="687">
        <v>39200</v>
      </c>
      <c r="D2203" s="688" t="s">
        <v>68</v>
      </c>
      <c r="E2203" s="689">
        <v>0.01</v>
      </c>
      <c r="F2203" s="687">
        <f t="shared" si="34"/>
        <v>392</v>
      </c>
    </row>
    <row r="2204" spans="1:6">
      <c r="A2204" s="685"/>
      <c r="B2204" s="686">
        <v>1528</v>
      </c>
      <c r="C2204" s="687">
        <v>757800</v>
      </c>
      <c r="D2204" s="688" t="s">
        <v>68</v>
      </c>
      <c r="E2204" s="689">
        <v>0.01</v>
      </c>
      <c r="F2204" s="687">
        <f t="shared" si="34"/>
        <v>7578</v>
      </c>
    </row>
    <row r="2205" spans="1:6">
      <c r="A2205" s="685"/>
      <c r="B2205" s="686">
        <v>1528</v>
      </c>
      <c r="C2205" s="687">
        <v>31094500</v>
      </c>
      <c r="D2205" s="688" t="s">
        <v>68</v>
      </c>
      <c r="E2205" s="689">
        <v>0.01</v>
      </c>
      <c r="F2205" s="687">
        <f t="shared" si="34"/>
        <v>310945</v>
      </c>
    </row>
    <row r="2206" spans="1:6">
      <c r="A2206" s="685"/>
      <c r="B2206" s="686">
        <v>1587</v>
      </c>
      <c r="C2206" s="687">
        <v>1660000</v>
      </c>
      <c r="D2206" s="688" t="s">
        <v>68</v>
      </c>
      <c r="E2206" s="689">
        <v>0.01</v>
      </c>
      <c r="F2206" s="687">
        <f t="shared" si="34"/>
        <v>16600</v>
      </c>
    </row>
    <row r="2207" spans="1:6">
      <c r="A2207" s="685"/>
      <c r="B2207" s="686">
        <v>1581</v>
      </c>
      <c r="C2207" s="687">
        <v>88050</v>
      </c>
      <c r="D2207" s="688" t="s">
        <v>68</v>
      </c>
      <c r="E2207" s="689">
        <v>0.01</v>
      </c>
      <c r="F2207" s="687">
        <f t="shared" si="34"/>
        <v>880.5</v>
      </c>
    </row>
    <row r="2208" spans="1:6">
      <c r="A2208" s="685"/>
      <c r="B2208" s="686">
        <v>1581</v>
      </c>
      <c r="C2208" s="687">
        <v>257650</v>
      </c>
      <c r="D2208" s="688" t="s">
        <v>68</v>
      </c>
      <c r="E2208" s="689">
        <v>0.01</v>
      </c>
      <c r="F2208" s="687">
        <f t="shared" si="34"/>
        <v>2576.5</v>
      </c>
    </row>
    <row r="2209" spans="1:6">
      <c r="A2209" s="685"/>
      <c r="B2209" s="686">
        <v>1580</v>
      </c>
      <c r="C2209" s="687">
        <v>985000</v>
      </c>
      <c r="D2209" s="688" t="s">
        <v>68</v>
      </c>
      <c r="E2209" s="689">
        <v>0.01</v>
      </c>
      <c r="F2209" s="687">
        <f t="shared" si="34"/>
        <v>9850</v>
      </c>
    </row>
    <row r="2210" spans="1:6">
      <c r="A2210" s="685"/>
      <c r="B2210" s="686">
        <v>1579</v>
      </c>
      <c r="C2210" s="687">
        <v>47000</v>
      </c>
      <c r="D2210" s="688" t="s">
        <v>68</v>
      </c>
      <c r="E2210" s="689">
        <v>0.01</v>
      </c>
      <c r="F2210" s="687">
        <f t="shared" si="34"/>
        <v>470</v>
      </c>
    </row>
    <row r="2211" spans="1:6">
      <c r="A2211" s="685"/>
      <c r="B2211" s="686">
        <v>1578</v>
      </c>
      <c r="C2211" s="687">
        <v>1561500</v>
      </c>
      <c r="D2211" s="688" t="s">
        <v>68</v>
      </c>
      <c r="E2211" s="689">
        <v>0.01</v>
      </c>
      <c r="F2211" s="687">
        <f t="shared" si="34"/>
        <v>15615</v>
      </c>
    </row>
    <row r="2212" spans="1:6">
      <c r="A2212" s="685"/>
      <c r="B2212" s="686">
        <v>1572</v>
      </c>
      <c r="C2212" s="687">
        <v>28740</v>
      </c>
      <c r="D2212" s="688" t="s">
        <v>68</v>
      </c>
      <c r="E2212" s="689">
        <v>0.01</v>
      </c>
      <c r="F2212" s="687">
        <f t="shared" si="34"/>
        <v>287.40000000000003</v>
      </c>
    </row>
    <row r="2213" spans="1:6">
      <c r="A2213" s="685"/>
      <c r="B2213" s="686">
        <v>1572</v>
      </c>
      <c r="C2213" s="687">
        <v>449500</v>
      </c>
      <c r="D2213" s="688" t="s">
        <v>68</v>
      </c>
      <c r="E2213" s="689">
        <v>0.01</v>
      </c>
      <c r="F2213" s="687">
        <f t="shared" si="34"/>
        <v>4495</v>
      </c>
    </row>
    <row r="2214" spans="1:6">
      <c r="A2214" s="685"/>
      <c r="B2214" s="686">
        <v>1572</v>
      </c>
      <c r="C2214" s="687">
        <v>113740</v>
      </c>
      <c r="D2214" s="688" t="s">
        <v>68</v>
      </c>
      <c r="E2214" s="689">
        <v>0.01</v>
      </c>
      <c r="F2214" s="687">
        <f t="shared" si="34"/>
        <v>1137.4000000000001</v>
      </c>
    </row>
    <row r="2215" spans="1:6">
      <c r="A2215" s="685"/>
      <c r="B2215" s="686">
        <v>1567</v>
      </c>
      <c r="C2215" s="687">
        <v>80100</v>
      </c>
      <c r="D2215" s="688" t="s">
        <v>68</v>
      </c>
      <c r="E2215" s="689">
        <v>0.01</v>
      </c>
      <c r="F2215" s="687">
        <f t="shared" si="34"/>
        <v>801</v>
      </c>
    </row>
    <row r="2216" spans="1:6">
      <c r="A2216" s="685"/>
      <c r="B2216" s="686">
        <v>1640</v>
      </c>
      <c r="C2216" s="687">
        <v>60025</v>
      </c>
      <c r="D2216" s="688" t="s">
        <v>68</v>
      </c>
      <c r="E2216" s="689">
        <v>0.01</v>
      </c>
      <c r="F2216" s="687">
        <f t="shared" si="34"/>
        <v>600.25</v>
      </c>
    </row>
    <row r="2217" spans="1:6">
      <c r="A2217" s="685"/>
      <c r="B2217" s="686">
        <v>1510</v>
      </c>
      <c r="C2217" s="687">
        <v>303200</v>
      </c>
      <c r="D2217" s="688" t="s">
        <v>68</v>
      </c>
      <c r="E2217" s="689">
        <v>0.01</v>
      </c>
      <c r="F2217" s="687">
        <f t="shared" si="34"/>
        <v>3032</v>
      </c>
    </row>
    <row r="2218" spans="1:6">
      <c r="A2218" s="685"/>
      <c r="B2218" s="686">
        <v>1579</v>
      </c>
      <c r="C2218" s="687">
        <v>94050</v>
      </c>
      <c r="D2218" s="688" t="s">
        <v>68</v>
      </c>
      <c r="E2218" s="689">
        <v>0.01</v>
      </c>
      <c r="F2218" s="687">
        <f t="shared" si="34"/>
        <v>940.5</v>
      </c>
    </row>
    <row r="2219" spans="1:6">
      <c r="A2219" s="685"/>
      <c r="B2219" s="686">
        <v>1577</v>
      </c>
      <c r="C2219" s="687">
        <v>42385</v>
      </c>
      <c r="D2219" s="688" t="s">
        <v>68</v>
      </c>
      <c r="E2219" s="689">
        <v>0.01</v>
      </c>
      <c r="F2219" s="687">
        <f t="shared" si="34"/>
        <v>423.85</v>
      </c>
    </row>
    <row r="2220" spans="1:6">
      <c r="A2220" s="685"/>
      <c r="B2220" s="686">
        <v>612</v>
      </c>
      <c r="C2220" s="687">
        <v>34000</v>
      </c>
      <c r="D2220" s="688" t="s">
        <v>68</v>
      </c>
      <c r="E2220" s="689">
        <v>0.1</v>
      </c>
      <c r="F2220" s="687">
        <f t="shared" si="34"/>
        <v>3400</v>
      </c>
    </row>
    <row r="2221" spans="1:6">
      <c r="A2221" s="685"/>
      <c r="B2221" s="686">
        <v>601</v>
      </c>
      <c r="C2221" s="687">
        <v>34000</v>
      </c>
      <c r="D2221" s="688" t="s">
        <v>68</v>
      </c>
      <c r="E2221" s="689">
        <v>0.1</v>
      </c>
      <c r="F2221" s="687">
        <f t="shared" si="34"/>
        <v>3400</v>
      </c>
    </row>
    <row r="2222" spans="1:6">
      <c r="A2222" s="685"/>
      <c r="B2222" s="686">
        <v>601</v>
      </c>
      <c r="C2222" s="687">
        <v>17000</v>
      </c>
      <c r="D2222" s="688" t="s">
        <v>68</v>
      </c>
      <c r="E2222" s="689">
        <v>0.1</v>
      </c>
      <c r="F2222" s="687">
        <f t="shared" si="34"/>
        <v>1700</v>
      </c>
    </row>
    <row r="2223" spans="1:6">
      <c r="A2223" s="685"/>
      <c r="B2223" s="686">
        <v>1616</v>
      </c>
      <c r="C2223" s="687">
        <v>837508</v>
      </c>
      <c r="D2223" s="688" t="s">
        <v>114</v>
      </c>
      <c r="E2223" s="689">
        <v>0.5</v>
      </c>
      <c r="F2223" s="687">
        <f t="shared" si="34"/>
        <v>418754</v>
      </c>
    </row>
    <row r="2224" spans="1:6">
      <c r="A2224" s="685"/>
      <c r="B2224" s="686">
        <v>1618</v>
      </c>
      <c r="C2224" s="687">
        <v>47490</v>
      </c>
      <c r="D2224" s="688" t="s">
        <v>68</v>
      </c>
      <c r="E2224" s="689">
        <v>0.01</v>
      </c>
      <c r="F2224" s="687">
        <f t="shared" si="34"/>
        <v>474.90000000000003</v>
      </c>
    </row>
    <row r="2225" spans="1:6">
      <c r="A2225" s="685"/>
      <c r="B2225" s="686">
        <v>1616</v>
      </c>
      <c r="C2225" s="687">
        <v>482400</v>
      </c>
      <c r="D2225" s="688" t="s">
        <v>68</v>
      </c>
      <c r="E2225" s="689">
        <v>0.01</v>
      </c>
      <c r="F2225" s="687">
        <f t="shared" si="34"/>
        <v>4824</v>
      </c>
    </row>
    <row r="2226" spans="1:6">
      <c r="A2226" s="685"/>
      <c r="B2226" s="686">
        <v>1611</v>
      </c>
      <c r="C2226" s="687">
        <v>29200</v>
      </c>
      <c r="D2226" s="688" t="s">
        <v>68</v>
      </c>
      <c r="E2226" s="689">
        <v>0.01</v>
      </c>
      <c r="F2226" s="687">
        <f t="shared" si="34"/>
        <v>292</v>
      </c>
    </row>
    <row r="2227" spans="1:6">
      <c r="A2227" s="685"/>
      <c r="B2227" s="686">
        <v>1596</v>
      </c>
      <c r="C2227" s="687">
        <v>180590</v>
      </c>
      <c r="D2227" s="688" t="s">
        <v>68</v>
      </c>
      <c r="E2227" s="689">
        <v>0.01</v>
      </c>
      <c r="F2227" s="687">
        <f t="shared" si="34"/>
        <v>1805.9</v>
      </c>
    </row>
    <row r="2228" spans="1:6">
      <c r="A2228" s="685"/>
      <c r="B2228" s="686">
        <v>1596</v>
      </c>
      <c r="C2228" s="687">
        <v>80700</v>
      </c>
      <c r="D2228" s="688" t="s">
        <v>68</v>
      </c>
      <c r="E2228" s="689">
        <v>0.01</v>
      </c>
      <c r="F2228" s="687">
        <f t="shared" si="34"/>
        <v>807</v>
      </c>
    </row>
    <row r="2229" spans="1:6">
      <c r="A2229" s="685"/>
      <c r="B2229" s="686">
        <v>1592</v>
      </c>
      <c r="C2229" s="687">
        <v>92950</v>
      </c>
      <c r="D2229" s="688" t="s">
        <v>68</v>
      </c>
      <c r="E2229" s="689">
        <v>0.01</v>
      </c>
      <c r="F2229" s="687">
        <f t="shared" si="34"/>
        <v>929.5</v>
      </c>
    </row>
    <row r="2230" spans="1:6">
      <c r="A2230" s="685"/>
      <c r="B2230" s="686">
        <v>1812</v>
      </c>
      <c r="C2230" s="687">
        <v>172000</v>
      </c>
      <c r="D2230" s="688" t="s">
        <v>68</v>
      </c>
      <c r="E2230" s="689">
        <v>0.01</v>
      </c>
      <c r="F2230" s="687">
        <f t="shared" si="34"/>
        <v>1720</v>
      </c>
    </row>
    <row r="2231" spans="1:6">
      <c r="A2231" s="685"/>
      <c r="B2231" s="686">
        <v>1811</v>
      </c>
      <c r="C2231" s="687">
        <v>107600</v>
      </c>
      <c r="D2231" s="688" t="s">
        <v>68</v>
      </c>
      <c r="E2231" s="689">
        <v>0.01</v>
      </c>
      <c r="F2231" s="687">
        <f t="shared" si="34"/>
        <v>1076</v>
      </c>
    </row>
    <row r="2232" spans="1:6">
      <c r="A2232" s="685"/>
      <c r="B2232" s="686">
        <v>574</v>
      </c>
      <c r="C2232" s="687">
        <v>22350</v>
      </c>
      <c r="D2232" s="688" t="s">
        <v>68</v>
      </c>
      <c r="E2232" s="689">
        <v>0.1</v>
      </c>
      <c r="F2232" s="687">
        <f t="shared" si="34"/>
        <v>2235</v>
      </c>
    </row>
    <row r="2233" spans="1:6">
      <c r="A2233" s="685"/>
      <c r="B2233" s="686">
        <v>1570</v>
      </c>
      <c r="C2233" s="687">
        <v>1680000</v>
      </c>
      <c r="D2233" s="688" t="s">
        <v>68</v>
      </c>
      <c r="E2233" s="689">
        <v>0.01</v>
      </c>
      <c r="F2233" s="687">
        <f t="shared" si="34"/>
        <v>16800</v>
      </c>
    </row>
    <row r="2234" spans="1:6">
      <c r="A2234" s="685"/>
      <c r="B2234" s="686">
        <v>567</v>
      </c>
      <c r="C2234" s="687">
        <v>193403</v>
      </c>
      <c r="D2234" s="688" t="s">
        <v>68</v>
      </c>
      <c r="E2234" s="689">
        <v>0.1</v>
      </c>
      <c r="F2234" s="687">
        <f t="shared" si="34"/>
        <v>19340.3</v>
      </c>
    </row>
    <row r="2235" spans="1:6">
      <c r="A2235" s="685"/>
      <c r="B2235" s="686">
        <v>1726</v>
      </c>
      <c r="C2235" s="687">
        <v>104375</v>
      </c>
      <c r="D2235" s="688" t="s">
        <v>68</v>
      </c>
      <c r="E2235" s="689">
        <v>0.01</v>
      </c>
      <c r="F2235" s="687">
        <f t="shared" si="34"/>
        <v>1043.75</v>
      </c>
    </row>
    <row r="2236" spans="1:6">
      <c r="A2236" s="685"/>
      <c r="B2236" s="686">
        <v>1804</v>
      </c>
      <c r="C2236" s="687">
        <v>89500</v>
      </c>
      <c r="D2236" s="688" t="s">
        <v>68</v>
      </c>
      <c r="E2236" s="689">
        <v>0.01</v>
      </c>
      <c r="F2236" s="687">
        <f t="shared" si="34"/>
        <v>895</v>
      </c>
    </row>
    <row r="2237" spans="1:6">
      <c r="A2237" s="685"/>
      <c r="B2237" s="686">
        <v>1801</v>
      </c>
      <c r="C2237" s="687">
        <v>45800</v>
      </c>
      <c r="D2237" s="688" t="s">
        <v>68</v>
      </c>
      <c r="E2237" s="689">
        <v>0.01</v>
      </c>
      <c r="F2237" s="687">
        <f t="shared" si="34"/>
        <v>458</v>
      </c>
    </row>
    <row r="2238" spans="1:6">
      <c r="A2238" s="685"/>
      <c r="B2238" s="686">
        <v>1799</v>
      </c>
      <c r="C2238" s="687">
        <v>170477</v>
      </c>
      <c r="D2238" s="688" t="s">
        <v>68</v>
      </c>
      <c r="E2238" s="689">
        <v>0.01</v>
      </c>
      <c r="F2238" s="687">
        <f t="shared" si="34"/>
        <v>1704.77</v>
      </c>
    </row>
    <row r="2239" spans="1:6">
      <c r="A2239" s="685"/>
      <c r="B2239" s="686">
        <v>1885</v>
      </c>
      <c r="C2239" s="687">
        <v>203000</v>
      </c>
      <c r="D2239" s="688" t="s">
        <v>68</v>
      </c>
      <c r="E2239" s="689">
        <v>0.01</v>
      </c>
      <c r="F2239" s="687">
        <f t="shared" si="34"/>
        <v>2030</v>
      </c>
    </row>
    <row r="2240" spans="1:6">
      <c r="A2240" s="685"/>
      <c r="B2240" s="686">
        <v>1543</v>
      </c>
      <c r="C2240" s="687">
        <v>519400</v>
      </c>
      <c r="D2240" s="688" t="s">
        <v>68</v>
      </c>
      <c r="E2240" s="689">
        <v>0.01</v>
      </c>
      <c r="F2240" s="687">
        <f t="shared" si="34"/>
        <v>5194</v>
      </c>
    </row>
    <row r="2241" spans="1:6">
      <c r="A2241" s="685"/>
      <c r="B2241" s="686">
        <v>1540</v>
      </c>
      <c r="C2241" s="687">
        <v>300550</v>
      </c>
      <c r="D2241" s="688" t="s">
        <v>68</v>
      </c>
      <c r="E2241" s="689">
        <v>0.01</v>
      </c>
      <c r="F2241" s="687">
        <f t="shared" si="34"/>
        <v>3005.5</v>
      </c>
    </row>
    <row r="2242" spans="1:6">
      <c r="A2242" s="685"/>
      <c r="B2242" s="686">
        <v>1528</v>
      </c>
      <c r="C2242" s="687">
        <v>134500</v>
      </c>
      <c r="D2242" s="688" t="s">
        <v>68</v>
      </c>
      <c r="E2242" s="689">
        <v>0.01</v>
      </c>
      <c r="F2242" s="687">
        <f t="shared" si="34"/>
        <v>1345</v>
      </c>
    </row>
    <row r="2243" spans="1:6">
      <c r="A2243" s="685"/>
      <c r="B2243" s="686">
        <v>644</v>
      </c>
      <c r="C2243" s="687">
        <v>2172000</v>
      </c>
      <c r="D2243" s="688" t="s">
        <v>68</v>
      </c>
      <c r="E2243" s="689">
        <v>0.1</v>
      </c>
      <c r="F2243" s="687">
        <f t="shared" ref="F2243:F2306" si="35">+C2243*E2243</f>
        <v>217200</v>
      </c>
    </row>
    <row r="2244" spans="1:6">
      <c r="A2244" s="685"/>
      <c r="B2244" s="686">
        <v>578</v>
      </c>
      <c r="C2244" s="687">
        <v>3741348</v>
      </c>
      <c r="D2244" s="688" t="s">
        <v>68</v>
      </c>
      <c r="E2244" s="689">
        <v>0.1</v>
      </c>
      <c r="F2244" s="687">
        <f t="shared" si="35"/>
        <v>374134.80000000005</v>
      </c>
    </row>
    <row r="2245" spans="1:6">
      <c r="A2245" s="685"/>
      <c r="B2245" s="686">
        <v>1567</v>
      </c>
      <c r="C2245" s="687">
        <v>1134743</v>
      </c>
      <c r="D2245" s="688" t="s">
        <v>68</v>
      </c>
      <c r="E2245" s="689">
        <v>0.01</v>
      </c>
      <c r="F2245" s="687">
        <f t="shared" si="35"/>
        <v>11347.43</v>
      </c>
    </row>
    <row r="2246" spans="1:6">
      <c r="A2246" s="685"/>
      <c r="B2246" s="686">
        <v>1919</v>
      </c>
      <c r="C2246" s="687">
        <v>167450</v>
      </c>
      <c r="D2246" s="688" t="s">
        <v>68</v>
      </c>
      <c r="E2246" s="689">
        <v>0.01</v>
      </c>
      <c r="F2246" s="687">
        <f t="shared" si="35"/>
        <v>1674.5</v>
      </c>
    </row>
    <row r="2247" spans="1:6">
      <c r="A2247" s="685"/>
      <c r="B2247" s="686">
        <v>1915</v>
      </c>
      <c r="C2247" s="687">
        <v>3040000</v>
      </c>
      <c r="D2247" s="688" t="s">
        <v>68</v>
      </c>
      <c r="E2247" s="689">
        <v>0.01</v>
      </c>
      <c r="F2247" s="687">
        <f t="shared" si="35"/>
        <v>30400</v>
      </c>
    </row>
    <row r="2248" spans="1:6">
      <c r="A2248" s="685"/>
      <c r="B2248" s="686">
        <v>1908</v>
      </c>
      <c r="C2248" s="687">
        <v>447900</v>
      </c>
      <c r="D2248" s="688" t="s">
        <v>68</v>
      </c>
      <c r="E2248" s="689">
        <v>0.01</v>
      </c>
      <c r="F2248" s="687">
        <f t="shared" si="35"/>
        <v>4479</v>
      </c>
    </row>
    <row r="2249" spans="1:6">
      <c r="A2249" s="685"/>
      <c r="B2249" s="686">
        <v>1888</v>
      </c>
      <c r="C2249" s="687">
        <v>753950</v>
      </c>
      <c r="D2249" s="688" t="s">
        <v>68</v>
      </c>
      <c r="E2249" s="689">
        <v>0.01</v>
      </c>
      <c r="F2249" s="687">
        <f t="shared" si="35"/>
        <v>7539.5</v>
      </c>
    </row>
    <row r="2250" spans="1:6">
      <c r="A2250" s="685"/>
      <c r="B2250" s="686">
        <v>2146</v>
      </c>
      <c r="C2250" s="687">
        <v>98191</v>
      </c>
      <c r="D2250" s="688" t="s">
        <v>68</v>
      </c>
      <c r="E2250" s="689">
        <v>0.01</v>
      </c>
      <c r="F2250" s="687">
        <f t="shared" si="35"/>
        <v>981.91</v>
      </c>
    </row>
    <row r="2251" spans="1:6">
      <c r="A2251" s="685"/>
      <c r="B2251" s="686">
        <v>1477</v>
      </c>
      <c r="C2251" s="687">
        <v>2589600</v>
      </c>
      <c r="D2251" s="688" t="s">
        <v>68</v>
      </c>
      <c r="E2251" s="689">
        <v>0.01</v>
      </c>
      <c r="F2251" s="687">
        <f t="shared" si="35"/>
        <v>25896</v>
      </c>
    </row>
    <row r="2252" spans="1:6">
      <c r="A2252" s="685"/>
      <c r="B2252" s="686">
        <v>1476</v>
      </c>
      <c r="C2252" s="687">
        <v>520800</v>
      </c>
      <c r="D2252" s="688" t="s">
        <v>68</v>
      </c>
      <c r="E2252" s="689">
        <v>0.01</v>
      </c>
      <c r="F2252" s="687">
        <f t="shared" si="35"/>
        <v>5208</v>
      </c>
    </row>
    <row r="2253" spans="1:6">
      <c r="A2253" s="685"/>
      <c r="B2253" s="686">
        <v>1477</v>
      </c>
      <c r="C2253" s="687">
        <v>106800</v>
      </c>
      <c r="D2253" s="688" t="s">
        <v>68</v>
      </c>
      <c r="E2253" s="689">
        <v>0.01</v>
      </c>
      <c r="F2253" s="687">
        <f t="shared" si="35"/>
        <v>1068</v>
      </c>
    </row>
    <row r="2254" spans="1:6">
      <c r="A2254" s="685"/>
      <c r="B2254" s="686">
        <v>1891</v>
      </c>
      <c r="C2254" s="687">
        <v>795763</v>
      </c>
      <c r="D2254" s="688" t="s">
        <v>68</v>
      </c>
      <c r="E2254" s="689">
        <v>0.01</v>
      </c>
      <c r="F2254" s="687">
        <f t="shared" si="35"/>
        <v>7957.63</v>
      </c>
    </row>
    <row r="2255" spans="1:6">
      <c r="A2255" s="685"/>
      <c r="B2255" s="686">
        <v>2801</v>
      </c>
      <c r="C2255" s="687">
        <v>177718</v>
      </c>
      <c r="D2255" s="688" t="s">
        <v>68</v>
      </c>
      <c r="E2255" s="689">
        <v>0.01</v>
      </c>
      <c r="F2255" s="687">
        <f t="shared" si="35"/>
        <v>1777.18</v>
      </c>
    </row>
    <row r="2256" spans="1:6">
      <c r="A2256" s="685"/>
      <c r="B2256" s="686">
        <v>2783</v>
      </c>
      <c r="C2256" s="687">
        <v>74445</v>
      </c>
      <c r="D2256" s="688" t="s">
        <v>68</v>
      </c>
      <c r="E2256" s="689">
        <v>0.01</v>
      </c>
      <c r="F2256" s="687">
        <f t="shared" si="35"/>
        <v>744.45</v>
      </c>
    </row>
    <row r="2257" spans="1:6">
      <c r="A2257" s="685"/>
      <c r="B2257" s="686">
        <v>2783</v>
      </c>
      <c r="C2257" s="687">
        <v>3459</v>
      </c>
      <c r="D2257" s="688" t="s">
        <v>68</v>
      </c>
      <c r="E2257" s="689">
        <v>0.01</v>
      </c>
      <c r="F2257" s="687">
        <f t="shared" si="35"/>
        <v>34.590000000000003</v>
      </c>
    </row>
    <row r="2258" spans="1:6">
      <c r="A2258" s="685"/>
      <c r="B2258" s="686">
        <v>2779</v>
      </c>
      <c r="C2258" s="687">
        <v>108595</v>
      </c>
      <c r="D2258" s="688" t="s">
        <v>68</v>
      </c>
      <c r="E2258" s="689">
        <v>0.01</v>
      </c>
      <c r="F2258" s="687">
        <f t="shared" si="35"/>
        <v>1085.95</v>
      </c>
    </row>
    <row r="2259" spans="1:6">
      <c r="A2259" s="685"/>
      <c r="B2259" s="686">
        <v>2778</v>
      </c>
      <c r="C2259" s="687">
        <v>48000</v>
      </c>
      <c r="D2259" s="688" t="s">
        <v>68</v>
      </c>
      <c r="E2259" s="689">
        <v>0.01</v>
      </c>
      <c r="F2259" s="687">
        <f t="shared" si="35"/>
        <v>480</v>
      </c>
    </row>
    <row r="2260" spans="1:6">
      <c r="A2260" s="685"/>
      <c r="B2260" s="686">
        <v>2777</v>
      </c>
      <c r="C2260" s="687">
        <v>503751</v>
      </c>
      <c r="D2260" s="688" t="s">
        <v>68</v>
      </c>
      <c r="E2260" s="689">
        <v>0.01</v>
      </c>
      <c r="F2260" s="687">
        <f t="shared" si="35"/>
        <v>5037.51</v>
      </c>
    </row>
    <row r="2261" spans="1:6">
      <c r="A2261" s="685"/>
      <c r="B2261" s="686">
        <v>2773</v>
      </c>
      <c r="C2261" s="687">
        <v>93953</v>
      </c>
      <c r="D2261" s="688" t="s">
        <v>68</v>
      </c>
      <c r="E2261" s="689">
        <v>0.01</v>
      </c>
      <c r="F2261" s="687">
        <f t="shared" si="35"/>
        <v>939.53</v>
      </c>
    </row>
    <row r="2262" spans="1:6">
      <c r="A2262" s="685"/>
      <c r="B2262" s="686">
        <v>2756</v>
      </c>
      <c r="C2262" s="687">
        <v>9808</v>
      </c>
      <c r="D2262" s="688" t="s">
        <v>68</v>
      </c>
      <c r="E2262" s="689">
        <v>0.01</v>
      </c>
      <c r="F2262" s="687">
        <f t="shared" si="35"/>
        <v>98.08</v>
      </c>
    </row>
    <row r="2263" spans="1:6">
      <c r="A2263" s="685"/>
      <c r="B2263" s="686">
        <v>2756</v>
      </c>
      <c r="C2263" s="687">
        <v>153061</v>
      </c>
      <c r="D2263" s="688" t="s">
        <v>68</v>
      </c>
      <c r="E2263" s="689">
        <v>0.01</v>
      </c>
      <c r="F2263" s="687">
        <f t="shared" si="35"/>
        <v>1530.6100000000001</v>
      </c>
    </row>
    <row r="2264" spans="1:6">
      <c r="A2264" s="685"/>
      <c r="B2264" s="686">
        <v>2753</v>
      </c>
      <c r="C2264" s="687">
        <v>1086540</v>
      </c>
      <c r="D2264" s="688" t="s">
        <v>68</v>
      </c>
      <c r="E2264" s="689">
        <v>0.01</v>
      </c>
      <c r="F2264" s="687">
        <f t="shared" si="35"/>
        <v>10865.4</v>
      </c>
    </row>
    <row r="2265" spans="1:6">
      <c r="A2265" s="685"/>
      <c r="B2265" s="686">
        <v>2749</v>
      </c>
      <c r="C2265" s="687">
        <v>56552</v>
      </c>
      <c r="D2265" s="688" t="s">
        <v>68</v>
      </c>
      <c r="E2265" s="689">
        <v>0.01</v>
      </c>
      <c r="F2265" s="687">
        <f t="shared" si="35"/>
        <v>565.52</v>
      </c>
    </row>
    <row r="2266" spans="1:6">
      <c r="A2266" s="685"/>
      <c r="B2266" s="686">
        <v>2744</v>
      </c>
      <c r="C2266" s="687">
        <v>94237</v>
      </c>
      <c r="D2266" s="688" t="s">
        <v>68</v>
      </c>
      <c r="E2266" s="689">
        <v>0.01</v>
      </c>
      <c r="F2266" s="687">
        <f t="shared" si="35"/>
        <v>942.37</v>
      </c>
    </row>
    <row r="2267" spans="1:6">
      <c r="A2267" s="685"/>
      <c r="B2267" s="686">
        <v>2744</v>
      </c>
      <c r="C2267" s="687">
        <v>13582</v>
      </c>
      <c r="D2267" s="688" t="s">
        <v>68</v>
      </c>
      <c r="E2267" s="689">
        <v>0.01</v>
      </c>
      <c r="F2267" s="687">
        <f t="shared" si="35"/>
        <v>135.82</v>
      </c>
    </row>
    <row r="2268" spans="1:6">
      <c r="A2268" s="685"/>
      <c r="B2268" s="686">
        <v>2744</v>
      </c>
      <c r="C2268" s="687">
        <v>61701</v>
      </c>
      <c r="D2268" s="688" t="s">
        <v>68</v>
      </c>
      <c r="E2268" s="689">
        <v>0.01</v>
      </c>
      <c r="F2268" s="687">
        <f t="shared" si="35"/>
        <v>617.01</v>
      </c>
    </row>
    <row r="2269" spans="1:6">
      <c r="A2269" s="685"/>
      <c r="B2269" s="686">
        <v>2778</v>
      </c>
      <c r="C2269" s="687">
        <v>1364223</v>
      </c>
      <c r="D2269" s="688" t="s">
        <v>68</v>
      </c>
      <c r="E2269" s="689">
        <v>0.01</v>
      </c>
      <c r="F2269" s="687">
        <f t="shared" si="35"/>
        <v>13642.23</v>
      </c>
    </row>
    <row r="2270" spans="1:6">
      <c r="A2270" s="685"/>
      <c r="B2270" s="686">
        <v>2752</v>
      </c>
      <c r="C2270" s="687">
        <v>156000</v>
      </c>
      <c r="D2270" s="688" t="s">
        <v>68</v>
      </c>
      <c r="E2270" s="689">
        <v>0.01</v>
      </c>
      <c r="F2270" s="687">
        <f t="shared" si="35"/>
        <v>1560</v>
      </c>
    </row>
    <row r="2271" spans="1:6">
      <c r="A2271" s="685"/>
      <c r="B2271" s="686">
        <v>2115</v>
      </c>
      <c r="C2271" s="687">
        <v>280519</v>
      </c>
      <c r="D2271" s="688" t="s">
        <v>68</v>
      </c>
      <c r="E2271" s="689">
        <v>0.01</v>
      </c>
      <c r="F2271" s="687">
        <f t="shared" si="35"/>
        <v>2805.19</v>
      </c>
    </row>
    <row r="2272" spans="1:6">
      <c r="A2272" s="685"/>
      <c r="B2272" s="686">
        <v>1589</v>
      </c>
      <c r="C2272" s="687">
        <v>330000</v>
      </c>
      <c r="D2272" s="688" t="s">
        <v>68</v>
      </c>
      <c r="E2272" s="689">
        <v>0.01</v>
      </c>
      <c r="F2272" s="687">
        <f t="shared" si="35"/>
        <v>3300</v>
      </c>
    </row>
    <row r="2273" spans="1:6">
      <c r="A2273" s="685"/>
      <c r="B2273" s="686">
        <v>1660</v>
      </c>
      <c r="C2273" s="687">
        <v>1093350</v>
      </c>
      <c r="D2273" s="688" t="s">
        <v>68</v>
      </c>
      <c r="E2273" s="689">
        <v>0.01</v>
      </c>
      <c r="F2273" s="687">
        <f t="shared" si="35"/>
        <v>10933.5</v>
      </c>
    </row>
    <row r="2274" spans="1:6">
      <c r="A2274" s="685"/>
      <c r="B2274" s="686">
        <v>1660</v>
      </c>
      <c r="C2274" s="687">
        <v>1212850</v>
      </c>
      <c r="D2274" s="688" t="s">
        <v>68</v>
      </c>
      <c r="E2274" s="689">
        <v>0.01</v>
      </c>
      <c r="F2274" s="687">
        <f t="shared" si="35"/>
        <v>12128.5</v>
      </c>
    </row>
    <row r="2275" spans="1:6">
      <c r="A2275" s="685"/>
      <c r="B2275" s="686">
        <v>1654</v>
      </c>
      <c r="C2275" s="687">
        <v>326800</v>
      </c>
      <c r="D2275" s="688" t="s">
        <v>68</v>
      </c>
      <c r="E2275" s="689">
        <v>0.01</v>
      </c>
      <c r="F2275" s="687">
        <f t="shared" si="35"/>
        <v>3268</v>
      </c>
    </row>
    <row r="2276" spans="1:6">
      <c r="A2276" s="685"/>
      <c r="B2276" s="686">
        <v>1480</v>
      </c>
      <c r="C2276" s="687">
        <v>455400</v>
      </c>
      <c r="D2276" s="688" t="s">
        <v>68</v>
      </c>
      <c r="E2276" s="689">
        <v>0.01</v>
      </c>
      <c r="F2276" s="687">
        <f t="shared" si="35"/>
        <v>4554</v>
      </c>
    </row>
    <row r="2277" spans="1:6">
      <c r="A2277" s="685"/>
      <c r="B2277" s="686">
        <v>1589</v>
      </c>
      <c r="C2277" s="687">
        <v>415000</v>
      </c>
      <c r="D2277" s="688" t="s">
        <v>68</v>
      </c>
      <c r="E2277" s="689">
        <v>0.01</v>
      </c>
      <c r="F2277" s="687">
        <f t="shared" si="35"/>
        <v>4150</v>
      </c>
    </row>
    <row r="2278" spans="1:6">
      <c r="A2278" s="685"/>
      <c r="B2278" s="686">
        <v>1577</v>
      </c>
      <c r="C2278" s="687">
        <v>32850</v>
      </c>
      <c r="D2278" s="688" t="s">
        <v>68</v>
      </c>
      <c r="E2278" s="689">
        <v>0.01</v>
      </c>
      <c r="F2278" s="687">
        <f t="shared" si="35"/>
        <v>328.5</v>
      </c>
    </row>
    <row r="2279" spans="1:6">
      <c r="A2279" s="685"/>
      <c r="B2279" s="686">
        <v>1649</v>
      </c>
      <c r="C2279" s="687">
        <v>55076</v>
      </c>
      <c r="D2279" s="688" t="s">
        <v>68</v>
      </c>
      <c r="E2279" s="689">
        <v>0.01</v>
      </c>
      <c r="F2279" s="687">
        <f t="shared" si="35"/>
        <v>550.76</v>
      </c>
    </row>
    <row r="2280" spans="1:6">
      <c r="A2280" s="685"/>
      <c r="B2280" s="686">
        <v>1568</v>
      </c>
      <c r="C2280" s="687">
        <v>127250</v>
      </c>
      <c r="D2280" s="688" t="s">
        <v>68</v>
      </c>
      <c r="E2280" s="689">
        <v>0.01</v>
      </c>
      <c r="F2280" s="687">
        <f t="shared" si="35"/>
        <v>1272.5</v>
      </c>
    </row>
    <row r="2281" spans="1:6">
      <c r="A2281" s="685"/>
      <c r="B2281" s="686">
        <v>1567</v>
      </c>
      <c r="C2281" s="687">
        <v>80700</v>
      </c>
      <c r="D2281" s="688" t="s">
        <v>68</v>
      </c>
      <c r="E2281" s="689">
        <v>0.01</v>
      </c>
      <c r="F2281" s="687">
        <f t="shared" si="35"/>
        <v>807</v>
      </c>
    </row>
    <row r="2282" spans="1:6">
      <c r="A2282" s="685"/>
      <c r="B2282" s="686">
        <v>1565</v>
      </c>
      <c r="C2282" s="687">
        <v>254500</v>
      </c>
      <c r="D2282" s="688" t="s">
        <v>68</v>
      </c>
      <c r="E2282" s="689">
        <v>0.01</v>
      </c>
      <c r="F2282" s="687">
        <f t="shared" si="35"/>
        <v>2545</v>
      </c>
    </row>
    <row r="2283" spans="1:6">
      <c r="A2283" s="685"/>
      <c r="B2283" s="686">
        <v>1547</v>
      </c>
      <c r="C2283" s="687">
        <v>105800</v>
      </c>
      <c r="D2283" s="688" t="s">
        <v>68</v>
      </c>
      <c r="E2283" s="689">
        <v>0.01</v>
      </c>
      <c r="F2283" s="687">
        <f t="shared" si="35"/>
        <v>1058</v>
      </c>
    </row>
    <row r="2284" spans="1:6">
      <c r="A2284" s="685"/>
      <c r="B2284" s="686">
        <v>1512</v>
      </c>
      <c r="C2284" s="687">
        <v>819000</v>
      </c>
      <c r="D2284" s="688" t="s">
        <v>68</v>
      </c>
      <c r="E2284" s="689">
        <v>0.01</v>
      </c>
      <c r="F2284" s="687">
        <f t="shared" si="35"/>
        <v>8190</v>
      </c>
    </row>
    <row r="2285" spans="1:6">
      <c r="A2285" s="685"/>
      <c r="B2285" s="686">
        <v>1531</v>
      </c>
      <c r="C2285" s="687">
        <v>120750</v>
      </c>
      <c r="D2285" s="688" t="s">
        <v>68</v>
      </c>
      <c r="E2285" s="689">
        <v>0.01</v>
      </c>
      <c r="F2285" s="687">
        <f t="shared" si="35"/>
        <v>1207.5</v>
      </c>
    </row>
    <row r="2286" spans="1:6">
      <c r="A2286" s="685"/>
      <c r="B2286" s="686">
        <v>1497</v>
      </c>
      <c r="C2286" s="687">
        <v>46700</v>
      </c>
      <c r="D2286" s="688" t="s">
        <v>68</v>
      </c>
      <c r="E2286" s="689">
        <v>0.01</v>
      </c>
      <c r="F2286" s="687">
        <f t="shared" si="35"/>
        <v>467</v>
      </c>
    </row>
    <row r="2287" spans="1:6">
      <c r="A2287" s="685"/>
      <c r="B2287" s="686">
        <v>1492</v>
      </c>
      <c r="C2287" s="687">
        <v>120750</v>
      </c>
      <c r="D2287" s="688" t="s">
        <v>68</v>
      </c>
      <c r="E2287" s="689">
        <v>0.01</v>
      </c>
      <c r="F2287" s="687">
        <f t="shared" si="35"/>
        <v>1207.5</v>
      </c>
    </row>
    <row r="2288" spans="1:6">
      <c r="A2288" s="685"/>
      <c r="B2288" s="686">
        <v>1484</v>
      </c>
      <c r="C2288" s="687">
        <v>133900</v>
      </c>
      <c r="D2288" s="688" t="s">
        <v>68</v>
      </c>
      <c r="E2288" s="689">
        <v>0.01</v>
      </c>
      <c r="F2288" s="687">
        <f t="shared" si="35"/>
        <v>1339</v>
      </c>
    </row>
    <row r="2289" spans="1:6">
      <c r="A2289" s="685"/>
      <c r="B2289" s="686">
        <v>1484</v>
      </c>
      <c r="C2289" s="687">
        <v>64540</v>
      </c>
      <c r="D2289" s="688" t="s">
        <v>68</v>
      </c>
      <c r="E2289" s="689">
        <v>0.01</v>
      </c>
      <c r="F2289" s="687">
        <f t="shared" si="35"/>
        <v>645.4</v>
      </c>
    </row>
    <row r="2290" spans="1:6">
      <c r="A2290" s="685"/>
      <c r="B2290" s="686">
        <v>1481</v>
      </c>
      <c r="C2290" s="687">
        <v>62700</v>
      </c>
      <c r="D2290" s="688" t="s">
        <v>68</v>
      </c>
      <c r="E2290" s="689">
        <v>0.01</v>
      </c>
      <c r="F2290" s="687">
        <f t="shared" si="35"/>
        <v>627</v>
      </c>
    </row>
    <row r="2291" spans="1:6">
      <c r="A2291" s="685"/>
      <c r="B2291" s="686">
        <v>1593</v>
      </c>
      <c r="C2291" s="687">
        <v>51000</v>
      </c>
      <c r="D2291" s="688" t="s">
        <v>68</v>
      </c>
      <c r="E2291" s="689">
        <v>0.01</v>
      </c>
      <c r="F2291" s="687">
        <f t="shared" si="35"/>
        <v>510</v>
      </c>
    </row>
    <row r="2292" spans="1:6">
      <c r="A2292" s="685"/>
      <c r="B2292" s="686">
        <v>1516</v>
      </c>
      <c r="C2292" s="687">
        <v>3116000</v>
      </c>
      <c r="D2292" s="688" t="s">
        <v>68</v>
      </c>
      <c r="E2292" s="689">
        <v>0.01</v>
      </c>
      <c r="F2292" s="687">
        <f t="shared" si="35"/>
        <v>31160</v>
      </c>
    </row>
    <row r="2293" spans="1:6">
      <c r="A2293" s="685"/>
      <c r="B2293" s="686">
        <v>2616</v>
      </c>
      <c r="C2293" s="687">
        <v>1304964</v>
      </c>
      <c r="D2293" s="688" t="s">
        <v>68</v>
      </c>
      <c r="E2293" s="689">
        <v>0.01</v>
      </c>
      <c r="F2293" s="687">
        <f t="shared" si="35"/>
        <v>13049.64</v>
      </c>
    </row>
    <row r="2294" spans="1:6">
      <c r="A2294" s="685"/>
      <c r="B2294" s="686">
        <v>2611</v>
      </c>
      <c r="C2294" s="687">
        <v>952000</v>
      </c>
      <c r="D2294" s="688" t="s">
        <v>68</v>
      </c>
      <c r="E2294" s="689">
        <v>0.01</v>
      </c>
      <c r="F2294" s="687">
        <f t="shared" si="35"/>
        <v>9520</v>
      </c>
    </row>
    <row r="2295" spans="1:6">
      <c r="A2295" s="685"/>
      <c r="B2295" s="686">
        <v>2559</v>
      </c>
      <c r="C2295" s="687">
        <v>40860</v>
      </c>
      <c r="D2295" s="688" t="s">
        <v>68</v>
      </c>
      <c r="E2295" s="689">
        <v>0.01</v>
      </c>
      <c r="F2295" s="687">
        <f t="shared" si="35"/>
        <v>408.6</v>
      </c>
    </row>
    <row r="2296" spans="1:6">
      <c r="A2296" s="685"/>
      <c r="B2296" s="686">
        <v>2547</v>
      </c>
      <c r="C2296" s="687">
        <v>637510</v>
      </c>
      <c r="D2296" s="688" t="s">
        <v>68</v>
      </c>
      <c r="E2296" s="689">
        <v>0.01</v>
      </c>
      <c r="F2296" s="687">
        <f t="shared" si="35"/>
        <v>6375.1</v>
      </c>
    </row>
    <row r="2297" spans="1:6">
      <c r="A2297" s="685"/>
      <c r="B2297" s="686">
        <v>1676</v>
      </c>
      <c r="C2297" s="687">
        <v>15525000</v>
      </c>
      <c r="D2297" s="688" t="s">
        <v>68</v>
      </c>
      <c r="E2297" s="689">
        <v>0.01</v>
      </c>
      <c r="F2297" s="687">
        <f t="shared" si="35"/>
        <v>155250</v>
      </c>
    </row>
    <row r="2298" spans="1:6">
      <c r="A2298" s="685"/>
      <c r="B2298" s="686">
        <v>1676</v>
      </c>
      <c r="C2298" s="687">
        <v>8245500</v>
      </c>
      <c r="D2298" s="688" t="s">
        <v>68</v>
      </c>
      <c r="E2298" s="689">
        <v>0.01</v>
      </c>
      <c r="F2298" s="687">
        <f t="shared" si="35"/>
        <v>82455</v>
      </c>
    </row>
    <row r="2299" spans="1:6">
      <c r="A2299" s="685"/>
      <c r="B2299" s="686">
        <v>1647</v>
      </c>
      <c r="C2299" s="687">
        <v>4554000</v>
      </c>
      <c r="D2299" s="688" t="s">
        <v>68</v>
      </c>
      <c r="E2299" s="689">
        <v>0.01</v>
      </c>
      <c r="F2299" s="687">
        <f t="shared" si="35"/>
        <v>45540</v>
      </c>
    </row>
    <row r="2300" spans="1:6">
      <c r="A2300" s="685"/>
      <c r="B2300" s="686">
        <v>1647</v>
      </c>
      <c r="C2300" s="687">
        <v>10626000</v>
      </c>
      <c r="D2300" s="688" t="s">
        <v>68</v>
      </c>
      <c r="E2300" s="689">
        <v>0.01</v>
      </c>
      <c r="F2300" s="687">
        <f t="shared" si="35"/>
        <v>106260</v>
      </c>
    </row>
    <row r="2301" spans="1:6">
      <c r="A2301" s="685"/>
      <c r="B2301" s="686">
        <v>1624</v>
      </c>
      <c r="C2301" s="687">
        <v>7590000</v>
      </c>
      <c r="D2301" s="688" t="s">
        <v>68</v>
      </c>
      <c r="E2301" s="689">
        <v>0.01</v>
      </c>
      <c r="F2301" s="687">
        <f t="shared" si="35"/>
        <v>75900</v>
      </c>
    </row>
    <row r="2302" spans="1:6">
      <c r="A2302" s="685"/>
      <c r="B2302" s="686">
        <v>3674</v>
      </c>
      <c r="C2302" s="687">
        <v>1020749</v>
      </c>
      <c r="D2302" s="688" t="s">
        <v>68</v>
      </c>
      <c r="E2302" s="689">
        <v>0.01</v>
      </c>
      <c r="F2302" s="687">
        <f t="shared" si="35"/>
        <v>10207.49</v>
      </c>
    </row>
    <row r="2303" spans="1:6">
      <c r="A2303" s="685"/>
      <c r="B2303" s="686">
        <v>1418</v>
      </c>
      <c r="C2303" s="687">
        <v>1794180</v>
      </c>
      <c r="D2303" s="688" t="s">
        <v>68</v>
      </c>
      <c r="E2303" s="689">
        <v>0.01</v>
      </c>
      <c r="F2303" s="687">
        <f t="shared" si="35"/>
        <v>17941.8</v>
      </c>
    </row>
    <row r="2304" spans="1:6">
      <c r="A2304" s="685"/>
      <c r="B2304" s="686">
        <v>3563</v>
      </c>
      <c r="C2304" s="687">
        <v>312000</v>
      </c>
      <c r="D2304" s="688" t="s">
        <v>68</v>
      </c>
      <c r="E2304" s="689">
        <v>0.01</v>
      </c>
      <c r="F2304" s="687">
        <f t="shared" si="35"/>
        <v>3120</v>
      </c>
    </row>
    <row r="2305" spans="1:6">
      <c r="A2305" s="685"/>
      <c r="B2305" s="686">
        <v>3478</v>
      </c>
      <c r="C2305" s="687">
        <v>146313</v>
      </c>
      <c r="D2305" s="688" t="s">
        <v>68</v>
      </c>
      <c r="E2305" s="689">
        <v>0.01</v>
      </c>
      <c r="F2305" s="687">
        <f t="shared" si="35"/>
        <v>1463.13</v>
      </c>
    </row>
    <row r="2306" spans="1:6">
      <c r="A2306" s="685"/>
      <c r="B2306" s="686">
        <v>2960</v>
      </c>
      <c r="C2306" s="687">
        <v>844306</v>
      </c>
      <c r="D2306" s="688" t="s">
        <v>68</v>
      </c>
      <c r="E2306" s="689">
        <v>0.01</v>
      </c>
      <c r="F2306" s="687">
        <f t="shared" si="35"/>
        <v>8443.06</v>
      </c>
    </row>
    <row r="2307" spans="1:6">
      <c r="A2307" s="685"/>
      <c r="B2307" s="686">
        <v>2951</v>
      </c>
      <c r="C2307" s="687">
        <v>6692281</v>
      </c>
      <c r="D2307" s="688" t="s">
        <v>68</v>
      </c>
      <c r="E2307" s="689">
        <v>0.01</v>
      </c>
      <c r="F2307" s="687">
        <f t="shared" ref="F2307:F2370" si="36">+C2307*E2307</f>
        <v>66922.81</v>
      </c>
    </row>
    <row r="2308" spans="1:6">
      <c r="A2308" s="685"/>
      <c r="B2308" s="686">
        <v>2951</v>
      </c>
      <c r="C2308" s="687">
        <v>1889710</v>
      </c>
      <c r="D2308" s="688" t="s">
        <v>68</v>
      </c>
      <c r="E2308" s="689">
        <v>0.01</v>
      </c>
      <c r="F2308" s="687">
        <f t="shared" si="36"/>
        <v>18897.100000000002</v>
      </c>
    </row>
    <row r="2309" spans="1:6">
      <c r="A2309" s="685"/>
      <c r="B2309" s="686">
        <v>2951</v>
      </c>
      <c r="C2309" s="687">
        <v>19280057</v>
      </c>
      <c r="D2309" s="688" t="s">
        <v>68</v>
      </c>
      <c r="E2309" s="689">
        <v>0.01</v>
      </c>
      <c r="F2309" s="687">
        <f t="shared" si="36"/>
        <v>192800.57</v>
      </c>
    </row>
    <row r="2310" spans="1:6">
      <c r="A2310" s="685"/>
      <c r="B2310" s="686">
        <v>2931</v>
      </c>
      <c r="C2310" s="687">
        <v>1798000</v>
      </c>
      <c r="D2310" s="688" t="s">
        <v>68</v>
      </c>
      <c r="E2310" s="689">
        <v>0.01</v>
      </c>
      <c r="F2310" s="687">
        <f t="shared" si="36"/>
        <v>17980</v>
      </c>
    </row>
    <row r="2311" spans="1:6">
      <c r="A2311" s="685"/>
      <c r="B2311" s="686">
        <v>2920</v>
      </c>
      <c r="C2311" s="687">
        <v>394514</v>
      </c>
      <c r="D2311" s="688" t="s">
        <v>68</v>
      </c>
      <c r="E2311" s="689">
        <v>0.01</v>
      </c>
      <c r="F2311" s="687">
        <f t="shared" si="36"/>
        <v>3945.14</v>
      </c>
    </row>
    <row r="2312" spans="1:6">
      <c r="A2312" s="685"/>
      <c r="B2312" s="686">
        <v>2894</v>
      </c>
      <c r="C2312" s="687">
        <v>187915</v>
      </c>
      <c r="D2312" s="688" t="s">
        <v>68</v>
      </c>
      <c r="E2312" s="689">
        <v>0.01</v>
      </c>
      <c r="F2312" s="687">
        <f t="shared" si="36"/>
        <v>1879.15</v>
      </c>
    </row>
    <row r="2313" spans="1:6">
      <c r="A2313" s="685"/>
      <c r="B2313" s="686">
        <v>2277</v>
      </c>
      <c r="C2313" s="687">
        <v>118000</v>
      </c>
      <c r="D2313" s="688" t="s">
        <v>68</v>
      </c>
      <c r="E2313" s="689">
        <v>0.01</v>
      </c>
      <c r="F2313" s="687">
        <f t="shared" si="36"/>
        <v>1180</v>
      </c>
    </row>
    <row r="2314" spans="1:6">
      <c r="A2314" s="685"/>
      <c r="B2314" s="686">
        <v>2277</v>
      </c>
      <c r="C2314" s="687">
        <v>128480</v>
      </c>
      <c r="D2314" s="688" t="s">
        <v>68</v>
      </c>
      <c r="E2314" s="689">
        <v>0.01</v>
      </c>
      <c r="F2314" s="687">
        <f t="shared" si="36"/>
        <v>1284.8</v>
      </c>
    </row>
    <row r="2315" spans="1:6">
      <c r="A2315" s="685"/>
      <c r="B2315" s="686">
        <v>2269</v>
      </c>
      <c r="C2315" s="687">
        <v>581746</v>
      </c>
      <c r="D2315" s="688" t="s">
        <v>68</v>
      </c>
      <c r="E2315" s="689">
        <v>0.01</v>
      </c>
      <c r="F2315" s="687">
        <f t="shared" si="36"/>
        <v>5817.46</v>
      </c>
    </row>
    <row r="2316" spans="1:6">
      <c r="A2316" s="685"/>
      <c r="B2316" s="686">
        <v>2205</v>
      </c>
      <c r="C2316" s="687">
        <v>217100</v>
      </c>
      <c r="D2316" s="688" t="s">
        <v>68</v>
      </c>
      <c r="E2316" s="689">
        <v>0.01</v>
      </c>
      <c r="F2316" s="687">
        <f t="shared" si="36"/>
        <v>2171</v>
      </c>
    </row>
    <row r="2317" spans="1:6">
      <c r="A2317" s="685"/>
      <c r="B2317" s="686">
        <v>2134</v>
      </c>
      <c r="C2317" s="687">
        <v>685426</v>
      </c>
      <c r="D2317" s="688" t="s">
        <v>68</v>
      </c>
      <c r="E2317" s="689">
        <v>0.01</v>
      </c>
      <c r="F2317" s="687">
        <f t="shared" si="36"/>
        <v>6854.26</v>
      </c>
    </row>
    <row r="2318" spans="1:6">
      <c r="A2318" s="685"/>
      <c r="B2318" s="686">
        <v>3462</v>
      </c>
      <c r="C2318" s="687">
        <v>563824</v>
      </c>
      <c r="D2318" s="688" t="s">
        <v>68</v>
      </c>
      <c r="E2318" s="689">
        <v>0.01</v>
      </c>
      <c r="F2318" s="687">
        <f t="shared" si="36"/>
        <v>5638.24</v>
      </c>
    </row>
    <row r="2319" spans="1:6">
      <c r="A2319" s="685"/>
      <c r="B2319" s="686">
        <v>3460</v>
      </c>
      <c r="C2319" s="687">
        <v>399919</v>
      </c>
      <c r="D2319" s="688" t="s">
        <v>68</v>
      </c>
      <c r="E2319" s="689">
        <v>0.01</v>
      </c>
      <c r="F2319" s="687">
        <f t="shared" si="36"/>
        <v>3999.19</v>
      </c>
    </row>
    <row r="2320" spans="1:6">
      <c r="A2320" s="685"/>
      <c r="B2320" s="686">
        <v>1691</v>
      </c>
      <c r="C2320" s="687">
        <v>18740525</v>
      </c>
      <c r="D2320" s="688" t="s">
        <v>68</v>
      </c>
      <c r="E2320" s="689">
        <v>0.01</v>
      </c>
      <c r="F2320" s="687">
        <f t="shared" si="36"/>
        <v>187405.25</v>
      </c>
    </row>
    <row r="2321" spans="1:6">
      <c r="A2321" s="685"/>
      <c r="B2321" s="686">
        <v>1655</v>
      </c>
      <c r="C2321" s="687">
        <v>785540</v>
      </c>
      <c r="D2321" s="688" t="s">
        <v>68</v>
      </c>
      <c r="E2321" s="689">
        <v>0.01</v>
      </c>
      <c r="F2321" s="687">
        <f t="shared" si="36"/>
        <v>7855.4000000000005</v>
      </c>
    </row>
    <row r="2322" spans="1:6">
      <c r="A2322" s="685"/>
      <c r="B2322" s="686">
        <v>1654</v>
      </c>
      <c r="C2322" s="687">
        <v>12440</v>
      </c>
      <c r="D2322" s="688" t="s">
        <v>68</v>
      </c>
      <c r="E2322" s="689">
        <v>0.01</v>
      </c>
      <c r="F2322" s="687">
        <f t="shared" si="36"/>
        <v>124.4</v>
      </c>
    </row>
    <row r="2323" spans="1:6">
      <c r="A2323" s="685"/>
      <c r="B2323" s="686">
        <v>3352</v>
      </c>
      <c r="C2323" s="687">
        <v>103614</v>
      </c>
      <c r="D2323" s="688" t="s">
        <v>68</v>
      </c>
      <c r="E2323" s="689">
        <v>0.01</v>
      </c>
      <c r="F2323" s="687">
        <f t="shared" si="36"/>
        <v>1036.1400000000001</v>
      </c>
    </row>
    <row r="2324" spans="1:6">
      <c r="A2324" s="685"/>
      <c r="B2324" s="686">
        <v>3345</v>
      </c>
      <c r="C2324" s="687">
        <v>85327</v>
      </c>
      <c r="D2324" s="688" t="s">
        <v>68</v>
      </c>
      <c r="E2324" s="689">
        <v>0.01</v>
      </c>
      <c r="F2324" s="687">
        <f t="shared" si="36"/>
        <v>853.27</v>
      </c>
    </row>
    <row r="2325" spans="1:6">
      <c r="A2325" s="685"/>
      <c r="B2325" s="686">
        <v>3340</v>
      </c>
      <c r="C2325" s="687">
        <v>19906</v>
      </c>
      <c r="D2325" s="688" t="s">
        <v>68</v>
      </c>
      <c r="E2325" s="689">
        <v>0.01</v>
      </c>
      <c r="F2325" s="687">
        <f t="shared" si="36"/>
        <v>199.06</v>
      </c>
    </row>
    <row r="2326" spans="1:6">
      <c r="A2326" s="685"/>
      <c r="B2326" s="686">
        <v>3214</v>
      </c>
      <c r="C2326" s="687">
        <v>658689</v>
      </c>
      <c r="D2326" s="688" t="s">
        <v>68</v>
      </c>
      <c r="E2326" s="689">
        <v>0.01</v>
      </c>
      <c r="F2326" s="687">
        <f t="shared" si="36"/>
        <v>6586.89</v>
      </c>
    </row>
    <row r="2327" spans="1:6">
      <c r="A2327" s="685"/>
      <c r="B2327" s="686">
        <v>3214</v>
      </c>
      <c r="C2327" s="687">
        <v>185614</v>
      </c>
      <c r="D2327" s="688" t="s">
        <v>68</v>
      </c>
      <c r="E2327" s="689">
        <v>0.01</v>
      </c>
      <c r="F2327" s="687">
        <f t="shared" si="36"/>
        <v>1856.14</v>
      </c>
    </row>
    <row r="2328" spans="1:6">
      <c r="A2328" s="685"/>
      <c r="B2328" s="686">
        <v>3209</v>
      </c>
      <c r="C2328" s="687">
        <v>10316</v>
      </c>
      <c r="D2328" s="688" t="s">
        <v>68</v>
      </c>
      <c r="E2328" s="689">
        <v>0.01</v>
      </c>
      <c r="F2328" s="687">
        <f t="shared" si="36"/>
        <v>103.16</v>
      </c>
    </row>
    <row r="2329" spans="1:6">
      <c r="A2329" s="685"/>
      <c r="B2329" s="686">
        <v>3208</v>
      </c>
      <c r="C2329" s="687">
        <v>45864</v>
      </c>
      <c r="D2329" s="688" t="s">
        <v>68</v>
      </c>
      <c r="E2329" s="689">
        <v>0.01</v>
      </c>
      <c r="F2329" s="687">
        <f t="shared" si="36"/>
        <v>458.64</v>
      </c>
    </row>
    <row r="2330" spans="1:6">
      <c r="A2330" s="685"/>
      <c r="B2330" s="686">
        <v>2060</v>
      </c>
      <c r="C2330" s="687">
        <v>1680000</v>
      </c>
      <c r="D2330" s="688" t="s">
        <v>68</v>
      </c>
      <c r="E2330" s="689">
        <v>0.01</v>
      </c>
      <c r="F2330" s="687">
        <f t="shared" si="36"/>
        <v>16800</v>
      </c>
    </row>
    <row r="2331" spans="1:6">
      <c r="A2331" s="685"/>
      <c r="B2331" s="686">
        <v>2049</v>
      </c>
      <c r="C2331" s="687">
        <v>33235</v>
      </c>
      <c r="D2331" s="688" t="s">
        <v>68</v>
      </c>
      <c r="E2331" s="689">
        <v>0.01</v>
      </c>
      <c r="F2331" s="687">
        <f t="shared" si="36"/>
        <v>332.35</v>
      </c>
    </row>
    <row r="2332" spans="1:6">
      <c r="A2332" s="685"/>
      <c r="B2332" s="686">
        <v>2049</v>
      </c>
      <c r="C2332" s="687">
        <v>141779</v>
      </c>
      <c r="D2332" s="688" t="s">
        <v>68</v>
      </c>
      <c r="E2332" s="689">
        <v>0.01</v>
      </c>
      <c r="F2332" s="687">
        <f t="shared" si="36"/>
        <v>1417.79</v>
      </c>
    </row>
    <row r="2333" spans="1:6">
      <c r="A2333" s="685"/>
      <c r="B2333" s="686">
        <v>2040</v>
      </c>
      <c r="C2333" s="687">
        <v>1361905</v>
      </c>
      <c r="D2333" s="688" t="s">
        <v>68</v>
      </c>
      <c r="E2333" s="689">
        <v>0.01</v>
      </c>
      <c r="F2333" s="687">
        <f t="shared" si="36"/>
        <v>13619.050000000001</v>
      </c>
    </row>
    <row r="2334" spans="1:6">
      <c r="A2334" s="685"/>
      <c r="B2334" s="686">
        <v>1887</v>
      </c>
      <c r="C2334" s="687">
        <v>5704000</v>
      </c>
      <c r="D2334" s="688" t="s">
        <v>68</v>
      </c>
      <c r="E2334" s="689">
        <v>0.01</v>
      </c>
      <c r="F2334" s="687">
        <f t="shared" si="36"/>
        <v>57040</v>
      </c>
    </row>
    <row r="2335" spans="1:6">
      <c r="A2335" s="685"/>
      <c r="B2335" s="686">
        <v>2036</v>
      </c>
      <c r="C2335" s="687">
        <v>1500000</v>
      </c>
      <c r="D2335" s="688" t="s">
        <v>68</v>
      </c>
      <c r="E2335" s="689">
        <v>0.01</v>
      </c>
      <c r="F2335" s="687">
        <f t="shared" si="36"/>
        <v>15000</v>
      </c>
    </row>
    <row r="2336" spans="1:6">
      <c r="A2336" s="685"/>
      <c r="B2336" s="686">
        <v>2035</v>
      </c>
      <c r="C2336" s="687">
        <v>206950</v>
      </c>
      <c r="D2336" s="688" t="s">
        <v>68</v>
      </c>
      <c r="E2336" s="689">
        <v>0.01</v>
      </c>
      <c r="F2336" s="687">
        <f t="shared" si="36"/>
        <v>2069.5</v>
      </c>
    </row>
    <row r="2337" spans="1:6">
      <c r="A2337" s="685"/>
      <c r="B2337" s="686">
        <v>2034</v>
      </c>
      <c r="C2337" s="687">
        <v>82529</v>
      </c>
      <c r="D2337" s="688" t="s">
        <v>68</v>
      </c>
      <c r="E2337" s="689">
        <v>0.01</v>
      </c>
      <c r="F2337" s="687">
        <f t="shared" si="36"/>
        <v>825.29</v>
      </c>
    </row>
    <row r="2338" spans="1:6">
      <c r="A2338" s="685"/>
      <c r="B2338" s="686">
        <v>2024</v>
      </c>
      <c r="C2338" s="687">
        <v>258866</v>
      </c>
      <c r="D2338" s="688" t="s">
        <v>68</v>
      </c>
      <c r="E2338" s="689">
        <v>0.01</v>
      </c>
      <c r="F2338" s="687">
        <f t="shared" si="36"/>
        <v>2588.66</v>
      </c>
    </row>
    <row r="2339" spans="1:6">
      <c r="A2339" s="685"/>
      <c r="B2339" s="686">
        <v>2018</v>
      </c>
      <c r="C2339" s="687">
        <v>558</v>
      </c>
      <c r="D2339" s="688" t="s">
        <v>68</v>
      </c>
      <c r="E2339" s="689">
        <v>0.01</v>
      </c>
      <c r="F2339" s="687">
        <f t="shared" si="36"/>
        <v>5.58</v>
      </c>
    </row>
    <row r="2340" spans="1:6">
      <c r="A2340" s="685"/>
      <c r="B2340" s="686">
        <v>2018</v>
      </c>
      <c r="C2340" s="687">
        <v>124547</v>
      </c>
      <c r="D2340" s="688" t="s">
        <v>68</v>
      </c>
      <c r="E2340" s="689">
        <v>0.01</v>
      </c>
      <c r="F2340" s="687">
        <f t="shared" si="36"/>
        <v>1245.47</v>
      </c>
    </row>
    <row r="2341" spans="1:6">
      <c r="A2341" s="685"/>
      <c r="B2341" s="686">
        <v>2018</v>
      </c>
      <c r="C2341" s="687">
        <v>793745</v>
      </c>
      <c r="D2341" s="688" t="s">
        <v>68</v>
      </c>
      <c r="E2341" s="689">
        <v>0.01</v>
      </c>
      <c r="F2341" s="687">
        <f t="shared" si="36"/>
        <v>7937.45</v>
      </c>
    </row>
    <row r="2342" spans="1:6">
      <c r="A2342" s="685"/>
      <c r="B2342" s="686">
        <v>2017</v>
      </c>
      <c r="C2342" s="687">
        <v>1133858</v>
      </c>
      <c r="D2342" s="688" t="s">
        <v>68</v>
      </c>
      <c r="E2342" s="689">
        <v>0.01</v>
      </c>
      <c r="F2342" s="687">
        <f t="shared" si="36"/>
        <v>11338.58</v>
      </c>
    </row>
    <row r="2343" spans="1:6">
      <c r="A2343" s="685"/>
      <c r="B2343" s="686">
        <v>2017</v>
      </c>
      <c r="C2343" s="687">
        <v>12234</v>
      </c>
      <c r="D2343" s="688" t="s">
        <v>68</v>
      </c>
      <c r="E2343" s="689">
        <v>0.01</v>
      </c>
      <c r="F2343" s="687">
        <f t="shared" si="36"/>
        <v>122.34</v>
      </c>
    </row>
    <row r="2344" spans="1:6">
      <c r="A2344" s="685"/>
      <c r="B2344" s="686">
        <v>2015</v>
      </c>
      <c r="C2344" s="687">
        <v>281350</v>
      </c>
      <c r="D2344" s="688" t="s">
        <v>68</v>
      </c>
      <c r="E2344" s="689">
        <v>0.01</v>
      </c>
      <c r="F2344" s="687">
        <f t="shared" si="36"/>
        <v>2813.5</v>
      </c>
    </row>
    <row r="2345" spans="1:6">
      <c r="A2345" s="685"/>
      <c r="B2345" s="686">
        <v>2015</v>
      </c>
      <c r="C2345" s="687">
        <v>387527</v>
      </c>
      <c r="D2345" s="688" t="s">
        <v>68</v>
      </c>
      <c r="E2345" s="689">
        <v>0.01</v>
      </c>
      <c r="F2345" s="687">
        <f t="shared" si="36"/>
        <v>3875.27</v>
      </c>
    </row>
    <row r="2346" spans="1:6">
      <c r="A2346" s="685"/>
      <c r="B2346" s="686">
        <v>2005</v>
      </c>
      <c r="C2346" s="687">
        <v>6440000</v>
      </c>
      <c r="D2346" s="688" t="s">
        <v>68</v>
      </c>
      <c r="E2346" s="689">
        <v>0.01</v>
      </c>
      <c r="F2346" s="687">
        <f t="shared" si="36"/>
        <v>64400</v>
      </c>
    </row>
    <row r="2347" spans="1:6">
      <c r="A2347" s="685"/>
      <c r="B2347" s="686">
        <v>2005</v>
      </c>
      <c r="C2347" s="687">
        <v>5460000</v>
      </c>
      <c r="D2347" s="688" t="s">
        <v>68</v>
      </c>
      <c r="E2347" s="689">
        <v>0.01</v>
      </c>
      <c r="F2347" s="687">
        <f t="shared" si="36"/>
        <v>54600</v>
      </c>
    </row>
    <row r="2348" spans="1:6">
      <c r="A2348" s="685"/>
      <c r="B2348" s="686">
        <v>1997</v>
      </c>
      <c r="C2348" s="687">
        <v>880252</v>
      </c>
      <c r="D2348" s="688" t="s">
        <v>68</v>
      </c>
      <c r="E2348" s="689">
        <v>0.01</v>
      </c>
      <c r="F2348" s="687">
        <f t="shared" si="36"/>
        <v>8802.52</v>
      </c>
    </row>
    <row r="2349" spans="1:6">
      <c r="A2349" s="685"/>
      <c r="B2349" s="686">
        <v>1994</v>
      </c>
      <c r="C2349" s="687">
        <v>91000</v>
      </c>
      <c r="D2349" s="688" t="s">
        <v>68</v>
      </c>
      <c r="E2349" s="689">
        <v>0.01</v>
      </c>
      <c r="F2349" s="687">
        <f t="shared" si="36"/>
        <v>910</v>
      </c>
    </row>
    <row r="2350" spans="1:6">
      <c r="A2350" s="685"/>
      <c r="B2350" s="686">
        <v>1989</v>
      </c>
      <c r="C2350" s="687">
        <v>672000</v>
      </c>
      <c r="D2350" s="688" t="s">
        <v>68</v>
      </c>
      <c r="E2350" s="689">
        <v>0.01</v>
      </c>
      <c r="F2350" s="687">
        <f t="shared" si="36"/>
        <v>6720</v>
      </c>
    </row>
    <row r="2351" spans="1:6">
      <c r="A2351" s="685"/>
      <c r="B2351" s="686">
        <v>1986</v>
      </c>
      <c r="C2351" s="687">
        <v>82529</v>
      </c>
      <c r="D2351" s="688" t="s">
        <v>68</v>
      </c>
      <c r="E2351" s="689">
        <v>0.01</v>
      </c>
      <c r="F2351" s="687">
        <f t="shared" si="36"/>
        <v>825.29</v>
      </c>
    </row>
    <row r="2352" spans="1:6">
      <c r="A2352" s="685"/>
      <c r="B2352" s="686">
        <v>1972</v>
      </c>
      <c r="C2352" s="687">
        <v>1148000</v>
      </c>
      <c r="D2352" s="688" t="s">
        <v>68</v>
      </c>
      <c r="E2352" s="689">
        <v>0.01</v>
      </c>
      <c r="F2352" s="687">
        <f t="shared" si="36"/>
        <v>11480</v>
      </c>
    </row>
    <row r="2353" spans="1:6">
      <c r="A2353" s="685"/>
      <c r="B2353" s="686">
        <v>1971</v>
      </c>
      <c r="C2353" s="687">
        <v>820000</v>
      </c>
      <c r="D2353" s="688" t="s">
        <v>68</v>
      </c>
      <c r="E2353" s="689">
        <v>0.01</v>
      </c>
      <c r="F2353" s="687">
        <f t="shared" si="36"/>
        <v>8200</v>
      </c>
    </row>
    <row r="2354" spans="1:6">
      <c r="A2354" s="685"/>
      <c r="B2354" s="686">
        <v>1968</v>
      </c>
      <c r="C2354" s="687">
        <v>1540500</v>
      </c>
      <c r="D2354" s="688" t="s">
        <v>68</v>
      </c>
      <c r="E2354" s="689">
        <v>0.01</v>
      </c>
      <c r="F2354" s="687">
        <f t="shared" si="36"/>
        <v>15405</v>
      </c>
    </row>
    <row r="2355" spans="1:6">
      <c r="A2355" s="685"/>
      <c r="B2355" s="686">
        <v>1968</v>
      </c>
      <c r="C2355" s="687">
        <v>78274</v>
      </c>
      <c r="D2355" s="688" t="s">
        <v>68</v>
      </c>
      <c r="E2355" s="689">
        <v>0.01</v>
      </c>
      <c r="F2355" s="687">
        <f t="shared" si="36"/>
        <v>782.74</v>
      </c>
    </row>
    <row r="2356" spans="1:6">
      <c r="A2356" s="685"/>
      <c r="B2356" s="686">
        <v>1962</v>
      </c>
      <c r="C2356" s="687">
        <v>537400</v>
      </c>
      <c r="D2356" s="688" t="s">
        <v>68</v>
      </c>
      <c r="E2356" s="689">
        <v>0.01</v>
      </c>
      <c r="F2356" s="687">
        <f t="shared" si="36"/>
        <v>5374</v>
      </c>
    </row>
    <row r="2357" spans="1:6">
      <c r="A2357" s="685"/>
      <c r="B2357" s="686">
        <v>1960</v>
      </c>
      <c r="C2357" s="687">
        <v>50600</v>
      </c>
      <c r="D2357" s="688" t="s">
        <v>68</v>
      </c>
      <c r="E2357" s="689">
        <v>0.01</v>
      </c>
      <c r="F2357" s="687">
        <f t="shared" si="36"/>
        <v>506</v>
      </c>
    </row>
    <row r="2358" spans="1:6">
      <c r="A2358" s="685"/>
      <c r="B2358" s="686">
        <v>1960</v>
      </c>
      <c r="C2358" s="687">
        <v>11850</v>
      </c>
      <c r="D2358" s="688" t="s">
        <v>68</v>
      </c>
      <c r="E2358" s="689">
        <v>0.01</v>
      </c>
      <c r="F2358" s="687">
        <f t="shared" si="36"/>
        <v>118.5</v>
      </c>
    </row>
    <row r="2359" spans="1:6">
      <c r="A2359" s="685"/>
      <c r="B2359" s="686">
        <v>1959</v>
      </c>
      <c r="C2359" s="687">
        <v>2314600</v>
      </c>
      <c r="D2359" s="688" t="s">
        <v>68</v>
      </c>
      <c r="E2359" s="689">
        <v>0.01</v>
      </c>
      <c r="F2359" s="687">
        <f t="shared" si="36"/>
        <v>23146</v>
      </c>
    </row>
    <row r="2360" spans="1:6">
      <c r="A2360" s="685"/>
      <c r="B2360" s="686">
        <v>1957</v>
      </c>
      <c r="C2360" s="687">
        <v>938380</v>
      </c>
      <c r="D2360" s="688" t="s">
        <v>68</v>
      </c>
      <c r="E2360" s="689">
        <v>0.01</v>
      </c>
      <c r="F2360" s="687">
        <f t="shared" si="36"/>
        <v>9383.8000000000011</v>
      </c>
    </row>
    <row r="2361" spans="1:6">
      <c r="A2361" s="685"/>
      <c r="B2361" s="686">
        <v>1956</v>
      </c>
      <c r="C2361" s="687">
        <v>1480000</v>
      </c>
      <c r="D2361" s="688" t="s">
        <v>68</v>
      </c>
      <c r="E2361" s="689">
        <v>0.01</v>
      </c>
      <c r="F2361" s="687">
        <f t="shared" si="36"/>
        <v>14800</v>
      </c>
    </row>
    <row r="2362" spans="1:6">
      <c r="A2362" s="685"/>
      <c r="B2362" s="686">
        <v>1955</v>
      </c>
      <c r="C2362" s="687">
        <v>49200</v>
      </c>
      <c r="D2362" s="688" t="s">
        <v>68</v>
      </c>
      <c r="E2362" s="689">
        <v>0.01</v>
      </c>
      <c r="F2362" s="687">
        <f t="shared" si="36"/>
        <v>492</v>
      </c>
    </row>
    <row r="2363" spans="1:6">
      <c r="A2363" s="685"/>
      <c r="B2363" s="686">
        <v>1955</v>
      </c>
      <c r="C2363" s="687">
        <v>7986346</v>
      </c>
      <c r="D2363" s="688" t="s">
        <v>68</v>
      </c>
      <c r="E2363" s="689">
        <v>0.01</v>
      </c>
      <c r="F2363" s="687">
        <f t="shared" si="36"/>
        <v>79863.460000000006</v>
      </c>
    </row>
    <row r="2364" spans="1:6">
      <c r="A2364" s="685"/>
      <c r="B2364" s="686">
        <v>1954</v>
      </c>
      <c r="C2364" s="687">
        <v>307950</v>
      </c>
      <c r="D2364" s="688" t="s">
        <v>68</v>
      </c>
      <c r="E2364" s="689">
        <v>0.01</v>
      </c>
      <c r="F2364" s="687">
        <f t="shared" si="36"/>
        <v>3079.5</v>
      </c>
    </row>
    <row r="2365" spans="1:6">
      <c r="A2365" s="685"/>
      <c r="B2365" s="686">
        <v>1952</v>
      </c>
      <c r="C2365" s="687">
        <v>330450</v>
      </c>
      <c r="D2365" s="688" t="s">
        <v>68</v>
      </c>
      <c r="E2365" s="689">
        <v>0.01</v>
      </c>
      <c r="F2365" s="687">
        <f t="shared" si="36"/>
        <v>3304.5</v>
      </c>
    </row>
    <row r="2366" spans="1:6">
      <c r="A2366" s="685"/>
      <c r="B2366" s="686">
        <v>1951</v>
      </c>
      <c r="C2366" s="687">
        <v>247500</v>
      </c>
      <c r="D2366" s="688" t="s">
        <v>68</v>
      </c>
      <c r="E2366" s="689">
        <v>0.01</v>
      </c>
      <c r="F2366" s="687">
        <f t="shared" si="36"/>
        <v>2475</v>
      </c>
    </row>
    <row r="2367" spans="1:6">
      <c r="A2367" s="685"/>
      <c r="B2367" s="686">
        <v>1951</v>
      </c>
      <c r="C2367" s="687">
        <v>1171300</v>
      </c>
      <c r="D2367" s="688" t="s">
        <v>68</v>
      </c>
      <c r="E2367" s="689">
        <v>0.01</v>
      </c>
      <c r="F2367" s="687">
        <f t="shared" si="36"/>
        <v>11713</v>
      </c>
    </row>
    <row r="2368" spans="1:6">
      <c r="A2368" s="685"/>
      <c r="B2368" s="686">
        <v>1949</v>
      </c>
      <c r="C2368" s="687">
        <v>57300</v>
      </c>
      <c r="D2368" s="688" t="s">
        <v>68</v>
      </c>
      <c r="E2368" s="689">
        <v>0.01</v>
      </c>
      <c r="F2368" s="687">
        <f t="shared" si="36"/>
        <v>573</v>
      </c>
    </row>
    <row r="2369" spans="1:6">
      <c r="A2369" s="685"/>
      <c r="B2369" s="686">
        <v>1948</v>
      </c>
      <c r="C2369" s="687">
        <v>1104000</v>
      </c>
      <c r="D2369" s="688" t="s">
        <v>68</v>
      </c>
      <c r="E2369" s="689">
        <v>0.01</v>
      </c>
      <c r="F2369" s="687">
        <f t="shared" si="36"/>
        <v>11040</v>
      </c>
    </row>
    <row r="2370" spans="1:6">
      <c r="A2370" s="685"/>
      <c r="B2370" s="686">
        <v>1945</v>
      </c>
      <c r="C2370" s="687">
        <v>116650</v>
      </c>
      <c r="D2370" s="688" t="s">
        <v>68</v>
      </c>
      <c r="E2370" s="689">
        <v>0.01</v>
      </c>
      <c r="F2370" s="687">
        <f t="shared" si="36"/>
        <v>1166.5</v>
      </c>
    </row>
    <row r="2371" spans="1:6">
      <c r="A2371" s="685"/>
      <c r="B2371" s="686">
        <v>1944</v>
      </c>
      <c r="C2371" s="687">
        <v>2928700</v>
      </c>
      <c r="D2371" s="688" t="s">
        <v>68</v>
      </c>
      <c r="E2371" s="689">
        <v>0.01</v>
      </c>
      <c r="F2371" s="687">
        <f t="shared" ref="F2371:F2434" si="37">+C2371*E2371</f>
        <v>29287</v>
      </c>
    </row>
    <row r="2372" spans="1:6">
      <c r="A2372" s="685"/>
      <c r="B2372" s="686">
        <v>1941</v>
      </c>
      <c r="C2372" s="687">
        <v>1005750</v>
      </c>
      <c r="D2372" s="688" t="s">
        <v>68</v>
      </c>
      <c r="E2372" s="689">
        <v>0.01</v>
      </c>
      <c r="F2372" s="687">
        <f t="shared" si="37"/>
        <v>10057.5</v>
      </c>
    </row>
    <row r="2373" spans="1:6">
      <c r="A2373" s="685"/>
      <c r="B2373" s="686">
        <v>1936</v>
      </c>
      <c r="C2373" s="687">
        <v>101200</v>
      </c>
      <c r="D2373" s="688" t="s">
        <v>68</v>
      </c>
      <c r="E2373" s="689">
        <v>0.01</v>
      </c>
      <c r="F2373" s="687">
        <f t="shared" si="37"/>
        <v>1012</v>
      </c>
    </row>
    <row r="2374" spans="1:6">
      <c r="A2374" s="685"/>
      <c r="B2374" s="686">
        <v>1935</v>
      </c>
      <c r="C2374" s="687">
        <v>48350</v>
      </c>
      <c r="D2374" s="688" t="s">
        <v>68</v>
      </c>
      <c r="E2374" s="689">
        <v>0.01</v>
      </c>
      <c r="F2374" s="687">
        <f t="shared" si="37"/>
        <v>483.5</v>
      </c>
    </row>
    <row r="2375" spans="1:6">
      <c r="A2375" s="685"/>
      <c r="B2375" s="686">
        <v>1934</v>
      </c>
      <c r="C2375" s="687">
        <v>1089550</v>
      </c>
      <c r="D2375" s="688" t="s">
        <v>68</v>
      </c>
      <c r="E2375" s="689">
        <v>0.01</v>
      </c>
      <c r="F2375" s="687">
        <f t="shared" si="37"/>
        <v>10895.5</v>
      </c>
    </row>
    <row r="2376" spans="1:6">
      <c r="A2376" s="685"/>
      <c r="B2376" s="686">
        <v>1931</v>
      </c>
      <c r="C2376" s="687">
        <v>91520</v>
      </c>
      <c r="D2376" s="688" t="s">
        <v>68</v>
      </c>
      <c r="E2376" s="689">
        <v>0.01</v>
      </c>
      <c r="F2376" s="687">
        <f t="shared" si="37"/>
        <v>915.2</v>
      </c>
    </row>
    <row r="2377" spans="1:6">
      <c r="A2377" s="685"/>
      <c r="B2377" s="686">
        <v>1930</v>
      </c>
      <c r="C2377" s="687">
        <v>33200</v>
      </c>
      <c r="D2377" s="688" t="s">
        <v>68</v>
      </c>
      <c r="E2377" s="689">
        <v>0.01</v>
      </c>
      <c r="F2377" s="687">
        <f t="shared" si="37"/>
        <v>332</v>
      </c>
    </row>
    <row r="2378" spans="1:6">
      <c r="A2378" s="685"/>
      <c r="B2378" s="686">
        <v>1929</v>
      </c>
      <c r="C2378" s="687">
        <v>7500</v>
      </c>
      <c r="D2378" s="688" t="s">
        <v>68</v>
      </c>
      <c r="E2378" s="689">
        <v>0.01</v>
      </c>
      <c r="F2378" s="687">
        <f t="shared" si="37"/>
        <v>75</v>
      </c>
    </row>
    <row r="2379" spans="1:6">
      <c r="A2379" s="685"/>
      <c r="B2379" s="686">
        <v>1925</v>
      </c>
      <c r="C2379" s="687">
        <v>3432450</v>
      </c>
      <c r="D2379" s="688" t="s">
        <v>68</v>
      </c>
      <c r="E2379" s="689">
        <v>0.01</v>
      </c>
      <c r="F2379" s="687">
        <f t="shared" si="37"/>
        <v>34324.5</v>
      </c>
    </row>
    <row r="2380" spans="1:6">
      <c r="A2380" s="685"/>
      <c r="B2380" s="686">
        <v>1922</v>
      </c>
      <c r="C2380" s="687">
        <v>14950</v>
      </c>
      <c r="D2380" s="688" t="s">
        <v>68</v>
      </c>
      <c r="E2380" s="689">
        <v>0.01</v>
      </c>
      <c r="F2380" s="687">
        <f t="shared" si="37"/>
        <v>149.5</v>
      </c>
    </row>
    <row r="2381" spans="1:6">
      <c r="A2381" s="685"/>
      <c r="B2381" s="686">
        <v>1921</v>
      </c>
      <c r="C2381" s="687">
        <v>494400</v>
      </c>
      <c r="D2381" s="688" t="s">
        <v>68</v>
      </c>
      <c r="E2381" s="689">
        <v>0.01</v>
      </c>
      <c r="F2381" s="687">
        <f t="shared" si="37"/>
        <v>4944</v>
      </c>
    </row>
    <row r="2382" spans="1:6">
      <c r="A2382" s="685"/>
      <c r="B2382" s="686">
        <v>1918</v>
      </c>
      <c r="C2382" s="687">
        <v>69600</v>
      </c>
      <c r="D2382" s="688" t="s">
        <v>68</v>
      </c>
      <c r="E2382" s="689">
        <v>0.01</v>
      </c>
      <c r="F2382" s="687">
        <f t="shared" si="37"/>
        <v>696</v>
      </c>
    </row>
    <row r="2383" spans="1:6">
      <c r="A2383" s="685"/>
      <c r="B2383" s="686">
        <v>1915</v>
      </c>
      <c r="C2383" s="687">
        <v>369100</v>
      </c>
      <c r="D2383" s="688" t="s">
        <v>68</v>
      </c>
      <c r="E2383" s="689">
        <v>0.01</v>
      </c>
      <c r="F2383" s="687">
        <f t="shared" si="37"/>
        <v>3691</v>
      </c>
    </row>
    <row r="2384" spans="1:6">
      <c r="A2384" s="685"/>
      <c r="B2384" s="686">
        <v>1913</v>
      </c>
      <c r="C2384" s="687">
        <v>26750</v>
      </c>
      <c r="D2384" s="688" t="s">
        <v>68</v>
      </c>
      <c r="E2384" s="689">
        <v>0.01</v>
      </c>
      <c r="F2384" s="687">
        <f t="shared" si="37"/>
        <v>267.5</v>
      </c>
    </row>
    <row r="2385" spans="1:6">
      <c r="A2385" s="685"/>
      <c r="B2385" s="686">
        <v>1909</v>
      </c>
      <c r="C2385" s="687">
        <v>1941500</v>
      </c>
      <c r="D2385" s="688" t="s">
        <v>68</v>
      </c>
      <c r="E2385" s="689">
        <v>0.01</v>
      </c>
      <c r="F2385" s="687">
        <f t="shared" si="37"/>
        <v>19415</v>
      </c>
    </row>
    <row r="2386" spans="1:6">
      <c r="A2386" s="685"/>
      <c r="B2386" s="686">
        <v>1907</v>
      </c>
      <c r="C2386" s="687">
        <v>228000</v>
      </c>
      <c r="D2386" s="688" t="s">
        <v>68</v>
      </c>
      <c r="E2386" s="689">
        <v>0.01</v>
      </c>
      <c r="F2386" s="687">
        <f t="shared" si="37"/>
        <v>2280</v>
      </c>
    </row>
    <row r="2387" spans="1:6">
      <c r="A2387" s="685"/>
      <c r="B2387" s="686">
        <v>1907</v>
      </c>
      <c r="C2387" s="687">
        <v>282600</v>
      </c>
      <c r="D2387" s="688" t="s">
        <v>68</v>
      </c>
      <c r="E2387" s="689">
        <v>0.01</v>
      </c>
      <c r="F2387" s="687">
        <f t="shared" si="37"/>
        <v>2826</v>
      </c>
    </row>
    <row r="2388" spans="1:6">
      <c r="A2388" s="685"/>
      <c r="B2388" s="686">
        <v>1903</v>
      </c>
      <c r="C2388" s="687">
        <v>69600</v>
      </c>
      <c r="D2388" s="688" t="s">
        <v>68</v>
      </c>
      <c r="E2388" s="689">
        <v>0.01</v>
      </c>
      <c r="F2388" s="687">
        <f t="shared" si="37"/>
        <v>696</v>
      </c>
    </row>
    <row r="2389" spans="1:6">
      <c r="A2389" s="685"/>
      <c r="B2389" s="686">
        <v>1903</v>
      </c>
      <c r="C2389" s="687">
        <v>6250</v>
      </c>
      <c r="D2389" s="688" t="s">
        <v>68</v>
      </c>
      <c r="E2389" s="689">
        <v>0.01</v>
      </c>
      <c r="F2389" s="687">
        <f t="shared" si="37"/>
        <v>62.5</v>
      </c>
    </row>
    <row r="2390" spans="1:6">
      <c r="A2390" s="685"/>
      <c r="B2390" s="686">
        <v>1903</v>
      </c>
      <c r="C2390" s="687">
        <v>59400</v>
      </c>
      <c r="D2390" s="688" t="s">
        <v>68</v>
      </c>
      <c r="E2390" s="689">
        <v>0.01</v>
      </c>
      <c r="F2390" s="687">
        <f t="shared" si="37"/>
        <v>594</v>
      </c>
    </row>
    <row r="2391" spans="1:6">
      <c r="A2391" s="685"/>
      <c r="B2391" s="686">
        <v>1902</v>
      </c>
      <c r="C2391" s="687">
        <v>619350</v>
      </c>
      <c r="D2391" s="688" t="s">
        <v>68</v>
      </c>
      <c r="E2391" s="689">
        <v>0.01</v>
      </c>
      <c r="F2391" s="687">
        <f t="shared" si="37"/>
        <v>6193.5</v>
      </c>
    </row>
    <row r="2392" spans="1:6">
      <c r="A2392" s="685"/>
      <c r="B2392" s="686">
        <v>1899</v>
      </c>
      <c r="C2392" s="687">
        <v>56100</v>
      </c>
      <c r="D2392" s="688" t="s">
        <v>68</v>
      </c>
      <c r="E2392" s="689">
        <v>0.01</v>
      </c>
      <c r="F2392" s="687">
        <f t="shared" si="37"/>
        <v>561</v>
      </c>
    </row>
    <row r="2393" spans="1:6">
      <c r="A2393" s="685"/>
      <c r="B2393" s="686">
        <v>1897</v>
      </c>
      <c r="C2393" s="687">
        <v>578866</v>
      </c>
      <c r="D2393" s="688" t="s">
        <v>68</v>
      </c>
      <c r="E2393" s="689">
        <v>0.01</v>
      </c>
      <c r="F2393" s="687">
        <f t="shared" si="37"/>
        <v>5788.66</v>
      </c>
    </row>
    <row r="2394" spans="1:6">
      <c r="A2394" s="685"/>
      <c r="B2394" s="686">
        <v>1899</v>
      </c>
      <c r="C2394" s="687">
        <v>123700</v>
      </c>
      <c r="D2394" s="688" t="s">
        <v>68</v>
      </c>
      <c r="E2394" s="689">
        <v>0.01</v>
      </c>
      <c r="F2394" s="687">
        <f t="shared" si="37"/>
        <v>1237</v>
      </c>
    </row>
    <row r="2395" spans="1:6">
      <c r="A2395" s="685"/>
      <c r="B2395" s="686">
        <v>1899</v>
      </c>
      <c r="C2395" s="687">
        <v>10500</v>
      </c>
      <c r="D2395" s="688" t="s">
        <v>68</v>
      </c>
      <c r="E2395" s="689">
        <v>0.01</v>
      </c>
      <c r="F2395" s="687">
        <f t="shared" si="37"/>
        <v>105</v>
      </c>
    </row>
    <row r="2396" spans="1:6">
      <c r="A2396" s="685"/>
      <c r="B2396" s="686">
        <v>1896</v>
      </c>
      <c r="C2396" s="687">
        <v>952500</v>
      </c>
      <c r="D2396" s="688" t="s">
        <v>68</v>
      </c>
      <c r="E2396" s="689">
        <v>0.01</v>
      </c>
      <c r="F2396" s="687">
        <f t="shared" si="37"/>
        <v>9525</v>
      </c>
    </row>
    <row r="2397" spans="1:6">
      <c r="A2397" s="685"/>
      <c r="B2397" s="686">
        <v>1896</v>
      </c>
      <c r="C2397" s="687">
        <v>358350</v>
      </c>
      <c r="D2397" s="688" t="s">
        <v>68</v>
      </c>
      <c r="E2397" s="689">
        <v>0.01</v>
      </c>
      <c r="F2397" s="687">
        <f t="shared" si="37"/>
        <v>3583.5</v>
      </c>
    </row>
    <row r="2398" spans="1:6">
      <c r="A2398" s="685"/>
      <c r="B2398" s="686">
        <v>1894</v>
      </c>
      <c r="C2398" s="687">
        <v>16050</v>
      </c>
      <c r="D2398" s="688" t="s">
        <v>68</v>
      </c>
      <c r="E2398" s="689">
        <v>0.01</v>
      </c>
      <c r="F2398" s="687">
        <f t="shared" si="37"/>
        <v>160.5</v>
      </c>
    </row>
    <row r="2399" spans="1:6">
      <c r="A2399" s="685"/>
      <c r="B2399" s="686">
        <v>1893</v>
      </c>
      <c r="C2399" s="687">
        <v>1022600</v>
      </c>
      <c r="D2399" s="688" t="s">
        <v>68</v>
      </c>
      <c r="E2399" s="689">
        <v>0.01</v>
      </c>
      <c r="F2399" s="687">
        <f t="shared" si="37"/>
        <v>10226</v>
      </c>
    </row>
    <row r="2400" spans="1:6">
      <c r="A2400" s="685"/>
      <c r="B2400" s="686">
        <v>1890</v>
      </c>
      <c r="C2400" s="687">
        <v>34250</v>
      </c>
      <c r="D2400" s="688" t="s">
        <v>68</v>
      </c>
      <c r="E2400" s="689">
        <v>0.01</v>
      </c>
      <c r="F2400" s="687">
        <f t="shared" si="37"/>
        <v>342.5</v>
      </c>
    </row>
    <row r="2401" spans="1:6">
      <c r="A2401" s="685"/>
      <c r="B2401" s="686">
        <v>1890</v>
      </c>
      <c r="C2401" s="687">
        <v>13750</v>
      </c>
      <c r="D2401" s="688" t="s">
        <v>68</v>
      </c>
      <c r="E2401" s="689">
        <v>0.01</v>
      </c>
      <c r="F2401" s="687">
        <f t="shared" si="37"/>
        <v>137.5</v>
      </c>
    </row>
    <row r="2402" spans="1:6">
      <c r="A2402" s="685"/>
      <c r="B2402" s="686">
        <v>1890</v>
      </c>
      <c r="C2402" s="687">
        <v>253150</v>
      </c>
      <c r="D2402" s="688" t="s">
        <v>68</v>
      </c>
      <c r="E2402" s="689">
        <v>0.01</v>
      </c>
      <c r="F2402" s="687">
        <f t="shared" si="37"/>
        <v>2531.5</v>
      </c>
    </row>
    <row r="2403" spans="1:6">
      <c r="A2403" s="685"/>
      <c r="B2403" s="686">
        <v>1889</v>
      </c>
      <c r="C2403" s="687">
        <v>450600</v>
      </c>
      <c r="D2403" s="688" t="s">
        <v>68</v>
      </c>
      <c r="E2403" s="689">
        <v>0.01</v>
      </c>
      <c r="F2403" s="687">
        <f t="shared" si="37"/>
        <v>4506</v>
      </c>
    </row>
    <row r="2404" spans="1:6">
      <c r="A2404" s="685"/>
      <c r="B2404" s="686">
        <v>1888</v>
      </c>
      <c r="C2404" s="687">
        <v>602900</v>
      </c>
      <c r="D2404" s="688" t="s">
        <v>68</v>
      </c>
      <c r="E2404" s="689">
        <v>0.01</v>
      </c>
      <c r="F2404" s="687">
        <f t="shared" si="37"/>
        <v>6029</v>
      </c>
    </row>
    <row r="2405" spans="1:6">
      <c r="A2405" s="685"/>
      <c r="B2405" s="686">
        <v>1887</v>
      </c>
      <c r="C2405" s="687">
        <v>70500</v>
      </c>
      <c r="D2405" s="688" t="s">
        <v>68</v>
      </c>
      <c r="E2405" s="689">
        <v>0.01</v>
      </c>
      <c r="F2405" s="687">
        <f t="shared" si="37"/>
        <v>705</v>
      </c>
    </row>
    <row r="2406" spans="1:6">
      <c r="A2406" s="685"/>
      <c r="B2406" s="686">
        <v>1887</v>
      </c>
      <c r="C2406" s="687">
        <v>133250</v>
      </c>
      <c r="D2406" s="688" t="s">
        <v>68</v>
      </c>
      <c r="E2406" s="689">
        <v>0.01</v>
      </c>
      <c r="F2406" s="687">
        <f t="shared" si="37"/>
        <v>1332.5</v>
      </c>
    </row>
    <row r="2407" spans="1:6">
      <c r="A2407" s="685"/>
      <c r="B2407" s="686">
        <v>1887</v>
      </c>
      <c r="C2407" s="687">
        <v>19374</v>
      </c>
      <c r="D2407" s="688" t="s">
        <v>68</v>
      </c>
      <c r="E2407" s="689">
        <v>0.01</v>
      </c>
      <c r="F2407" s="687">
        <f t="shared" si="37"/>
        <v>193.74</v>
      </c>
    </row>
    <row r="2408" spans="1:6">
      <c r="A2408" s="685"/>
      <c r="B2408" s="686">
        <v>1887</v>
      </c>
      <c r="C2408" s="687">
        <v>21650</v>
      </c>
      <c r="D2408" s="688" t="s">
        <v>68</v>
      </c>
      <c r="E2408" s="689">
        <v>0.01</v>
      </c>
      <c r="F2408" s="687">
        <f t="shared" si="37"/>
        <v>216.5</v>
      </c>
    </row>
    <row r="2409" spans="1:6">
      <c r="A2409" s="685"/>
      <c r="B2409" s="686">
        <v>1886</v>
      </c>
      <c r="C2409" s="687">
        <v>226500</v>
      </c>
      <c r="D2409" s="688" t="s">
        <v>68</v>
      </c>
      <c r="E2409" s="689">
        <v>0.01</v>
      </c>
      <c r="F2409" s="687">
        <f t="shared" si="37"/>
        <v>2265</v>
      </c>
    </row>
    <row r="2410" spans="1:6">
      <c r="A2410" s="685"/>
      <c r="B2410" s="686">
        <v>1886</v>
      </c>
      <c r="C2410" s="687">
        <v>148200</v>
      </c>
      <c r="D2410" s="688" t="s">
        <v>68</v>
      </c>
      <c r="E2410" s="689">
        <v>0.01</v>
      </c>
      <c r="F2410" s="687">
        <f t="shared" si="37"/>
        <v>1482</v>
      </c>
    </row>
    <row r="2411" spans="1:6">
      <c r="A2411" s="685"/>
      <c r="B2411" s="686">
        <v>1879</v>
      </c>
      <c r="C2411" s="687">
        <v>23549</v>
      </c>
      <c r="D2411" s="688" t="s">
        <v>68</v>
      </c>
      <c r="E2411" s="689">
        <v>0.01</v>
      </c>
      <c r="F2411" s="687">
        <f t="shared" si="37"/>
        <v>235.49</v>
      </c>
    </row>
    <row r="2412" spans="1:6">
      <c r="A2412" s="685"/>
      <c r="B2412" s="686">
        <v>1877</v>
      </c>
      <c r="C2412" s="687">
        <v>69400</v>
      </c>
      <c r="D2412" s="688" t="s">
        <v>68</v>
      </c>
      <c r="E2412" s="689">
        <v>0.01</v>
      </c>
      <c r="F2412" s="687">
        <f t="shared" si="37"/>
        <v>694</v>
      </c>
    </row>
    <row r="2413" spans="1:6">
      <c r="A2413" s="685"/>
      <c r="B2413" s="686">
        <v>1876</v>
      </c>
      <c r="C2413" s="687">
        <v>57000</v>
      </c>
      <c r="D2413" s="688" t="s">
        <v>68</v>
      </c>
      <c r="E2413" s="689">
        <v>0.01</v>
      </c>
      <c r="F2413" s="687">
        <f t="shared" si="37"/>
        <v>570</v>
      </c>
    </row>
    <row r="2414" spans="1:6">
      <c r="A2414" s="685"/>
      <c r="B2414" s="686">
        <v>1876</v>
      </c>
      <c r="C2414" s="687">
        <v>2056100</v>
      </c>
      <c r="D2414" s="688" t="s">
        <v>68</v>
      </c>
      <c r="E2414" s="689">
        <v>0.01</v>
      </c>
      <c r="F2414" s="687">
        <f t="shared" si="37"/>
        <v>20561</v>
      </c>
    </row>
    <row r="2415" spans="1:6">
      <c r="A2415" s="685"/>
      <c r="B2415" s="686">
        <v>1876</v>
      </c>
      <c r="C2415" s="687">
        <v>75600</v>
      </c>
      <c r="D2415" s="688" t="s">
        <v>68</v>
      </c>
      <c r="E2415" s="689">
        <v>0.01</v>
      </c>
      <c r="F2415" s="687">
        <f t="shared" si="37"/>
        <v>756</v>
      </c>
    </row>
    <row r="2416" spans="1:6">
      <c r="A2416" s="685"/>
      <c r="B2416" s="686">
        <v>1876</v>
      </c>
      <c r="C2416" s="687">
        <v>194750</v>
      </c>
      <c r="D2416" s="688" t="s">
        <v>68</v>
      </c>
      <c r="E2416" s="689">
        <v>0.01</v>
      </c>
      <c r="F2416" s="687">
        <f t="shared" si="37"/>
        <v>1947.5</v>
      </c>
    </row>
    <row r="2417" spans="1:6">
      <c r="A2417" s="685"/>
      <c r="B2417" s="686">
        <v>1874</v>
      </c>
      <c r="C2417" s="687">
        <v>573400</v>
      </c>
      <c r="D2417" s="688" t="s">
        <v>68</v>
      </c>
      <c r="E2417" s="689">
        <v>0.01</v>
      </c>
      <c r="F2417" s="687">
        <f t="shared" si="37"/>
        <v>5734</v>
      </c>
    </row>
    <row r="2418" spans="1:6">
      <c r="A2418" s="685"/>
      <c r="B2418" s="686">
        <v>1872</v>
      </c>
      <c r="C2418" s="687">
        <v>79750</v>
      </c>
      <c r="D2418" s="688" t="s">
        <v>68</v>
      </c>
      <c r="E2418" s="689">
        <v>0.01</v>
      </c>
      <c r="F2418" s="687">
        <f t="shared" si="37"/>
        <v>797.5</v>
      </c>
    </row>
    <row r="2419" spans="1:6">
      <c r="A2419" s="685"/>
      <c r="B2419" s="686">
        <v>1872</v>
      </c>
      <c r="C2419" s="687">
        <v>27300</v>
      </c>
      <c r="D2419" s="688" t="s">
        <v>68</v>
      </c>
      <c r="E2419" s="689">
        <v>0.01</v>
      </c>
      <c r="F2419" s="687">
        <f t="shared" si="37"/>
        <v>273</v>
      </c>
    </row>
    <row r="2420" spans="1:6">
      <c r="A2420" s="685"/>
      <c r="B2420" s="686">
        <v>1869</v>
      </c>
      <c r="C2420" s="687">
        <v>81800</v>
      </c>
      <c r="D2420" s="688" t="s">
        <v>68</v>
      </c>
      <c r="E2420" s="689">
        <v>0.01</v>
      </c>
      <c r="F2420" s="687">
        <f t="shared" si="37"/>
        <v>818</v>
      </c>
    </row>
    <row r="2421" spans="1:6">
      <c r="A2421" s="685"/>
      <c r="B2421" s="686">
        <v>1868</v>
      </c>
      <c r="C2421" s="687">
        <v>365200</v>
      </c>
      <c r="D2421" s="688" t="s">
        <v>68</v>
      </c>
      <c r="E2421" s="689">
        <v>0.01</v>
      </c>
      <c r="F2421" s="687">
        <f t="shared" si="37"/>
        <v>3652</v>
      </c>
    </row>
    <row r="2422" spans="1:6">
      <c r="A2422" s="685"/>
      <c r="B2422" s="686">
        <v>1868</v>
      </c>
      <c r="C2422" s="687">
        <v>56100</v>
      </c>
      <c r="D2422" s="688" t="s">
        <v>68</v>
      </c>
      <c r="E2422" s="689">
        <v>0.01</v>
      </c>
      <c r="F2422" s="687">
        <f t="shared" si="37"/>
        <v>561</v>
      </c>
    </row>
    <row r="2423" spans="1:6">
      <c r="A2423" s="685"/>
      <c r="B2423" s="686">
        <v>1868</v>
      </c>
      <c r="C2423" s="687">
        <v>31317</v>
      </c>
      <c r="D2423" s="688" t="s">
        <v>68</v>
      </c>
      <c r="E2423" s="689">
        <v>0.01</v>
      </c>
      <c r="F2423" s="687">
        <f t="shared" si="37"/>
        <v>313.17</v>
      </c>
    </row>
    <row r="2424" spans="1:6">
      <c r="A2424" s="685"/>
      <c r="B2424" s="686">
        <v>1867</v>
      </c>
      <c r="C2424" s="687">
        <v>3585000</v>
      </c>
      <c r="D2424" s="688" t="s">
        <v>68</v>
      </c>
      <c r="E2424" s="689">
        <v>0.01</v>
      </c>
      <c r="F2424" s="687">
        <f t="shared" si="37"/>
        <v>35850</v>
      </c>
    </row>
    <row r="2425" spans="1:6">
      <c r="A2425" s="685"/>
      <c r="B2425" s="686">
        <v>1866</v>
      </c>
      <c r="C2425" s="687">
        <v>120700</v>
      </c>
      <c r="D2425" s="688" t="s">
        <v>68</v>
      </c>
      <c r="E2425" s="689">
        <v>0.01</v>
      </c>
      <c r="F2425" s="687">
        <f t="shared" si="37"/>
        <v>1207</v>
      </c>
    </row>
    <row r="2426" spans="1:6">
      <c r="A2426" s="685"/>
      <c r="B2426" s="686">
        <v>1866</v>
      </c>
      <c r="C2426" s="687">
        <v>85850</v>
      </c>
      <c r="D2426" s="688" t="s">
        <v>68</v>
      </c>
      <c r="E2426" s="689">
        <v>0.01</v>
      </c>
      <c r="F2426" s="687">
        <f t="shared" si="37"/>
        <v>858.5</v>
      </c>
    </row>
    <row r="2427" spans="1:6">
      <c r="A2427" s="685"/>
      <c r="B2427" s="686">
        <v>1861</v>
      </c>
      <c r="C2427" s="687">
        <v>724050</v>
      </c>
      <c r="D2427" s="688" t="s">
        <v>68</v>
      </c>
      <c r="E2427" s="689">
        <v>0.01</v>
      </c>
      <c r="F2427" s="687">
        <f t="shared" si="37"/>
        <v>7240.5</v>
      </c>
    </row>
    <row r="2428" spans="1:6">
      <c r="A2428" s="685"/>
      <c r="B2428" s="686">
        <v>1861</v>
      </c>
      <c r="C2428" s="687">
        <v>103385</v>
      </c>
      <c r="D2428" s="688" t="s">
        <v>68</v>
      </c>
      <c r="E2428" s="689">
        <v>0.01</v>
      </c>
      <c r="F2428" s="687">
        <f t="shared" si="37"/>
        <v>1033.8499999999999</v>
      </c>
    </row>
    <row r="2429" spans="1:6">
      <c r="A2429" s="685"/>
      <c r="B2429" s="686">
        <v>1859</v>
      </c>
      <c r="C2429" s="687">
        <v>45700</v>
      </c>
      <c r="D2429" s="688" t="s">
        <v>68</v>
      </c>
      <c r="E2429" s="689">
        <v>0.01</v>
      </c>
      <c r="F2429" s="687">
        <f t="shared" si="37"/>
        <v>457</v>
      </c>
    </row>
    <row r="2430" spans="1:6">
      <c r="A2430" s="685"/>
      <c r="B2430" s="686">
        <v>1858</v>
      </c>
      <c r="C2430" s="687">
        <v>724050</v>
      </c>
      <c r="D2430" s="688" t="s">
        <v>68</v>
      </c>
      <c r="E2430" s="689">
        <v>0.01</v>
      </c>
      <c r="F2430" s="687">
        <f t="shared" si="37"/>
        <v>7240.5</v>
      </c>
    </row>
    <row r="2431" spans="1:6">
      <c r="A2431" s="685"/>
      <c r="B2431" s="686">
        <v>1652</v>
      </c>
      <c r="C2431" s="687">
        <v>60334</v>
      </c>
      <c r="D2431" s="688" t="s">
        <v>68</v>
      </c>
      <c r="E2431" s="689">
        <v>0.01</v>
      </c>
      <c r="F2431" s="687">
        <f t="shared" si="37"/>
        <v>603.34</v>
      </c>
    </row>
    <row r="2432" spans="1:6">
      <c r="A2432" s="685"/>
      <c r="B2432" s="686">
        <v>1746</v>
      </c>
      <c r="C2432" s="687">
        <v>104500</v>
      </c>
      <c r="D2432" s="688" t="s">
        <v>68</v>
      </c>
      <c r="E2432" s="689">
        <v>0.01</v>
      </c>
      <c r="F2432" s="687">
        <f t="shared" si="37"/>
        <v>1045</v>
      </c>
    </row>
    <row r="2433" spans="1:6">
      <c r="A2433" s="685"/>
      <c r="B2433" s="686">
        <v>692</v>
      </c>
      <c r="C2433" s="687">
        <v>73900</v>
      </c>
      <c r="D2433" s="688" t="s">
        <v>68</v>
      </c>
      <c r="E2433" s="689">
        <v>0.1</v>
      </c>
      <c r="F2433" s="687">
        <f t="shared" si="37"/>
        <v>7390</v>
      </c>
    </row>
    <row r="2434" spans="1:6">
      <c r="A2434" s="685"/>
      <c r="B2434" s="686">
        <v>1517</v>
      </c>
      <c r="C2434" s="687">
        <v>38122000</v>
      </c>
      <c r="D2434" s="688" t="s">
        <v>68</v>
      </c>
      <c r="E2434" s="689">
        <v>0.01</v>
      </c>
      <c r="F2434" s="687">
        <f t="shared" si="37"/>
        <v>381220</v>
      </c>
    </row>
    <row r="2435" spans="1:6">
      <c r="A2435" s="685"/>
      <c r="B2435" s="686">
        <v>1395</v>
      </c>
      <c r="C2435" s="687">
        <v>1008524</v>
      </c>
      <c r="D2435" s="688" t="s">
        <v>68</v>
      </c>
      <c r="E2435" s="689">
        <v>0.01</v>
      </c>
      <c r="F2435" s="687">
        <f t="shared" ref="F2435:F2437" si="38">+C2435*E2435</f>
        <v>10085.24</v>
      </c>
    </row>
    <row r="2436" spans="1:6">
      <c r="A2436" s="685"/>
      <c r="B2436" s="686">
        <v>459</v>
      </c>
      <c r="C2436" s="687">
        <v>90002879</v>
      </c>
      <c r="D2436" s="688" t="s">
        <v>68</v>
      </c>
      <c r="E2436" s="689">
        <v>0.1</v>
      </c>
      <c r="F2436" s="687">
        <f t="shared" si="38"/>
        <v>9000287.9000000004</v>
      </c>
    </row>
    <row r="2437" spans="1:6">
      <c r="A2437" s="685"/>
      <c r="B2437" s="686">
        <v>459</v>
      </c>
      <c r="C2437" s="687">
        <v>73374702</v>
      </c>
      <c r="D2437" s="688" t="s">
        <v>68</v>
      </c>
      <c r="E2437" s="689">
        <v>0.1</v>
      </c>
      <c r="F2437" s="687">
        <f t="shared" si="38"/>
        <v>7337470.2000000002</v>
      </c>
    </row>
    <row r="2438" spans="1:6">
      <c r="F2438" s="690">
        <f>SUM(F2:F2437)</f>
        <v>75383699.11999993</v>
      </c>
    </row>
  </sheetData>
  <autoFilter ref="A1:F2437" xr:uid="{00000000-0009-0000-0000-00000D000000}"/>
  <mergeCells count="3">
    <mergeCell ref="I2:P5"/>
    <mergeCell ref="I6:P7"/>
    <mergeCell ref="I8:P1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H444"/>
  <sheetViews>
    <sheetView showGridLines="0" showZeros="0" topLeftCell="J1" workbookViewId="0">
      <pane ySplit="5" topLeftCell="A26" activePane="bottomLeft" state="frozen"/>
      <selection pane="bottomLeft" activeCell="J28" sqref="J28"/>
    </sheetView>
  </sheetViews>
  <sheetFormatPr baseColWidth="10" defaultRowHeight="15" outlineLevelCol="1"/>
  <cols>
    <col min="1" max="1" width="11.42578125" style="653" hidden="1" customWidth="1" outlineLevel="1"/>
    <col min="2" max="2" width="11" style="653" hidden="1" customWidth="1" outlineLevel="1"/>
    <col min="3" max="3" width="48.28515625" style="653" hidden="1" customWidth="1" outlineLevel="1"/>
    <col min="4" max="4" width="21.85546875" style="653" hidden="1" customWidth="1" outlineLevel="1"/>
    <col min="5" max="5" width="14.5703125" style="653" hidden="1" customWidth="1" outlineLevel="1"/>
    <col min="6" max="6" width="8.28515625" style="653" hidden="1" customWidth="1" outlineLevel="1"/>
    <col min="7" max="7" width="15.140625" style="653" hidden="1" customWidth="1" outlineLevel="1"/>
    <col min="8" max="8" width="13.85546875" style="653" hidden="1" customWidth="1" outlineLevel="1"/>
    <col min="9" max="9" width="14.140625" style="653" hidden="1" customWidth="1" outlineLevel="1"/>
    <col min="10" max="10" width="15.28515625" style="678" bestFit="1" customWidth="1" collapsed="1"/>
    <col min="11" max="11" width="14.140625" style="678" bestFit="1" customWidth="1"/>
    <col min="12" max="12" width="17" style="678" hidden="1" customWidth="1" outlineLevel="1"/>
    <col min="13" max="13" width="17.28515625" style="653" hidden="1" customWidth="1" outlineLevel="1"/>
    <col min="14" max="14" width="18.140625" style="678" hidden="1" customWidth="1" outlineLevel="1"/>
    <col min="15" max="15" width="13.140625" style="678" hidden="1" customWidth="1" outlineLevel="1"/>
    <col min="16" max="16" width="12.5703125" style="678" hidden="1" customWidth="1" outlineLevel="1"/>
    <col min="17" max="17" width="8.5703125" style="653" hidden="1" customWidth="1" outlineLevel="1"/>
    <col min="18" max="18" width="9.42578125" style="653" hidden="1" customWidth="1" outlineLevel="1"/>
    <col min="19" max="19" width="11.28515625" style="653" hidden="1" customWidth="1" outlineLevel="1"/>
    <col min="20" max="20" width="13.85546875" style="678" hidden="1" customWidth="1" outlineLevel="1"/>
    <col min="21" max="21" width="13.5703125" style="678" hidden="1" customWidth="1" outlineLevel="1"/>
    <col min="22" max="22" width="10" style="653" hidden="1" customWidth="1" outlineLevel="1"/>
    <col min="23" max="23" width="12.5703125" style="653" hidden="1" customWidth="1" outlineLevel="1"/>
    <col min="24" max="24" width="12" style="653" hidden="1" customWidth="1" outlineLevel="1"/>
    <col min="25" max="25" width="11" style="653" hidden="1" customWidth="1" outlineLevel="1"/>
    <col min="26" max="26" width="8" style="653" hidden="1" customWidth="1" outlineLevel="1"/>
    <col min="27" max="27" width="11.42578125" style="653" hidden="1" customWidth="1" outlineLevel="1"/>
    <col min="28" max="28" width="13" style="653" hidden="1" customWidth="1" outlineLevel="1"/>
    <col min="29" max="29" width="12.42578125" style="653" hidden="1" customWidth="1" outlineLevel="1"/>
    <col min="30" max="30" width="14.28515625" style="653" hidden="1" customWidth="1" outlineLevel="1"/>
    <col min="31" max="31" width="14.42578125" style="653" hidden="1" customWidth="1" outlineLevel="1"/>
    <col min="32" max="32" width="8.85546875" style="653" hidden="1" customWidth="1" outlineLevel="1"/>
    <col min="33" max="33" width="11.140625" style="653" hidden="1" customWidth="1" outlineLevel="1"/>
    <col min="34" max="34" width="25" style="653" hidden="1" customWidth="1" outlineLevel="1"/>
    <col min="35" max="35" width="11.140625" style="653" customWidth="1" collapsed="1"/>
    <col min="36" max="36" width="11.140625" style="653" customWidth="1"/>
    <col min="37" max="39" width="12.5703125" style="653" bestFit="1" customWidth="1"/>
    <col min="40" max="41" width="13.140625" style="653" customWidth="1"/>
    <col min="42" max="44" width="11.5703125" style="653" bestFit="1" customWidth="1"/>
    <col min="45" max="46" width="15.5703125" style="653" customWidth="1"/>
    <col min="47" max="47" width="11.42578125" style="653"/>
    <col min="48" max="49" width="0" style="657" hidden="1" customWidth="1" outlineLevel="1"/>
    <col min="50" max="50" width="17.5703125" style="653" hidden="1" customWidth="1" outlineLevel="1"/>
    <col min="51" max="51" width="22.28515625" style="653" hidden="1" customWidth="1" outlineLevel="1"/>
    <col min="52" max="52" width="20.7109375" style="653" customWidth="1" collapsed="1"/>
    <col min="53" max="53" width="23.85546875" style="653" bestFit="1" customWidth="1"/>
    <col min="54" max="54" width="19.85546875" style="653" bestFit="1" customWidth="1"/>
    <col min="55" max="55" width="12.5703125" style="653" bestFit="1" customWidth="1"/>
    <col min="56" max="16384" width="11.42578125" style="653"/>
  </cols>
  <sheetData>
    <row r="1" spans="1:60">
      <c r="A1" s="653" t="s">
        <v>453</v>
      </c>
      <c r="J1" s="653"/>
      <c r="K1" s="653"/>
      <c r="L1" s="653"/>
      <c r="N1" s="653"/>
      <c r="O1" s="653"/>
      <c r="P1" s="653"/>
      <c r="T1" s="653"/>
      <c r="U1" s="653"/>
      <c r="AV1" s="654"/>
      <c r="AW1" s="654"/>
    </row>
    <row r="2" spans="1:60">
      <c r="A2" s="653" t="s">
        <v>454</v>
      </c>
      <c r="J2" s="653"/>
      <c r="K2" s="653"/>
      <c r="L2" s="653"/>
      <c r="N2" s="653"/>
      <c r="O2" s="653"/>
      <c r="P2" s="653"/>
      <c r="T2" s="653"/>
      <c r="U2" s="653"/>
      <c r="AV2" s="654"/>
      <c r="AW2" s="654"/>
    </row>
    <row r="3" spans="1:60">
      <c r="A3" s="653" t="s">
        <v>455</v>
      </c>
      <c r="J3" s="653"/>
      <c r="K3" s="653"/>
      <c r="L3" s="653"/>
      <c r="N3" s="653"/>
      <c r="O3" s="653"/>
      <c r="P3" s="653"/>
      <c r="T3" s="653"/>
      <c r="U3" s="653"/>
      <c r="AP3" s="655" t="s">
        <v>2967</v>
      </c>
      <c r="AV3" s="654"/>
      <c r="AW3" s="654"/>
    </row>
    <row r="4" spans="1:60">
      <c r="A4" s="653" t="s">
        <v>456</v>
      </c>
      <c r="J4" s="656"/>
      <c r="K4" s="656"/>
      <c r="L4" s="656"/>
      <c r="N4" s="656"/>
      <c r="O4" s="656"/>
      <c r="P4" s="656"/>
      <c r="T4" s="656"/>
      <c r="U4" s="656"/>
      <c r="AK4" s="945" t="s">
        <v>87</v>
      </c>
      <c r="AL4" s="946"/>
      <c r="AM4" s="946"/>
      <c r="AN4" s="946"/>
      <c r="AO4" s="947"/>
      <c r="AP4" s="948" t="s">
        <v>457</v>
      </c>
      <c r="AQ4" s="948"/>
      <c r="AR4" s="948"/>
      <c r="AS4" s="948"/>
      <c r="AT4" s="949"/>
    </row>
    <row r="5" spans="1:60">
      <c r="A5" s="658" t="s">
        <v>458</v>
      </c>
      <c r="B5" s="658" t="s">
        <v>459</v>
      </c>
      <c r="C5" s="658" t="s">
        <v>460</v>
      </c>
      <c r="D5" s="658" t="s">
        <v>461</v>
      </c>
      <c r="E5" s="658" t="s">
        <v>462</v>
      </c>
      <c r="F5" s="658" t="s">
        <v>463</v>
      </c>
      <c r="G5" s="658" t="s">
        <v>464</v>
      </c>
      <c r="H5" s="658" t="s">
        <v>465</v>
      </c>
      <c r="I5" s="658" t="s">
        <v>466</v>
      </c>
      <c r="J5" s="659" t="s">
        <v>467</v>
      </c>
      <c r="K5" s="659" t="s">
        <v>468</v>
      </c>
      <c r="L5" s="659" t="s">
        <v>469</v>
      </c>
      <c r="M5" s="658" t="s">
        <v>470</v>
      </c>
      <c r="N5" s="659" t="s">
        <v>471</v>
      </c>
      <c r="O5" s="659" t="s">
        <v>472</v>
      </c>
      <c r="P5" s="659" t="s">
        <v>473</v>
      </c>
      <c r="Q5" s="658" t="s">
        <v>474</v>
      </c>
      <c r="R5" s="658" t="s">
        <v>475</v>
      </c>
      <c r="S5" s="658" t="s">
        <v>476</v>
      </c>
      <c r="T5" s="659" t="s">
        <v>477</v>
      </c>
      <c r="U5" s="659" t="s">
        <v>478</v>
      </c>
      <c r="V5" s="658" t="s">
        <v>151</v>
      </c>
      <c r="W5" s="658" t="s">
        <v>479</v>
      </c>
      <c r="X5" s="658" t="s">
        <v>480</v>
      </c>
      <c r="Y5" s="658" t="s">
        <v>481</v>
      </c>
      <c r="Z5" s="658" t="s">
        <v>148</v>
      </c>
      <c r="AA5" s="658" t="s">
        <v>143</v>
      </c>
      <c r="AB5" s="658" t="s">
        <v>482</v>
      </c>
      <c r="AC5" s="658" t="s">
        <v>483</v>
      </c>
      <c r="AD5" s="658" t="s">
        <v>484</v>
      </c>
      <c r="AE5" s="658" t="s">
        <v>485</v>
      </c>
      <c r="AF5" s="658" t="s">
        <v>486</v>
      </c>
      <c r="AG5" s="658" t="s">
        <v>487</v>
      </c>
      <c r="AH5" s="658" t="s">
        <v>488</v>
      </c>
      <c r="AI5" s="658" t="s">
        <v>489</v>
      </c>
      <c r="AJ5" s="658" t="s">
        <v>490</v>
      </c>
      <c r="AK5" s="658" t="s">
        <v>226</v>
      </c>
      <c r="AL5" s="658" t="s">
        <v>227</v>
      </c>
      <c r="AM5" s="658" t="s">
        <v>228</v>
      </c>
      <c r="AN5" s="658" t="s">
        <v>229</v>
      </c>
      <c r="AO5" s="658" t="s">
        <v>230</v>
      </c>
      <c r="AP5" s="658" t="s">
        <v>226</v>
      </c>
      <c r="AQ5" s="658" t="s">
        <v>227</v>
      </c>
      <c r="AR5" s="658" t="s">
        <v>228</v>
      </c>
      <c r="AS5" s="658" t="s">
        <v>229</v>
      </c>
      <c r="AT5" s="658" t="s">
        <v>230</v>
      </c>
      <c r="AV5" s="660" t="s">
        <v>491</v>
      </c>
      <c r="AW5" s="660" t="s">
        <v>492</v>
      </c>
      <c r="AX5" s="661" t="s">
        <v>493</v>
      </c>
      <c r="AY5" s="661" t="s">
        <v>474</v>
      </c>
      <c r="BA5" s="662" t="s">
        <v>439</v>
      </c>
      <c r="BB5" s="663"/>
      <c r="BC5" s="663"/>
      <c r="BD5" s="663"/>
      <c r="BE5" s="663"/>
      <c r="BF5" s="663"/>
      <c r="BG5" s="663"/>
      <c r="BH5" s="663"/>
    </row>
    <row r="6" spans="1:60">
      <c r="A6" s="664" t="s">
        <v>494</v>
      </c>
      <c r="B6" s="664"/>
      <c r="C6" s="664"/>
      <c r="D6" s="664">
        <v>1160505001</v>
      </c>
      <c r="E6" s="664">
        <v>0</v>
      </c>
      <c r="F6" s="664">
        <v>45568</v>
      </c>
      <c r="G6" s="665">
        <v>43451</v>
      </c>
      <c r="H6" s="665">
        <v>43816</v>
      </c>
      <c r="I6" s="664">
        <v>1455</v>
      </c>
      <c r="J6" s="666">
        <v>25000000</v>
      </c>
      <c r="K6" s="666">
        <v>3750000</v>
      </c>
      <c r="L6" s="666">
        <v>0</v>
      </c>
      <c r="M6" s="664" t="s">
        <v>495</v>
      </c>
      <c r="N6" s="666">
        <v>25000000</v>
      </c>
      <c r="O6" s="666">
        <v>3750000</v>
      </c>
      <c r="P6" s="666">
        <v>18187500</v>
      </c>
      <c r="Q6" s="664">
        <v>1</v>
      </c>
      <c r="R6" s="664" t="s">
        <v>496</v>
      </c>
      <c r="S6" s="664">
        <v>100</v>
      </c>
      <c r="T6" s="666">
        <v>25000000</v>
      </c>
      <c r="U6" s="666">
        <v>3750000</v>
      </c>
      <c r="V6" s="664">
        <v>100</v>
      </c>
      <c r="W6" s="666">
        <v>6442963.7699999996</v>
      </c>
      <c r="X6" s="664">
        <v>2</v>
      </c>
      <c r="Y6" s="664">
        <v>1160902010</v>
      </c>
      <c r="Z6" s="664">
        <v>2023</v>
      </c>
      <c r="AA6" s="664">
        <v>12</v>
      </c>
      <c r="AB6" s="664">
        <v>5026003002</v>
      </c>
      <c r="AC6" s="664">
        <v>1160903005</v>
      </c>
      <c r="AD6" s="664">
        <v>0</v>
      </c>
      <c r="AE6" s="664">
        <v>0</v>
      </c>
      <c r="AF6" s="664">
        <v>0</v>
      </c>
      <c r="AG6" s="664">
        <v>1160605001</v>
      </c>
      <c r="AH6" s="664">
        <v>1455</v>
      </c>
      <c r="AI6" s="664" t="s">
        <v>497</v>
      </c>
      <c r="AJ6" s="667">
        <v>0.01</v>
      </c>
      <c r="AK6" s="668">
        <f>+$J6*$AJ6</f>
        <v>250000</v>
      </c>
      <c r="AL6" s="668">
        <f>IF(($J6-$AK6)&gt;0,$J6*$AJ6,0)</f>
        <v>250000</v>
      </c>
      <c r="AM6" s="668">
        <f>IF(($J6-$AK6)&gt;0,$J6*$AJ6,0)</f>
        <v>250000</v>
      </c>
      <c r="AN6" s="668"/>
      <c r="AO6" s="668"/>
      <c r="AP6" s="669">
        <f>+K6*(AJ6/2)</f>
        <v>18750</v>
      </c>
      <c r="AQ6" s="668">
        <f>AP6</f>
        <v>18750</v>
      </c>
      <c r="AR6" s="668">
        <f>AQ6</f>
        <v>18750</v>
      </c>
      <c r="AS6" s="668"/>
      <c r="AT6" s="668"/>
      <c r="AV6" s="670">
        <f>J6-AK6-AL6-AM6</f>
        <v>24250000</v>
      </c>
      <c r="AW6" s="670">
        <f>+K6-AP6-AQ6-AR6</f>
        <v>3693750</v>
      </c>
      <c r="AX6" s="671">
        <f t="shared" ref="AX6:AX69" si="0">+J6-N6</f>
        <v>0</v>
      </c>
      <c r="BA6" s="936" t="s">
        <v>2968</v>
      </c>
      <c r="BB6" s="937"/>
      <c r="BC6" s="937"/>
      <c r="BD6" s="937"/>
      <c r="BE6" s="937"/>
      <c r="BF6" s="937"/>
      <c r="BG6" s="937"/>
      <c r="BH6" s="938"/>
    </row>
    <row r="7" spans="1:60">
      <c r="A7" s="664" t="s">
        <v>494</v>
      </c>
      <c r="B7" s="664"/>
      <c r="C7" s="664"/>
      <c r="D7" s="664">
        <v>1160503004</v>
      </c>
      <c r="E7" s="664">
        <v>0</v>
      </c>
      <c r="F7" s="664">
        <v>41975</v>
      </c>
      <c r="G7" s="665">
        <v>43569</v>
      </c>
      <c r="H7" s="665">
        <v>44665</v>
      </c>
      <c r="I7" s="664">
        <v>618</v>
      </c>
      <c r="J7" s="666">
        <v>0</v>
      </c>
      <c r="K7" s="666">
        <v>724063</v>
      </c>
      <c r="L7" s="666">
        <v>0</v>
      </c>
      <c r="M7" s="664" t="s">
        <v>495</v>
      </c>
      <c r="N7" s="666">
        <v>0</v>
      </c>
      <c r="O7" s="666">
        <v>724063</v>
      </c>
      <c r="P7" s="666">
        <v>0</v>
      </c>
      <c r="Q7" s="664">
        <v>1</v>
      </c>
      <c r="R7" s="664" t="s">
        <v>494</v>
      </c>
      <c r="S7" s="664">
        <v>100</v>
      </c>
      <c r="T7" s="666">
        <v>0</v>
      </c>
      <c r="U7" s="666">
        <v>724063</v>
      </c>
      <c r="V7" s="664">
        <v>100</v>
      </c>
      <c r="W7" s="666">
        <v>7370381</v>
      </c>
      <c r="X7" s="664">
        <v>5</v>
      </c>
      <c r="Y7" s="664">
        <v>1160902006</v>
      </c>
      <c r="Z7" s="664">
        <v>2023</v>
      </c>
      <c r="AA7" s="664">
        <v>12</v>
      </c>
      <c r="AB7" s="664">
        <v>5026003002</v>
      </c>
      <c r="AC7" s="664">
        <v>1160903003</v>
      </c>
      <c r="AD7" s="664">
        <v>0</v>
      </c>
      <c r="AE7" s="664">
        <v>0</v>
      </c>
      <c r="AF7" s="664">
        <v>0</v>
      </c>
      <c r="AG7" s="664">
        <v>1160603001</v>
      </c>
      <c r="AH7" s="664">
        <v>618</v>
      </c>
      <c r="AI7" s="664" t="s">
        <v>498</v>
      </c>
      <c r="AJ7" s="667">
        <v>0.1</v>
      </c>
      <c r="AK7" s="668">
        <f t="shared" ref="AK7:AK70" si="1">+$J7*$AJ7</f>
        <v>0</v>
      </c>
      <c r="AL7" s="668">
        <f t="shared" ref="AL7:AM70" si="2">IF(($J7-$AK7)&gt;0,$J7*$AJ7,0)</f>
        <v>0</v>
      </c>
      <c r="AM7" s="668">
        <f t="shared" si="2"/>
        <v>0</v>
      </c>
      <c r="AN7" s="668"/>
      <c r="AO7" s="668"/>
      <c r="AP7" s="668">
        <f t="shared" ref="AP7:AP70" si="3">+K7*(AJ7/2)</f>
        <v>36203.15</v>
      </c>
      <c r="AQ7" s="668">
        <f t="shared" ref="AQ7:AR70" si="4">AP7</f>
        <v>36203.15</v>
      </c>
      <c r="AR7" s="668">
        <f t="shared" si="4"/>
        <v>36203.15</v>
      </c>
      <c r="AS7" s="668"/>
      <c r="AT7" s="668"/>
      <c r="AV7" s="670">
        <f t="shared" ref="AV7:AV70" si="5">J7-AK7-AL7-AM7</f>
        <v>0</v>
      </c>
      <c r="AW7" s="670">
        <f t="shared" ref="AW7:AW70" si="6">+K7-AP7-AQ7-AR7</f>
        <v>615453.54999999993</v>
      </c>
      <c r="AX7" s="671">
        <f t="shared" si="0"/>
        <v>0</v>
      </c>
      <c r="BA7" s="939"/>
      <c r="BB7" s="940"/>
      <c r="BC7" s="940"/>
      <c r="BD7" s="940"/>
      <c r="BE7" s="940"/>
      <c r="BF7" s="940"/>
      <c r="BG7" s="940"/>
      <c r="BH7" s="941"/>
    </row>
    <row r="8" spans="1:60">
      <c r="A8" s="664" t="s">
        <v>494</v>
      </c>
      <c r="B8" s="664"/>
      <c r="C8" s="664"/>
      <c r="D8" s="664">
        <v>1160505004</v>
      </c>
      <c r="E8" s="664">
        <v>39914</v>
      </c>
      <c r="F8" s="664">
        <v>42539</v>
      </c>
      <c r="G8" s="665">
        <v>42918</v>
      </c>
      <c r="H8" s="665">
        <v>44014</v>
      </c>
      <c r="I8" s="664">
        <v>1260</v>
      </c>
      <c r="J8" s="666">
        <v>1000000</v>
      </c>
      <c r="K8" s="666">
        <v>108781</v>
      </c>
      <c r="L8" s="666">
        <v>0</v>
      </c>
      <c r="M8" s="664" t="s">
        <v>495</v>
      </c>
      <c r="N8" s="666">
        <v>1000000</v>
      </c>
      <c r="O8" s="666">
        <v>108781</v>
      </c>
      <c r="P8" s="666">
        <v>630000</v>
      </c>
      <c r="Q8" s="664">
        <v>1</v>
      </c>
      <c r="R8" s="664" t="s">
        <v>496</v>
      </c>
      <c r="S8" s="664">
        <v>100</v>
      </c>
      <c r="T8" s="666">
        <v>1000000</v>
      </c>
      <c r="U8" s="666">
        <v>108781</v>
      </c>
      <c r="V8" s="664">
        <v>100</v>
      </c>
      <c r="W8" s="666">
        <v>6368636</v>
      </c>
      <c r="X8" s="664">
        <v>5</v>
      </c>
      <c r="Y8" s="664">
        <v>1160902010</v>
      </c>
      <c r="Z8" s="664">
        <v>2023</v>
      </c>
      <c r="AA8" s="664">
        <v>12</v>
      </c>
      <c r="AB8" s="664">
        <v>5026003002</v>
      </c>
      <c r="AC8" s="664">
        <v>1160903005</v>
      </c>
      <c r="AD8" s="664">
        <v>0</v>
      </c>
      <c r="AE8" s="664">
        <v>0</v>
      </c>
      <c r="AF8" s="664">
        <v>0</v>
      </c>
      <c r="AG8" s="664">
        <v>1160605001</v>
      </c>
      <c r="AH8" s="664">
        <v>1260</v>
      </c>
      <c r="AI8" s="664" t="s">
        <v>497</v>
      </c>
      <c r="AJ8" s="667">
        <v>0.01</v>
      </c>
      <c r="AK8" s="668">
        <f t="shared" si="1"/>
        <v>10000</v>
      </c>
      <c r="AL8" s="668">
        <f t="shared" si="2"/>
        <v>10000</v>
      </c>
      <c r="AM8" s="668">
        <f t="shared" si="2"/>
        <v>10000</v>
      </c>
      <c r="AN8" s="668"/>
      <c r="AO8" s="668"/>
      <c r="AP8" s="668">
        <f t="shared" si="3"/>
        <v>543.90499999999997</v>
      </c>
      <c r="AQ8" s="668">
        <f t="shared" si="4"/>
        <v>543.90499999999997</v>
      </c>
      <c r="AR8" s="668">
        <f t="shared" si="4"/>
        <v>543.90499999999997</v>
      </c>
      <c r="AS8" s="668"/>
      <c r="AT8" s="668"/>
      <c r="AV8" s="670">
        <f t="shared" si="5"/>
        <v>970000</v>
      </c>
      <c r="AW8" s="670">
        <f t="shared" si="6"/>
        <v>107149.285</v>
      </c>
      <c r="AX8" s="671">
        <f t="shared" si="0"/>
        <v>0</v>
      </c>
      <c r="BA8" s="939"/>
      <c r="BB8" s="940"/>
      <c r="BC8" s="940"/>
      <c r="BD8" s="940"/>
      <c r="BE8" s="940"/>
      <c r="BF8" s="940"/>
      <c r="BG8" s="940"/>
      <c r="BH8" s="941"/>
    </row>
    <row r="9" spans="1:60">
      <c r="A9" s="664" t="s">
        <v>494</v>
      </c>
      <c r="B9" s="664"/>
      <c r="C9" s="664"/>
      <c r="D9" s="664">
        <v>1160405001</v>
      </c>
      <c r="E9" s="664">
        <v>0</v>
      </c>
      <c r="F9" s="664">
        <v>35915</v>
      </c>
      <c r="G9" s="665">
        <v>41811</v>
      </c>
      <c r="H9" s="665">
        <v>42003</v>
      </c>
      <c r="I9" s="664">
        <v>3242</v>
      </c>
      <c r="J9" s="666">
        <v>80000000</v>
      </c>
      <c r="K9" s="666">
        <v>3780000</v>
      </c>
      <c r="L9" s="666">
        <v>0</v>
      </c>
      <c r="M9" s="664" t="s">
        <v>495</v>
      </c>
      <c r="N9" s="666">
        <v>80000000</v>
      </c>
      <c r="O9" s="666">
        <v>3780000</v>
      </c>
      <c r="P9" s="666">
        <v>129680000</v>
      </c>
      <c r="Q9" s="664">
        <v>2</v>
      </c>
      <c r="R9" s="664" t="s">
        <v>496</v>
      </c>
      <c r="S9" s="664">
        <v>100</v>
      </c>
      <c r="T9" s="666">
        <v>80000000</v>
      </c>
      <c r="U9" s="666">
        <v>3780000</v>
      </c>
      <c r="V9" s="664">
        <v>300</v>
      </c>
      <c r="W9" s="666">
        <v>104469422.40000001</v>
      </c>
      <c r="X9" s="664">
        <v>2</v>
      </c>
      <c r="Y9" s="664">
        <v>1160902009</v>
      </c>
      <c r="Z9" s="664">
        <v>2023</v>
      </c>
      <c r="AA9" s="664">
        <v>12</v>
      </c>
      <c r="AB9" s="664">
        <v>5026003002</v>
      </c>
      <c r="AC9" s="664">
        <v>1160903005</v>
      </c>
      <c r="AD9" s="664">
        <v>0</v>
      </c>
      <c r="AE9" s="664">
        <v>0</v>
      </c>
      <c r="AF9" s="664">
        <v>1</v>
      </c>
      <c r="AG9" s="664">
        <v>1160605001</v>
      </c>
      <c r="AH9" s="664">
        <v>3242</v>
      </c>
      <c r="AI9" s="664" t="s">
        <v>497</v>
      </c>
      <c r="AJ9" s="667">
        <v>0.01</v>
      </c>
      <c r="AK9" s="668">
        <f t="shared" si="1"/>
        <v>800000</v>
      </c>
      <c r="AL9" s="668">
        <f t="shared" si="2"/>
        <v>800000</v>
      </c>
      <c r="AM9" s="668">
        <f t="shared" si="2"/>
        <v>800000</v>
      </c>
      <c r="AN9" s="668"/>
      <c r="AO9" s="668"/>
      <c r="AP9" s="668">
        <f t="shared" si="3"/>
        <v>18900</v>
      </c>
      <c r="AQ9" s="668">
        <f t="shared" si="4"/>
        <v>18900</v>
      </c>
      <c r="AR9" s="668">
        <f t="shared" si="4"/>
        <v>18900</v>
      </c>
      <c r="AS9" s="668"/>
      <c r="AT9" s="668"/>
      <c r="AV9" s="670">
        <f t="shared" si="5"/>
        <v>77600000</v>
      </c>
      <c r="AW9" s="670">
        <f t="shared" si="6"/>
        <v>3723300</v>
      </c>
      <c r="AX9" s="671">
        <f t="shared" si="0"/>
        <v>0</v>
      </c>
      <c r="BA9" s="939"/>
      <c r="BB9" s="940"/>
      <c r="BC9" s="940"/>
      <c r="BD9" s="940"/>
      <c r="BE9" s="940"/>
      <c r="BF9" s="940"/>
      <c r="BG9" s="940"/>
      <c r="BH9" s="941"/>
    </row>
    <row r="10" spans="1:60">
      <c r="A10" s="664" t="s">
        <v>494</v>
      </c>
      <c r="B10" s="664"/>
      <c r="C10" s="664"/>
      <c r="D10" s="664">
        <v>1160405003</v>
      </c>
      <c r="E10" s="664">
        <v>0</v>
      </c>
      <c r="F10" s="664">
        <v>372</v>
      </c>
      <c r="G10" s="665">
        <v>41811</v>
      </c>
      <c r="H10" s="665">
        <v>42003</v>
      </c>
      <c r="I10" s="664">
        <v>3242</v>
      </c>
      <c r="J10" s="666">
        <v>444528664</v>
      </c>
      <c r="K10" s="666">
        <v>25671530</v>
      </c>
      <c r="L10" s="666">
        <v>0</v>
      </c>
      <c r="M10" s="664" t="s">
        <v>495</v>
      </c>
      <c r="N10" s="666">
        <v>444528664</v>
      </c>
      <c r="O10" s="666">
        <v>25671530</v>
      </c>
      <c r="P10" s="666">
        <v>720580964</v>
      </c>
      <c r="Q10" s="664">
        <v>2</v>
      </c>
      <c r="R10" s="664" t="s">
        <v>496</v>
      </c>
      <c r="S10" s="664">
        <v>100</v>
      </c>
      <c r="T10" s="666">
        <v>444528664</v>
      </c>
      <c r="U10" s="666">
        <v>25671530</v>
      </c>
      <c r="V10" s="664">
        <v>300</v>
      </c>
      <c r="W10" s="666">
        <v>104469422.40000001</v>
      </c>
      <c r="X10" s="664">
        <v>8</v>
      </c>
      <c r="Y10" s="664">
        <v>1160902009</v>
      </c>
      <c r="Z10" s="664">
        <v>2023</v>
      </c>
      <c r="AA10" s="664">
        <v>12</v>
      </c>
      <c r="AB10" s="664">
        <v>5026003002</v>
      </c>
      <c r="AC10" s="664">
        <v>1160903005</v>
      </c>
      <c r="AD10" s="664">
        <v>0</v>
      </c>
      <c r="AE10" s="664">
        <v>0</v>
      </c>
      <c r="AF10" s="664">
        <v>1</v>
      </c>
      <c r="AG10" s="664">
        <v>1160605001</v>
      </c>
      <c r="AH10" s="664">
        <v>3242</v>
      </c>
      <c r="AI10" s="664" t="s">
        <v>497</v>
      </c>
      <c r="AJ10" s="667">
        <v>0.01</v>
      </c>
      <c r="AK10" s="668">
        <f t="shared" si="1"/>
        <v>4445286.6399999997</v>
      </c>
      <c r="AL10" s="668">
        <f t="shared" si="2"/>
        <v>4445286.6399999997</v>
      </c>
      <c r="AM10" s="668">
        <f t="shared" si="2"/>
        <v>4445286.6399999997</v>
      </c>
      <c r="AN10" s="668"/>
      <c r="AO10" s="668"/>
      <c r="AP10" s="668">
        <f t="shared" si="3"/>
        <v>128357.65000000001</v>
      </c>
      <c r="AQ10" s="668">
        <f t="shared" si="4"/>
        <v>128357.65000000001</v>
      </c>
      <c r="AR10" s="668">
        <f t="shared" si="4"/>
        <v>128357.65000000001</v>
      </c>
      <c r="AS10" s="668"/>
      <c r="AT10" s="668"/>
      <c r="AV10" s="670">
        <f t="shared" si="5"/>
        <v>431192804.08000004</v>
      </c>
      <c r="AW10" s="670">
        <f t="shared" si="6"/>
        <v>25286457.050000004</v>
      </c>
      <c r="AX10" s="671">
        <f t="shared" si="0"/>
        <v>0</v>
      </c>
      <c r="BA10" s="939"/>
      <c r="BB10" s="940"/>
      <c r="BC10" s="940"/>
      <c r="BD10" s="940"/>
      <c r="BE10" s="940"/>
      <c r="BF10" s="940"/>
      <c r="BG10" s="940"/>
      <c r="BH10" s="941"/>
    </row>
    <row r="11" spans="1:60">
      <c r="A11" s="664" t="s">
        <v>494</v>
      </c>
      <c r="B11" s="664"/>
      <c r="C11" s="664"/>
      <c r="D11" s="664">
        <v>1160505001</v>
      </c>
      <c r="E11" s="664">
        <v>0</v>
      </c>
      <c r="F11" s="664">
        <v>45514</v>
      </c>
      <c r="G11" s="665">
        <v>43443</v>
      </c>
      <c r="H11" s="665">
        <v>44174</v>
      </c>
      <c r="I11" s="664">
        <v>1103</v>
      </c>
      <c r="J11" s="666">
        <v>400000</v>
      </c>
      <c r="K11" s="666">
        <v>0</v>
      </c>
      <c r="L11" s="666">
        <v>0</v>
      </c>
      <c r="M11" s="664" t="s">
        <v>495</v>
      </c>
      <c r="N11" s="666">
        <v>400000</v>
      </c>
      <c r="O11" s="666">
        <v>0</v>
      </c>
      <c r="P11" s="666">
        <v>220600</v>
      </c>
      <c r="Q11" s="664">
        <v>1</v>
      </c>
      <c r="R11" s="664" t="s">
        <v>496</v>
      </c>
      <c r="S11" s="664">
        <v>100</v>
      </c>
      <c r="T11" s="666">
        <v>400000</v>
      </c>
      <c r="U11" s="666">
        <v>0</v>
      </c>
      <c r="V11" s="664">
        <v>100</v>
      </c>
      <c r="W11" s="666">
        <v>4767608</v>
      </c>
      <c r="X11" s="664">
        <v>2</v>
      </c>
      <c r="Y11" s="664">
        <v>1160902010</v>
      </c>
      <c r="Z11" s="664">
        <v>2023</v>
      </c>
      <c r="AA11" s="664">
        <v>12</v>
      </c>
      <c r="AB11" s="664">
        <v>5026003002</v>
      </c>
      <c r="AC11" s="664">
        <v>1160903005</v>
      </c>
      <c r="AD11" s="664">
        <v>0</v>
      </c>
      <c r="AE11" s="664">
        <v>0</v>
      </c>
      <c r="AF11" s="664">
        <v>0</v>
      </c>
      <c r="AG11" s="664">
        <v>1160605001</v>
      </c>
      <c r="AH11" s="664">
        <v>1103</v>
      </c>
      <c r="AI11" s="664" t="s">
        <v>497</v>
      </c>
      <c r="AJ11" s="667">
        <v>0.01</v>
      </c>
      <c r="AK11" s="668">
        <f t="shared" si="1"/>
        <v>4000</v>
      </c>
      <c r="AL11" s="668">
        <f t="shared" si="2"/>
        <v>4000</v>
      </c>
      <c r="AM11" s="668">
        <f t="shared" si="2"/>
        <v>4000</v>
      </c>
      <c r="AN11" s="668"/>
      <c r="AO11" s="668"/>
      <c r="AP11" s="668">
        <f t="shared" si="3"/>
        <v>0</v>
      </c>
      <c r="AQ11" s="668">
        <f t="shared" si="4"/>
        <v>0</v>
      </c>
      <c r="AR11" s="668">
        <f t="shared" si="4"/>
        <v>0</v>
      </c>
      <c r="AS11" s="668"/>
      <c r="AT11" s="668"/>
      <c r="AV11" s="670">
        <f t="shared" si="5"/>
        <v>388000</v>
      </c>
      <c r="AW11" s="670">
        <f t="shared" si="6"/>
        <v>0</v>
      </c>
      <c r="AX11" s="671">
        <f t="shared" si="0"/>
        <v>0</v>
      </c>
      <c r="BA11" s="939"/>
      <c r="BB11" s="940"/>
      <c r="BC11" s="940"/>
      <c r="BD11" s="940"/>
      <c r="BE11" s="940"/>
      <c r="BF11" s="940"/>
      <c r="BG11" s="940"/>
      <c r="BH11" s="941"/>
    </row>
    <row r="12" spans="1:60">
      <c r="A12" s="664" t="s">
        <v>494</v>
      </c>
      <c r="B12" s="664"/>
      <c r="C12" s="664"/>
      <c r="D12" s="664">
        <v>1160505001</v>
      </c>
      <c r="E12" s="664">
        <v>0</v>
      </c>
      <c r="F12" s="664">
        <v>41649</v>
      </c>
      <c r="G12" s="665">
        <v>42806</v>
      </c>
      <c r="H12" s="665">
        <v>43902</v>
      </c>
      <c r="I12" s="664">
        <v>1370</v>
      </c>
      <c r="J12" s="666">
        <v>6233832</v>
      </c>
      <c r="K12" s="666">
        <v>0</v>
      </c>
      <c r="L12" s="666">
        <v>0</v>
      </c>
      <c r="M12" s="664" t="s">
        <v>495</v>
      </c>
      <c r="N12" s="666">
        <v>6233832</v>
      </c>
      <c r="O12" s="666">
        <v>0</v>
      </c>
      <c r="P12" s="666">
        <v>4270175</v>
      </c>
      <c r="Q12" s="664">
        <v>1</v>
      </c>
      <c r="R12" s="664" t="s">
        <v>496</v>
      </c>
      <c r="S12" s="664">
        <v>100</v>
      </c>
      <c r="T12" s="666">
        <v>6233832</v>
      </c>
      <c r="U12" s="666">
        <v>0</v>
      </c>
      <c r="V12" s="664">
        <v>300</v>
      </c>
      <c r="W12" s="666">
        <v>9668299</v>
      </c>
      <c r="X12" s="664">
        <v>2</v>
      </c>
      <c r="Y12" s="664">
        <v>1160902010</v>
      </c>
      <c r="Z12" s="664">
        <v>2023</v>
      </c>
      <c r="AA12" s="664">
        <v>12</v>
      </c>
      <c r="AB12" s="664">
        <v>5026003002</v>
      </c>
      <c r="AC12" s="664">
        <v>1160903005</v>
      </c>
      <c r="AD12" s="664">
        <v>0</v>
      </c>
      <c r="AE12" s="664">
        <v>0</v>
      </c>
      <c r="AF12" s="664">
        <v>0</v>
      </c>
      <c r="AG12" s="664">
        <v>1160605001</v>
      </c>
      <c r="AH12" s="664">
        <v>1370</v>
      </c>
      <c r="AI12" s="664" t="s">
        <v>497</v>
      </c>
      <c r="AJ12" s="667">
        <v>0.01</v>
      </c>
      <c r="AK12" s="668">
        <f t="shared" si="1"/>
        <v>62338.32</v>
      </c>
      <c r="AL12" s="668">
        <f t="shared" si="2"/>
        <v>62338.32</v>
      </c>
      <c r="AM12" s="668">
        <f t="shared" si="2"/>
        <v>62338.32</v>
      </c>
      <c r="AN12" s="668"/>
      <c r="AO12" s="668"/>
      <c r="AP12" s="668">
        <f t="shared" si="3"/>
        <v>0</v>
      </c>
      <c r="AQ12" s="668">
        <f t="shared" si="4"/>
        <v>0</v>
      </c>
      <c r="AR12" s="668">
        <f t="shared" si="4"/>
        <v>0</v>
      </c>
      <c r="AS12" s="668"/>
      <c r="AT12" s="668"/>
      <c r="AV12" s="670">
        <f t="shared" si="5"/>
        <v>6046817.0399999991</v>
      </c>
      <c r="AW12" s="670">
        <f t="shared" si="6"/>
        <v>0</v>
      </c>
      <c r="AX12" s="671">
        <f t="shared" si="0"/>
        <v>0</v>
      </c>
      <c r="BA12" s="939"/>
      <c r="BB12" s="940"/>
      <c r="BC12" s="940"/>
      <c r="BD12" s="940"/>
      <c r="BE12" s="940"/>
      <c r="BF12" s="940"/>
      <c r="BG12" s="940"/>
      <c r="BH12" s="941"/>
    </row>
    <row r="13" spans="1:60">
      <c r="A13" s="664" t="s">
        <v>494</v>
      </c>
      <c r="B13" s="664"/>
      <c r="C13" s="664"/>
      <c r="D13" s="664">
        <v>1160505001</v>
      </c>
      <c r="E13" s="664">
        <v>0</v>
      </c>
      <c r="F13" s="664">
        <v>43698</v>
      </c>
      <c r="G13" s="665">
        <v>43148</v>
      </c>
      <c r="H13" s="665">
        <v>44244</v>
      </c>
      <c r="I13" s="664">
        <v>1035</v>
      </c>
      <c r="J13" s="666">
        <v>680966</v>
      </c>
      <c r="K13" s="666">
        <v>0</v>
      </c>
      <c r="L13" s="666">
        <v>0</v>
      </c>
      <c r="M13" s="664" t="s">
        <v>495</v>
      </c>
      <c r="N13" s="666">
        <v>680966</v>
      </c>
      <c r="O13" s="666">
        <v>0</v>
      </c>
      <c r="P13" s="666">
        <v>352400</v>
      </c>
      <c r="Q13" s="664">
        <v>1</v>
      </c>
      <c r="R13" s="664" t="s">
        <v>496</v>
      </c>
      <c r="S13" s="664">
        <v>100</v>
      </c>
      <c r="T13" s="666">
        <v>680966</v>
      </c>
      <c r="U13" s="666">
        <v>0</v>
      </c>
      <c r="V13" s="664">
        <v>100</v>
      </c>
      <c r="W13" s="666">
        <v>2692013</v>
      </c>
      <c r="X13" s="664">
        <v>14</v>
      </c>
      <c r="Y13" s="664">
        <v>1160902010</v>
      </c>
      <c r="Z13" s="664">
        <v>2023</v>
      </c>
      <c r="AA13" s="664">
        <v>12</v>
      </c>
      <c r="AB13" s="664">
        <v>5026003002</v>
      </c>
      <c r="AC13" s="664">
        <v>1160903005</v>
      </c>
      <c r="AD13" s="664">
        <v>0</v>
      </c>
      <c r="AE13" s="664">
        <v>0</v>
      </c>
      <c r="AF13" s="664">
        <v>0</v>
      </c>
      <c r="AG13" s="664">
        <v>1160605001</v>
      </c>
      <c r="AH13" s="664">
        <v>1035</v>
      </c>
      <c r="AI13" s="664" t="s">
        <v>499</v>
      </c>
      <c r="AJ13" s="667">
        <v>0.05</v>
      </c>
      <c r="AK13" s="668">
        <f t="shared" si="1"/>
        <v>34048.300000000003</v>
      </c>
      <c r="AL13" s="668">
        <f t="shared" si="2"/>
        <v>34048.300000000003</v>
      </c>
      <c r="AM13" s="668">
        <f t="shared" si="2"/>
        <v>34048.300000000003</v>
      </c>
      <c r="AN13" s="668"/>
      <c r="AO13" s="668"/>
      <c r="AP13" s="668">
        <f t="shared" si="3"/>
        <v>0</v>
      </c>
      <c r="AQ13" s="668">
        <f t="shared" si="4"/>
        <v>0</v>
      </c>
      <c r="AR13" s="668">
        <f t="shared" si="4"/>
        <v>0</v>
      </c>
      <c r="AS13" s="668"/>
      <c r="AT13" s="668"/>
      <c r="AV13" s="670">
        <f t="shared" si="5"/>
        <v>578821.09999999986</v>
      </c>
      <c r="AW13" s="670">
        <f t="shared" si="6"/>
        <v>0</v>
      </c>
      <c r="AX13" s="671">
        <f t="shared" si="0"/>
        <v>0</v>
      </c>
      <c r="BA13" s="939"/>
      <c r="BB13" s="940"/>
      <c r="BC13" s="940"/>
      <c r="BD13" s="940"/>
      <c r="BE13" s="940"/>
      <c r="BF13" s="940"/>
      <c r="BG13" s="940"/>
      <c r="BH13" s="941"/>
    </row>
    <row r="14" spans="1:60">
      <c r="A14" s="664" t="s">
        <v>494</v>
      </c>
      <c r="B14" s="664"/>
      <c r="C14" s="664"/>
      <c r="D14" s="664">
        <v>1160505001</v>
      </c>
      <c r="E14" s="664">
        <v>0</v>
      </c>
      <c r="F14" s="664">
        <v>41617</v>
      </c>
      <c r="G14" s="665">
        <v>42803</v>
      </c>
      <c r="H14" s="665">
        <v>43533</v>
      </c>
      <c r="I14" s="664">
        <v>1733</v>
      </c>
      <c r="J14" s="666">
        <v>7844539</v>
      </c>
      <c r="K14" s="666">
        <v>0</v>
      </c>
      <c r="L14" s="666">
        <v>0</v>
      </c>
      <c r="M14" s="664" t="s">
        <v>495</v>
      </c>
      <c r="N14" s="666">
        <v>7844539</v>
      </c>
      <c r="O14" s="666">
        <v>0</v>
      </c>
      <c r="P14" s="666">
        <v>6797293</v>
      </c>
      <c r="Q14" s="664">
        <v>1</v>
      </c>
      <c r="R14" s="664" t="s">
        <v>496</v>
      </c>
      <c r="S14" s="664">
        <v>100</v>
      </c>
      <c r="T14" s="666">
        <v>7844539</v>
      </c>
      <c r="U14" s="666">
        <v>0</v>
      </c>
      <c r="V14" s="664">
        <v>100</v>
      </c>
      <c r="W14" s="666">
        <v>16701938</v>
      </c>
      <c r="X14" s="664">
        <v>2</v>
      </c>
      <c r="Y14" s="664">
        <v>1160902010</v>
      </c>
      <c r="Z14" s="664">
        <v>2023</v>
      </c>
      <c r="AA14" s="664">
        <v>12</v>
      </c>
      <c r="AB14" s="664">
        <v>5026003002</v>
      </c>
      <c r="AC14" s="664">
        <v>1160903005</v>
      </c>
      <c r="AD14" s="664">
        <v>0</v>
      </c>
      <c r="AE14" s="664">
        <v>0</v>
      </c>
      <c r="AF14" s="664">
        <v>0</v>
      </c>
      <c r="AG14" s="664">
        <v>1160605001</v>
      </c>
      <c r="AH14" s="664">
        <v>1733</v>
      </c>
      <c r="AI14" s="664" t="s">
        <v>497</v>
      </c>
      <c r="AJ14" s="667">
        <v>0.01</v>
      </c>
      <c r="AK14" s="668">
        <f t="shared" si="1"/>
        <v>78445.39</v>
      </c>
      <c r="AL14" s="668">
        <f t="shared" si="2"/>
        <v>78445.39</v>
      </c>
      <c r="AM14" s="668">
        <f t="shared" si="2"/>
        <v>78445.39</v>
      </c>
      <c r="AN14" s="668"/>
      <c r="AO14" s="668"/>
      <c r="AP14" s="668">
        <f t="shared" si="3"/>
        <v>0</v>
      </c>
      <c r="AQ14" s="668">
        <f t="shared" si="4"/>
        <v>0</v>
      </c>
      <c r="AR14" s="668">
        <f t="shared" si="4"/>
        <v>0</v>
      </c>
      <c r="AS14" s="668"/>
      <c r="AT14" s="668"/>
      <c r="AV14" s="670">
        <f t="shared" si="5"/>
        <v>7609202.830000001</v>
      </c>
      <c r="AW14" s="670">
        <f t="shared" si="6"/>
        <v>0</v>
      </c>
      <c r="AX14" s="671">
        <f t="shared" si="0"/>
        <v>0</v>
      </c>
      <c r="BA14" s="939"/>
      <c r="BB14" s="940"/>
      <c r="BC14" s="940"/>
      <c r="BD14" s="940"/>
      <c r="BE14" s="940"/>
      <c r="BF14" s="940"/>
      <c r="BG14" s="940"/>
      <c r="BH14" s="941"/>
    </row>
    <row r="15" spans="1:60">
      <c r="A15" s="664" t="s">
        <v>494</v>
      </c>
      <c r="B15" s="664"/>
      <c r="C15" s="664"/>
      <c r="D15" s="664">
        <v>1160505001</v>
      </c>
      <c r="E15" s="664">
        <v>0</v>
      </c>
      <c r="F15" s="664">
        <v>44875</v>
      </c>
      <c r="G15" s="665">
        <v>43282</v>
      </c>
      <c r="H15" s="665">
        <v>44013</v>
      </c>
      <c r="I15" s="664">
        <v>1261</v>
      </c>
      <c r="J15" s="666">
        <v>8000000</v>
      </c>
      <c r="K15" s="666">
        <v>0</v>
      </c>
      <c r="L15" s="666">
        <v>0</v>
      </c>
      <c r="M15" s="664" t="s">
        <v>495</v>
      </c>
      <c r="N15" s="666">
        <v>8000000</v>
      </c>
      <c r="O15" s="666">
        <v>0</v>
      </c>
      <c r="P15" s="666">
        <v>5044000</v>
      </c>
      <c r="Q15" s="664">
        <v>1</v>
      </c>
      <c r="R15" s="664" t="s">
        <v>496</v>
      </c>
      <c r="S15" s="664">
        <v>100</v>
      </c>
      <c r="T15" s="666">
        <v>8000000</v>
      </c>
      <c r="U15" s="666">
        <v>0</v>
      </c>
      <c r="V15" s="664">
        <v>100</v>
      </c>
      <c r="W15" s="666">
        <v>16701938</v>
      </c>
      <c r="X15" s="664">
        <v>2</v>
      </c>
      <c r="Y15" s="664">
        <v>1160902010</v>
      </c>
      <c r="Z15" s="664">
        <v>2023</v>
      </c>
      <c r="AA15" s="664">
        <v>12</v>
      </c>
      <c r="AB15" s="664">
        <v>5026003002</v>
      </c>
      <c r="AC15" s="664">
        <v>1160903005</v>
      </c>
      <c r="AD15" s="664">
        <v>0</v>
      </c>
      <c r="AE15" s="664">
        <v>0</v>
      </c>
      <c r="AF15" s="664">
        <v>0</v>
      </c>
      <c r="AG15" s="664">
        <v>1160605001</v>
      </c>
      <c r="AH15" s="664">
        <v>1733</v>
      </c>
      <c r="AI15" s="664" t="s">
        <v>497</v>
      </c>
      <c r="AJ15" s="667">
        <v>0.01</v>
      </c>
      <c r="AK15" s="668">
        <f t="shared" si="1"/>
        <v>80000</v>
      </c>
      <c r="AL15" s="668">
        <f t="shared" si="2"/>
        <v>80000</v>
      </c>
      <c r="AM15" s="668">
        <f t="shared" si="2"/>
        <v>80000</v>
      </c>
      <c r="AN15" s="668"/>
      <c r="AO15" s="668"/>
      <c r="AP15" s="668">
        <f t="shared" si="3"/>
        <v>0</v>
      </c>
      <c r="AQ15" s="668">
        <f t="shared" si="4"/>
        <v>0</v>
      </c>
      <c r="AR15" s="668">
        <f t="shared" si="4"/>
        <v>0</v>
      </c>
      <c r="AS15" s="668"/>
      <c r="AT15" s="668"/>
      <c r="AV15" s="670">
        <f t="shared" si="5"/>
        <v>7760000</v>
      </c>
      <c r="AW15" s="670">
        <f t="shared" si="6"/>
        <v>0</v>
      </c>
      <c r="AX15" s="671">
        <f t="shared" si="0"/>
        <v>0</v>
      </c>
      <c r="BA15" s="942"/>
      <c r="BB15" s="943"/>
      <c r="BC15" s="943"/>
      <c r="BD15" s="943"/>
      <c r="BE15" s="943"/>
      <c r="BF15" s="943"/>
      <c r="BG15" s="943"/>
      <c r="BH15" s="944"/>
    </row>
    <row r="16" spans="1:60">
      <c r="A16" s="664" t="s">
        <v>494</v>
      </c>
      <c r="B16" s="664"/>
      <c r="C16" s="664"/>
      <c r="D16" s="664">
        <v>1160505002</v>
      </c>
      <c r="E16" s="664">
        <v>0</v>
      </c>
      <c r="F16" s="664">
        <v>45588</v>
      </c>
      <c r="G16" s="665">
        <v>43457</v>
      </c>
      <c r="H16" s="665">
        <v>43822</v>
      </c>
      <c r="I16" s="664">
        <v>1449</v>
      </c>
      <c r="J16" s="666">
        <v>3097000</v>
      </c>
      <c r="K16" s="666">
        <v>278736</v>
      </c>
      <c r="L16" s="666">
        <v>0</v>
      </c>
      <c r="M16" s="664" t="s">
        <v>495</v>
      </c>
      <c r="N16" s="666">
        <v>3097000</v>
      </c>
      <c r="O16" s="666">
        <v>278736</v>
      </c>
      <c r="P16" s="666">
        <v>2243777</v>
      </c>
      <c r="Q16" s="664">
        <v>1</v>
      </c>
      <c r="R16" s="664" t="s">
        <v>496</v>
      </c>
      <c r="S16" s="664">
        <v>100</v>
      </c>
      <c r="T16" s="666">
        <v>3097000</v>
      </c>
      <c r="U16" s="666">
        <v>278736</v>
      </c>
      <c r="V16" s="664">
        <v>100</v>
      </c>
      <c r="W16" s="666">
        <v>2628263</v>
      </c>
      <c r="X16" s="664">
        <v>6</v>
      </c>
      <c r="Y16" s="664">
        <v>1160902010</v>
      </c>
      <c r="Z16" s="664">
        <v>2023</v>
      </c>
      <c r="AA16" s="664">
        <v>12</v>
      </c>
      <c r="AB16" s="664">
        <v>5026003002</v>
      </c>
      <c r="AC16" s="664">
        <v>1160903005</v>
      </c>
      <c r="AD16" s="664">
        <v>0</v>
      </c>
      <c r="AE16" s="664">
        <v>0</v>
      </c>
      <c r="AF16" s="664">
        <v>0</v>
      </c>
      <c r="AG16" s="664">
        <v>1160605001</v>
      </c>
      <c r="AH16" s="664">
        <v>1449</v>
      </c>
      <c r="AI16" s="664" t="s">
        <v>497</v>
      </c>
      <c r="AJ16" s="667">
        <v>0.01</v>
      </c>
      <c r="AK16" s="668">
        <f t="shared" si="1"/>
        <v>30970</v>
      </c>
      <c r="AL16" s="668">
        <f t="shared" si="2"/>
        <v>30970</v>
      </c>
      <c r="AM16" s="668">
        <f t="shared" si="2"/>
        <v>30970</v>
      </c>
      <c r="AN16" s="668"/>
      <c r="AO16" s="668"/>
      <c r="AP16" s="668">
        <f t="shared" si="3"/>
        <v>1393.68</v>
      </c>
      <c r="AQ16" s="668">
        <f t="shared" si="4"/>
        <v>1393.68</v>
      </c>
      <c r="AR16" s="668">
        <f t="shared" si="4"/>
        <v>1393.68</v>
      </c>
      <c r="AS16" s="668"/>
      <c r="AT16" s="668"/>
      <c r="AV16" s="670">
        <f t="shared" si="5"/>
        <v>3004090</v>
      </c>
      <c r="AW16" s="670">
        <f t="shared" si="6"/>
        <v>274554.96000000002</v>
      </c>
      <c r="AX16" s="671">
        <f t="shared" si="0"/>
        <v>0</v>
      </c>
      <c r="BA16" s="672"/>
      <c r="BB16" s="672"/>
      <c r="BC16" s="672"/>
      <c r="BD16" s="672"/>
      <c r="BE16" s="672"/>
      <c r="BF16" s="672"/>
      <c r="BG16" s="672"/>
      <c r="BH16" s="672"/>
    </row>
    <row r="17" spans="1:60">
      <c r="A17" s="664" t="s">
        <v>494</v>
      </c>
      <c r="B17" s="664"/>
      <c r="C17" s="664"/>
      <c r="D17" s="664">
        <v>1160505001</v>
      </c>
      <c r="E17" s="664">
        <v>0</v>
      </c>
      <c r="F17" s="664">
        <v>44003</v>
      </c>
      <c r="G17" s="665">
        <v>43174</v>
      </c>
      <c r="H17" s="665">
        <v>43905</v>
      </c>
      <c r="I17" s="664">
        <v>1367</v>
      </c>
      <c r="J17" s="666">
        <v>492613</v>
      </c>
      <c r="K17" s="666">
        <v>11823</v>
      </c>
      <c r="L17" s="666">
        <v>0</v>
      </c>
      <c r="M17" s="664" t="s">
        <v>495</v>
      </c>
      <c r="N17" s="666">
        <v>492613</v>
      </c>
      <c r="O17" s="666">
        <v>11823</v>
      </c>
      <c r="P17" s="666">
        <v>336701</v>
      </c>
      <c r="Q17" s="664">
        <v>1</v>
      </c>
      <c r="R17" s="664" t="s">
        <v>496</v>
      </c>
      <c r="S17" s="664">
        <v>100</v>
      </c>
      <c r="T17" s="666">
        <v>492613</v>
      </c>
      <c r="U17" s="666">
        <v>11823</v>
      </c>
      <c r="V17" s="664">
        <v>100</v>
      </c>
      <c r="W17" s="666">
        <v>9316826</v>
      </c>
      <c r="X17" s="664">
        <v>2</v>
      </c>
      <c r="Y17" s="664">
        <v>1160902010</v>
      </c>
      <c r="Z17" s="664">
        <v>2023</v>
      </c>
      <c r="AA17" s="664">
        <v>12</v>
      </c>
      <c r="AB17" s="664">
        <v>5026003002</v>
      </c>
      <c r="AC17" s="664">
        <v>1160903005</v>
      </c>
      <c r="AD17" s="664">
        <v>0</v>
      </c>
      <c r="AE17" s="664">
        <v>0</v>
      </c>
      <c r="AF17" s="664">
        <v>0</v>
      </c>
      <c r="AG17" s="664">
        <v>1160605001</v>
      </c>
      <c r="AH17" s="664">
        <v>1367</v>
      </c>
      <c r="AI17" s="664" t="s">
        <v>497</v>
      </c>
      <c r="AJ17" s="667">
        <v>0.01</v>
      </c>
      <c r="AK17" s="668">
        <f t="shared" si="1"/>
        <v>4926.13</v>
      </c>
      <c r="AL17" s="668">
        <f t="shared" si="2"/>
        <v>4926.13</v>
      </c>
      <c r="AM17" s="668">
        <f t="shared" si="2"/>
        <v>4926.13</v>
      </c>
      <c r="AN17" s="668"/>
      <c r="AO17" s="668"/>
      <c r="AP17" s="668">
        <f t="shared" si="3"/>
        <v>59.115000000000002</v>
      </c>
      <c r="AQ17" s="668">
        <f t="shared" si="4"/>
        <v>59.115000000000002</v>
      </c>
      <c r="AR17" s="668">
        <f t="shared" si="4"/>
        <v>59.115000000000002</v>
      </c>
      <c r="AS17" s="668"/>
      <c r="AT17" s="668"/>
      <c r="AV17" s="670">
        <f t="shared" si="5"/>
        <v>477834.61</v>
      </c>
      <c r="AW17" s="670">
        <f t="shared" si="6"/>
        <v>11645.655000000001</v>
      </c>
      <c r="AX17" s="671">
        <f t="shared" si="0"/>
        <v>0</v>
      </c>
      <c r="BA17" s="672"/>
      <c r="BB17" s="672"/>
      <c r="BC17" s="672"/>
      <c r="BD17" s="672"/>
      <c r="BE17" s="672"/>
      <c r="BF17" s="672"/>
      <c r="BG17" s="672"/>
      <c r="BH17" s="672"/>
    </row>
    <row r="18" spans="1:60">
      <c r="A18" s="664" t="s">
        <v>494</v>
      </c>
      <c r="B18" s="664"/>
      <c r="C18" s="664"/>
      <c r="D18" s="664">
        <v>1160505001</v>
      </c>
      <c r="E18" s="664">
        <v>0</v>
      </c>
      <c r="F18" s="664">
        <v>44169</v>
      </c>
      <c r="G18" s="665">
        <v>43195</v>
      </c>
      <c r="H18" s="665">
        <v>43926</v>
      </c>
      <c r="I18" s="664">
        <v>1347</v>
      </c>
      <c r="J18" s="666">
        <v>5000000</v>
      </c>
      <c r="K18" s="666">
        <v>473750</v>
      </c>
      <c r="L18" s="666">
        <v>0</v>
      </c>
      <c r="M18" s="664" t="s">
        <v>495</v>
      </c>
      <c r="N18" s="666">
        <v>5000000</v>
      </c>
      <c r="O18" s="666">
        <v>473750</v>
      </c>
      <c r="P18" s="666">
        <v>3367500</v>
      </c>
      <c r="Q18" s="664">
        <v>1</v>
      </c>
      <c r="R18" s="664" t="s">
        <v>496</v>
      </c>
      <c r="S18" s="664">
        <v>100</v>
      </c>
      <c r="T18" s="666">
        <v>5000000</v>
      </c>
      <c r="U18" s="666">
        <v>473750</v>
      </c>
      <c r="V18" s="664">
        <v>100</v>
      </c>
      <c r="W18" s="666">
        <v>9316826</v>
      </c>
      <c r="X18" s="664">
        <v>2</v>
      </c>
      <c r="Y18" s="664">
        <v>1160902010</v>
      </c>
      <c r="Z18" s="664">
        <v>2023</v>
      </c>
      <c r="AA18" s="664">
        <v>12</v>
      </c>
      <c r="AB18" s="664">
        <v>5026003002</v>
      </c>
      <c r="AC18" s="664">
        <v>1160903005</v>
      </c>
      <c r="AD18" s="664">
        <v>0</v>
      </c>
      <c r="AE18" s="664">
        <v>0</v>
      </c>
      <c r="AF18" s="664">
        <v>0</v>
      </c>
      <c r="AG18" s="664">
        <v>1160605001</v>
      </c>
      <c r="AH18" s="664">
        <v>1367</v>
      </c>
      <c r="AI18" s="664" t="s">
        <v>497</v>
      </c>
      <c r="AJ18" s="667">
        <v>0.01</v>
      </c>
      <c r="AK18" s="668">
        <f t="shared" si="1"/>
        <v>50000</v>
      </c>
      <c r="AL18" s="668">
        <f t="shared" si="2"/>
        <v>50000</v>
      </c>
      <c r="AM18" s="668">
        <f t="shared" si="2"/>
        <v>50000</v>
      </c>
      <c r="AN18" s="668"/>
      <c r="AO18" s="668"/>
      <c r="AP18" s="668">
        <f t="shared" si="3"/>
        <v>2368.75</v>
      </c>
      <c r="AQ18" s="668">
        <f t="shared" si="4"/>
        <v>2368.75</v>
      </c>
      <c r="AR18" s="668">
        <f t="shared" si="4"/>
        <v>2368.75</v>
      </c>
      <c r="AS18" s="668"/>
      <c r="AT18" s="668"/>
      <c r="AV18" s="670">
        <f t="shared" si="5"/>
        <v>4850000</v>
      </c>
      <c r="AW18" s="670">
        <f t="shared" si="6"/>
        <v>466643.75</v>
      </c>
      <c r="AX18" s="671">
        <f t="shared" si="0"/>
        <v>0</v>
      </c>
      <c r="BA18" s="673" t="s">
        <v>512</v>
      </c>
      <c r="BB18" s="672"/>
      <c r="BC18" s="672"/>
      <c r="BD18" s="672"/>
      <c r="BE18" s="672"/>
      <c r="BF18" s="672"/>
      <c r="BG18" s="672"/>
      <c r="BH18" s="672"/>
    </row>
    <row r="19" spans="1:60">
      <c r="A19" s="664" t="s">
        <v>494</v>
      </c>
      <c r="B19" s="664"/>
      <c r="C19" s="664"/>
      <c r="D19" s="664">
        <v>1160505001</v>
      </c>
      <c r="E19" s="664">
        <v>0</v>
      </c>
      <c r="F19" s="664">
        <v>44496</v>
      </c>
      <c r="G19" s="665">
        <v>43237</v>
      </c>
      <c r="H19" s="665">
        <v>43968</v>
      </c>
      <c r="I19" s="664">
        <v>1305</v>
      </c>
      <c r="J19" s="666">
        <v>5000000</v>
      </c>
      <c r="K19" s="666">
        <v>526250</v>
      </c>
      <c r="L19" s="666">
        <v>0</v>
      </c>
      <c r="M19" s="664" t="s">
        <v>495</v>
      </c>
      <c r="N19" s="666">
        <v>5000000</v>
      </c>
      <c r="O19" s="666">
        <v>526250</v>
      </c>
      <c r="P19" s="666">
        <v>3262500</v>
      </c>
      <c r="Q19" s="664">
        <v>1</v>
      </c>
      <c r="R19" s="664" t="s">
        <v>496</v>
      </c>
      <c r="S19" s="664">
        <v>100</v>
      </c>
      <c r="T19" s="666">
        <v>5000000</v>
      </c>
      <c r="U19" s="666">
        <v>526250</v>
      </c>
      <c r="V19" s="664">
        <v>100</v>
      </c>
      <c r="W19" s="666">
        <v>9316826</v>
      </c>
      <c r="X19" s="664">
        <v>2</v>
      </c>
      <c r="Y19" s="664">
        <v>1160902010</v>
      </c>
      <c r="Z19" s="664">
        <v>2023</v>
      </c>
      <c r="AA19" s="664">
        <v>12</v>
      </c>
      <c r="AB19" s="664">
        <v>5026003002</v>
      </c>
      <c r="AC19" s="664">
        <v>1160903005</v>
      </c>
      <c r="AD19" s="664">
        <v>0</v>
      </c>
      <c r="AE19" s="664">
        <v>0</v>
      </c>
      <c r="AF19" s="664">
        <v>0</v>
      </c>
      <c r="AG19" s="664">
        <v>1160605001</v>
      </c>
      <c r="AH19" s="664">
        <v>1367</v>
      </c>
      <c r="AI19" s="664" t="s">
        <v>497</v>
      </c>
      <c r="AJ19" s="667">
        <v>0.01</v>
      </c>
      <c r="AK19" s="668">
        <f t="shared" si="1"/>
        <v>50000</v>
      </c>
      <c r="AL19" s="668">
        <f t="shared" si="2"/>
        <v>50000</v>
      </c>
      <c r="AM19" s="668">
        <f t="shared" si="2"/>
        <v>50000</v>
      </c>
      <c r="AN19" s="668"/>
      <c r="AO19" s="668"/>
      <c r="AP19" s="668">
        <f t="shared" si="3"/>
        <v>2631.25</v>
      </c>
      <c r="AQ19" s="668">
        <f t="shared" si="4"/>
        <v>2631.25</v>
      </c>
      <c r="AR19" s="668">
        <f t="shared" si="4"/>
        <v>2631.25</v>
      </c>
      <c r="AS19" s="668"/>
      <c r="AT19" s="668"/>
      <c r="AV19" s="670">
        <f t="shared" si="5"/>
        <v>4850000</v>
      </c>
      <c r="AW19" s="670">
        <f t="shared" si="6"/>
        <v>518356.25</v>
      </c>
      <c r="AX19" s="671">
        <f t="shared" si="0"/>
        <v>0</v>
      </c>
      <c r="BA19" s="674" t="s">
        <v>505</v>
      </c>
      <c r="BB19" s="674" t="s">
        <v>506</v>
      </c>
      <c r="BC19" s="672"/>
      <c r="BD19" s="672"/>
      <c r="BE19" s="672"/>
      <c r="BF19" s="672"/>
      <c r="BG19" s="672"/>
      <c r="BH19" s="672"/>
    </row>
    <row r="20" spans="1:60">
      <c r="A20" s="664" t="s">
        <v>494</v>
      </c>
      <c r="B20" s="664"/>
      <c r="C20" s="664"/>
      <c r="D20" s="664">
        <v>1160505001</v>
      </c>
      <c r="E20" s="664">
        <v>0</v>
      </c>
      <c r="F20" s="664">
        <v>46991</v>
      </c>
      <c r="G20" s="665">
        <v>43643</v>
      </c>
      <c r="H20" s="665">
        <v>44739</v>
      </c>
      <c r="I20" s="664">
        <v>545</v>
      </c>
      <c r="J20" s="666">
        <v>309573</v>
      </c>
      <c r="K20" s="666">
        <v>31476</v>
      </c>
      <c r="L20" s="666">
        <v>0</v>
      </c>
      <c r="M20" s="664" t="s">
        <v>495</v>
      </c>
      <c r="N20" s="666">
        <v>309573</v>
      </c>
      <c r="O20" s="666">
        <v>31476</v>
      </c>
      <c r="P20" s="666">
        <v>84359</v>
      </c>
      <c r="Q20" s="664">
        <v>1</v>
      </c>
      <c r="R20" s="664" t="s">
        <v>496</v>
      </c>
      <c r="S20" s="664">
        <v>100</v>
      </c>
      <c r="T20" s="666">
        <v>309573</v>
      </c>
      <c r="U20" s="666">
        <v>31476</v>
      </c>
      <c r="V20" s="664">
        <v>100</v>
      </c>
      <c r="W20" s="666">
        <v>5896841</v>
      </c>
      <c r="X20" s="664">
        <v>2</v>
      </c>
      <c r="Y20" s="664">
        <v>1160902010</v>
      </c>
      <c r="Z20" s="664">
        <v>2023</v>
      </c>
      <c r="AA20" s="664">
        <v>12</v>
      </c>
      <c r="AB20" s="664">
        <v>5026003002</v>
      </c>
      <c r="AC20" s="664">
        <v>1160903005</v>
      </c>
      <c r="AD20" s="664">
        <v>0</v>
      </c>
      <c r="AE20" s="664">
        <v>0</v>
      </c>
      <c r="AF20" s="664">
        <v>0</v>
      </c>
      <c r="AG20" s="664">
        <v>1160605001</v>
      </c>
      <c r="AH20" s="664">
        <v>545</v>
      </c>
      <c r="AI20" s="664" t="s">
        <v>498</v>
      </c>
      <c r="AJ20" s="667">
        <v>0.1</v>
      </c>
      <c r="AK20" s="668">
        <f t="shared" si="1"/>
        <v>30957.300000000003</v>
      </c>
      <c r="AL20" s="668">
        <f t="shared" si="2"/>
        <v>30957.300000000003</v>
      </c>
      <c r="AM20" s="668">
        <f t="shared" si="2"/>
        <v>30957.300000000003</v>
      </c>
      <c r="AN20" s="668"/>
      <c r="AO20" s="668"/>
      <c r="AP20" s="668">
        <f t="shared" si="3"/>
        <v>1573.8000000000002</v>
      </c>
      <c r="AQ20" s="668">
        <f t="shared" si="4"/>
        <v>1573.8000000000002</v>
      </c>
      <c r="AR20" s="668">
        <f t="shared" si="4"/>
        <v>1573.8000000000002</v>
      </c>
      <c r="AS20" s="668"/>
      <c r="AT20" s="668"/>
      <c r="AV20" s="670">
        <f t="shared" si="5"/>
        <v>216701.10000000003</v>
      </c>
      <c r="AW20" s="670">
        <f t="shared" si="6"/>
        <v>26754.600000000002</v>
      </c>
      <c r="AX20" s="671">
        <f t="shared" si="0"/>
        <v>0</v>
      </c>
      <c r="BA20" s="675" t="s">
        <v>503</v>
      </c>
      <c r="BB20" s="676">
        <v>9.9999999999999995E-21</v>
      </c>
      <c r="BC20" s="672"/>
      <c r="BD20" s="672"/>
      <c r="BE20" s="672"/>
      <c r="BF20" s="672"/>
      <c r="BG20" s="672"/>
      <c r="BH20" s="672"/>
    </row>
    <row r="21" spans="1:60">
      <c r="A21" s="664" t="s">
        <v>494</v>
      </c>
      <c r="B21" s="664"/>
      <c r="C21" s="664"/>
      <c r="D21" s="664">
        <v>1160405001</v>
      </c>
      <c r="E21" s="664">
        <v>0</v>
      </c>
      <c r="F21" s="664">
        <v>45971</v>
      </c>
      <c r="G21" s="665">
        <v>43503</v>
      </c>
      <c r="H21" s="665">
        <v>44599</v>
      </c>
      <c r="I21" s="664">
        <v>685</v>
      </c>
      <c r="J21" s="666">
        <v>100000000</v>
      </c>
      <c r="K21" s="666">
        <v>0</v>
      </c>
      <c r="L21" s="666">
        <v>100000000</v>
      </c>
      <c r="M21" s="664" t="s">
        <v>495</v>
      </c>
      <c r="N21" s="666">
        <v>0</v>
      </c>
      <c r="O21" s="666">
        <v>0</v>
      </c>
      <c r="P21" s="666">
        <v>34250000</v>
      </c>
      <c r="Q21" s="664">
        <v>2</v>
      </c>
      <c r="R21" s="664" t="s">
        <v>496</v>
      </c>
      <c r="S21" s="664">
        <v>100</v>
      </c>
      <c r="T21" s="666">
        <v>0</v>
      </c>
      <c r="U21" s="666">
        <v>0</v>
      </c>
      <c r="V21" s="664">
        <v>100</v>
      </c>
      <c r="W21" s="666">
        <v>55252255</v>
      </c>
      <c r="X21" s="664">
        <v>2</v>
      </c>
      <c r="Y21" s="664">
        <v>1160902009</v>
      </c>
      <c r="Z21" s="664">
        <v>2023</v>
      </c>
      <c r="AA21" s="664">
        <v>12</v>
      </c>
      <c r="AB21" s="664">
        <v>5026003002</v>
      </c>
      <c r="AC21" s="664">
        <v>1160903005</v>
      </c>
      <c r="AD21" s="664">
        <v>0</v>
      </c>
      <c r="AE21" s="664">
        <v>0</v>
      </c>
      <c r="AF21" s="664">
        <v>1</v>
      </c>
      <c r="AG21" s="664">
        <v>1160605001</v>
      </c>
      <c r="AH21" s="664">
        <v>685</v>
      </c>
      <c r="AI21" s="664" t="s">
        <v>114</v>
      </c>
      <c r="AJ21" s="667">
        <v>0.5</v>
      </c>
      <c r="AK21" s="668">
        <f t="shared" si="1"/>
        <v>50000000</v>
      </c>
      <c r="AL21" s="668">
        <f t="shared" si="2"/>
        <v>50000000</v>
      </c>
      <c r="AM21" s="668"/>
      <c r="AN21" s="668"/>
      <c r="AO21" s="668"/>
      <c r="AP21" s="668">
        <f t="shared" si="3"/>
        <v>0</v>
      </c>
      <c r="AQ21" s="668">
        <f t="shared" si="4"/>
        <v>0</v>
      </c>
      <c r="AR21" s="668">
        <f t="shared" si="4"/>
        <v>0</v>
      </c>
      <c r="AS21" s="668"/>
      <c r="AT21" s="668"/>
      <c r="AV21" s="670">
        <f t="shared" si="5"/>
        <v>0</v>
      </c>
      <c r="AW21" s="670">
        <f t="shared" si="6"/>
        <v>0</v>
      </c>
      <c r="AX21" s="671">
        <f t="shared" si="0"/>
        <v>100000000</v>
      </c>
      <c r="AY21" s="671">
        <f>+AX21-L21</f>
        <v>0</v>
      </c>
      <c r="BA21" s="675" t="s">
        <v>114</v>
      </c>
      <c r="BB21" s="676">
        <v>0.5</v>
      </c>
      <c r="BC21" s="672"/>
      <c r="BD21" s="672"/>
      <c r="BE21" s="672"/>
      <c r="BF21" s="672"/>
      <c r="BG21" s="672"/>
      <c r="BH21" s="672"/>
    </row>
    <row r="22" spans="1:60">
      <c r="A22" s="664" t="s">
        <v>494</v>
      </c>
      <c r="B22" s="664"/>
      <c r="C22" s="664"/>
      <c r="D22" s="664">
        <v>1160505001</v>
      </c>
      <c r="E22" s="664">
        <v>0</v>
      </c>
      <c r="F22" s="664">
        <v>46556</v>
      </c>
      <c r="G22" s="665">
        <v>43563</v>
      </c>
      <c r="H22" s="665">
        <v>44294</v>
      </c>
      <c r="I22" s="664">
        <v>984</v>
      </c>
      <c r="J22" s="666">
        <v>700000</v>
      </c>
      <c r="K22" s="666">
        <v>0</v>
      </c>
      <c r="L22" s="666">
        <v>0</v>
      </c>
      <c r="M22" s="664" t="s">
        <v>495</v>
      </c>
      <c r="N22" s="666">
        <v>700000</v>
      </c>
      <c r="O22" s="666">
        <v>0</v>
      </c>
      <c r="P22" s="666">
        <v>344400</v>
      </c>
      <c r="Q22" s="664">
        <v>1</v>
      </c>
      <c r="R22" s="664" t="s">
        <v>496</v>
      </c>
      <c r="S22" s="664">
        <v>100</v>
      </c>
      <c r="T22" s="666">
        <v>700000</v>
      </c>
      <c r="U22" s="666">
        <v>0</v>
      </c>
      <c r="V22" s="664">
        <v>400</v>
      </c>
      <c r="W22" s="666">
        <v>5845013.4000000004</v>
      </c>
      <c r="X22" s="664">
        <v>2</v>
      </c>
      <c r="Y22" s="664">
        <v>1160902010</v>
      </c>
      <c r="Z22" s="664">
        <v>2023</v>
      </c>
      <c r="AA22" s="664">
        <v>12</v>
      </c>
      <c r="AB22" s="664">
        <v>5026003002</v>
      </c>
      <c r="AC22" s="664">
        <v>1160903005</v>
      </c>
      <c r="AD22" s="664">
        <v>0</v>
      </c>
      <c r="AE22" s="664">
        <v>0</v>
      </c>
      <c r="AF22" s="664">
        <v>0</v>
      </c>
      <c r="AG22" s="664">
        <v>1160605001</v>
      </c>
      <c r="AH22" s="664">
        <v>984</v>
      </c>
      <c r="AI22" s="664" t="s">
        <v>499</v>
      </c>
      <c r="AJ22" s="667">
        <v>0.05</v>
      </c>
      <c r="AK22" s="668">
        <f t="shared" si="1"/>
        <v>35000</v>
      </c>
      <c r="AL22" s="668">
        <f t="shared" si="2"/>
        <v>35000</v>
      </c>
      <c r="AM22" s="668">
        <f t="shared" si="2"/>
        <v>35000</v>
      </c>
      <c r="AN22" s="668"/>
      <c r="AO22" s="668"/>
      <c r="AP22" s="668">
        <f t="shared" si="3"/>
        <v>0</v>
      </c>
      <c r="AQ22" s="668">
        <f t="shared" si="4"/>
        <v>0</v>
      </c>
      <c r="AR22" s="668">
        <f t="shared" si="4"/>
        <v>0</v>
      </c>
      <c r="AS22" s="668"/>
      <c r="AT22" s="668"/>
      <c r="AV22" s="670">
        <f t="shared" si="5"/>
        <v>595000</v>
      </c>
      <c r="AW22" s="670">
        <f t="shared" si="6"/>
        <v>0</v>
      </c>
      <c r="AX22" s="671">
        <f t="shared" si="0"/>
        <v>0</v>
      </c>
      <c r="BA22" s="675" t="s">
        <v>507</v>
      </c>
      <c r="BB22" s="677">
        <v>0.3</v>
      </c>
      <c r="BC22" s="672"/>
      <c r="BD22" s="672"/>
      <c r="BE22" s="672"/>
      <c r="BF22" s="672"/>
      <c r="BG22" s="672"/>
      <c r="BH22" s="672"/>
    </row>
    <row r="23" spans="1:60">
      <c r="A23" s="664" t="s">
        <v>494</v>
      </c>
      <c r="B23" s="664"/>
      <c r="C23" s="664"/>
      <c r="D23" s="664">
        <v>1160505004</v>
      </c>
      <c r="E23" s="664">
        <v>43875</v>
      </c>
      <c r="F23" s="664">
        <v>46149</v>
      </c>
      <c r="G23" s="665">
        <v>43518</v>
      </c>
      <c r="H23" s="665">
        <v>44614</v>
      </c>
      <c r="I23" s="664">
        <v>670</v>
      </c>
      <c r="J23" s="666">
        <v>17550000</v>
      </c>
      <c r="K23" s="666">
        <v>6318000</v>
      </c>
      <c r="L23" s="666">
        <v>0</v>
      </c>
      <c r="M23" s="664" t="s">
        <v>495</v>
      </c>
      <c r="N23" s="666">
        <v>17550000</v>
      </c>
      <c r="O23" s="666">
        <v>6318000</v>
      </c>
      <c r="P23" s="666">
        <v>5879250</v>
      </c>
      <c r="Q23" s="664">
        <v>1</v>
      </c>
      <c r="R23" s="664" t="s">
        <v>496</v>
      </c>
      <c r="S23" s="664">
        <v>100</v>
      </c>
      <c r="T23" s="666">
        <v>17550000</v>
      </c>
      <c r="U23" s="666">
        <v>6318000</v>
      </c>
      <c r="V23" s="664">
        <v>100</v>
      </c>
      <c r="W23" s="666">
        <v>17010243.600000001</v>
      </c>
      <c r="X23" s="664">
        <v>5</v>
      </c>
      <c r="Y23" s="664">
        <v>1160902010</v>
      </c>
      <c r="Z23" s="664">
        <v>2023</v>
      </c>
      <c r="AA23" s="664">
        <v>12</v>
      </c>
      <c r="AB23" s="664">
        <v>5026003002</v>
      </c>
      <c r="AC23" s="664">
        <v>1160903005</v>
      </c>
      <c r="AD23" s="664">
        <v>0</v>
      </c>
      <c r="AE23" s="664">
        <v>0</v>
      </c>
      <c r="AF23" s="664">
        <v>0</v>
      </c>
      <c r="AG23" s="664">
        <v>1160605001</v>
      </c>
      <c r="AH23" s="664">
        <v>670</v>
      </c>
      <c r="AI23" s="664" t="s">
        <v>498</v>
      </c>
      <c r="AJ23" s="667">
        <v>0.1</v>
      </c>
      <c r="AK23" s="668">
        <f t="shared" si="1"/>
        <v>1755000</v>
      </c>
      <c r="AL23" s="668">
        <f t="shared" si="2"/>
        <v>1755000</v>
      </c>
      <c r="AM23" s="668">
        <f t="shared" si="2"/>
        <v>1755000</v>
      </c>
      <c r="AN23" s="668"/>
      <c r="AO23" s="668"/>
      <c r="AP23" s="668">
        <f t="shared" si="3"/>
        <v>315900</v>
      </c>
      <c r="AQ23" s="668">
        <f t="shared" si="4"/>
        <v>315900</v>
      </c>
      <c r="AR23" s="668">
        <f t="shared" si="4"/>
        <v>315900</v>
      </c>
      <c r="AS23" s="668"/>
      <c r="AT23" s="668"/>
      <c r="AV23" s="670">
        <f t="shared" si="5"/>
        <v>12285000</v>
      </c>
      <c r="AW23" s="670">
        <f t="shared" si="6"/>
        <v>5370300</v>
      </c>
      <c r="AX23" s="671">
        <f t="shared" si="0"/>
        <v>0</v>
      </c>
      <c r="BA23" s="675" t="s">
        <v>508</v>
      </c>
      <c r="BB23" s="677">
        <v>0.1</v>
      </c>
      <c r="BC23" s="672"/>
      <c r="BD23" s="672"/>
      <c r="BE23" s="672"/>
      <c r="BF23" s="672"/>
      <c r="BG23" s="672"/>
      <c r="BH23" s="672"/>
    </row>
    <row r="24" spans="1:60">
      <c r="A24" s="664" t="s">
        <v>494</v>
      </c>
      <c r="B24" s="664"/>
      <c r="C24" s="664"/>
      <c r="D24" s="664">
        <v>1160505004</v>
      </c>
      <c r="E24" s="664">
        <v>0</v>
      </c>
      <c r="F24" s="664">
        <v>43086</v>
      </c>
      <c r="G24" s="665">
        <v>43518</v>
      </c>
      <c r="H24" s="665">
        <v>44614</v>
      </c>
      <c r="I24" s="664">
        <v>670</v>
      </c>
      <c r="J24" s="666">
        <v>0</v>
      </c>
      <c r="K24" s="666">
        <v>2990916</v>
      </c>
      <c r="L24" s="666">
        <v>0</v>
      </c>
      <c r="M24" s="664" t="s">
        <v>495</v>
      </c>
      <c r="N24" s="666">
        <v>0</v>
      </c>
      <c r="O24" s="666">
        <v>2990916</v>
      </c>
      <c r="P24" s="666">
        <v>0</v>
      </c>
      <c r="Q24" s="664">
        <v>1</v>
      </c>
      <c r="R24" s="664" t="s">
        <v>496</v>
      </c>
      <c r="S24" s="664">
        <v>100</v>
      </c>
      <c r="T24" s="666">
        <v>0</v>
      </c>
      <c r="U24" s="666">
        <v>2990916</v>
      </c>
      <c r="V24" s="664">
        <v>100</v>
      </c>
      <c r="W24" s="666">
        <v>17010243.600000001</v>
      </c>
      <c r="X24" s="664">
        <v>5</v>
      </c>
      <c r="Y24" s="664">
        <v>1160902010</v>
      </c>
      <c r="Z24" s="664">
        <v>2023</v>
      </c>
      <c r="AA24" s="664">
        <v>12</v>
      </c>
      <c r="AB24" s="664">
        <v>5026003002</v>
      </c>
      <c r="AC24" s="664">
        <v>1160903005</v>
      </c>
      <c r="AD24" s="664">
        <v>0</v>
      </c>
      <c r="AE24" s="664">
        <v>0</v>
      </c>
      <c r="AF24" s="664">
        <v>0</v>
      </c>
      <c r="AG24" s="664">
        <v>1160605001</v>
      </c>
      <c r="AH24" s="664">
        <v>670</v>
      </c>
      <c r="AI24" s="664" t="s">
        <v>498</v>
      </c>
      <c r="AJ24" s="667">
        <v>0.1</v>
      </c>
      <c r="AK24" s="668">
        <f t="shared" si="1"/>
        <v>0</v>
      </c>
      <c r="AL24" s="668">
        <f t="shared" si="2"/>
        <v>0</v>
      </c>
      <c r="AM24" s="668">
        <f t="shared" si="2"/>
        <v>0</v>
      </c>
      <c r="AN24" s="668"/>
      <c r="AO24" s="668"/>
      <c r="AP24" s="668">
        <f t="shared" si="3"/>
        <v>149545.80000000002</v>
      </c>
      <c r="AQ24" s="668">
        <f t="shared" si="4"/>
        <v>149545.80000000002</v>
      </c>
      <c r="AR24" s="668">
        <f t="shared" si="4"/>
        <v>149545.80000000002</v>
      </c>
      <c r="AS24" s="668"/>
      <c r="AT24" s="668"/>
      <c r="AV24" s="670">
        <f t="shared" si="5"/>
        <v>0</v>
      </c>
      <c r="AW24" s="670">
        <f t="shared" si="6"/>
        <v>2542278.6000000006</v>
      </c>
      <c r="AX24" s="671">
        <f t="shared" si="0"/>
        <v>0</v>
      </c>
      <c r="BA24" s="675" t="s">
        <v>509</v>
      </c>
      <c r="BB24" s="677">
        <v>0.05</v>
      </c>
      <c r="BC24" s="672"/>
      <c r="BD24" s="672"/>
      <c r="BE24" s="672"/>
      <c r="BF24" s="672"/>
      <c r="BG24" s="672"/>
      <c r="BH24" s="672"/>
    </row>
    <row r="25" spans="1:60">
      <c r="A25" s="664" t="s">
        <v>494</v>
      </c>
      <c r="B25" s="664"/>
      <c r="C25" s="664"/>
      <c r="D25" s="664">
        <v>1160505001</v>
      </c>
      <c r="E25" s="664">
        <v>0</v>
      </c>
      <c r="F25" s="664">
        <v>44075</v>
      </c>
      <c r="G25" s="665">
        <v>43182</v>
      </c>
      <c r="H25" s="665">
        <v>43913</v>
      </c>
      <c r="I25" s="664">
        <v>1359</v>
      </c>
      <c r="J25" s="666">
        <v>4000000</v>
      </c>
      <c r="K25" s="666">
        <v>506000</v>
      </c>
      <c r="L25" s="666">
        <v>0</v>
      </c>
      <c r="M25" s="664" t="s">
        <v>495</v>
      </c>
      <c r="N25" s="666">
        <v>4000000</v>
      </c>
      <c r="O25" s="666">
        <v>506000</v>
      </c>
      <c r="P25" s="666">
        <v>2718000</v>
      </c>
      <c r="Q25" s="664">
        <v>1</v>
      </c>
      <c r="R25" s="664" t="s">
        <v>496</v>
      </c>
      <c r="S25" s="664">
        <v>100</v>
      </c>
      <c r="T25" s="666">
        <v>4000000</v>
      </c>
      <c r="U25" s="666">
        <v>506000</v>
      </c>
      <c r="V25" s="664">
        <v>100</v>
      </c>
      <c r="W25" s="666">
        <v>2381667</v>
      </c>
      <c r="X25" s="664">
        <v>2</v>
      </c>
      <c r="Y25" s="664">
        <v>1160902010</v>
      </c>
      <c r="Z25" s="664">
        <v>2023</v>
      </c>
      <c r="AA25" s="664">
        <v>12</v>
      </c>
      <c r="AB25" s="664">
        <v>5026003002</v>
      </c>
      <c r="AC25" s="664">
        <v>1160903005</v>
      </c>
      <c r="AD25" s="664">
        <v>0</v>
      </c>
      <c r="AE25" s="664">
        <v>0</v>
      </c>
      <c r="AF25" s="664">
        <v>0</v>
      </c>
      <c r="AG25" s="664">
        <v>1160605001</v>
      </c>
      <c r="AH25" s="664">
        <v>1359</v>
      </c>
      <c r="AI25" s="664" t="s">
        <v>497</v>
      </c>
      <c r="AJ25" s="667">
        <v>0.01</v>
      </c>
      <c r="AK25" s="668">
        <f t="shared" si="1"/>
        <v>40000</v>
      </c>
      <c r="AL25" s="668">
        <f t="shared" si="2"/>
        <v>40000</v>
      </c>
      <c r="AM25" s="668">
        <f t="shared" si="2"/>
        <v>40000</v>
      </c>
      <c r="AN25" s="668"/>
      <c r="AO25" s="668"/>
      <c r="AP25" s="668">
        <f t="shared" si="3"/>
        <v>2530</v>
      </c>
      <c r="AQ25" s="668">
        <f t="shared" si="4"/>
        <v>2530</v>
      </c>
      <c r="AR25" s="668">
        <f t="shared" si="4"/>
        <v>2530</v>
      </c>
      <c r="AS25" s="668"/>
      <c r="AT25" s="668"/>
      <c r="AV25" s="670">
        <f t="shared" si="5"/>
        <v>3880000</v>
      </c>
      <c r="AW25" s="670">
        <f t="shared" si="6"/>
        <v>498410</v>
      </c>
      <c r="AX25" s="671">
        <f t="shared" si="0"/>
        <v>0</v>
      </c>
      <c r="BA25" s="675" t="s">
        <v>510</v>
      </c>
      <c r="BB25" s="677">
        <v>0.01</v>
      </c>
      <c r="BC25" s="672"/>
      <c r="BD25" s="672"/>
      <c r="BE25" s="672"/>
      <c r="BF25" s="672"/>
      <c r="BG25" s="672"/>
      <c r="BH25" s="672"/>
    </row>
    <row r="26" spans="1:60">
      <c r="A26" s="664" t="s">
        <v>494</v>
      </c>
      <c r="B26" s="664"/>
      <c r="C26" s="664"/>
      <c r="D26" s="664">
        <v>1160505001</v>
      </c>
      <c r="E26" s="664">
        <v>0</v>
      </c>
      <c r="F26" s="664">
        <v>46488</v>
      </c>
      <c r="G26" s="665">
        <v>43554</v>
      </c>
      <c r="H26" s="665">
        <v>44650</v>
      </c>
      <c r="I26" s="664">
        <v>632</v>
      </c>
      <c r="J26" s="666">
        <v>14998200</v>
      </c>
      <c r="K26" s="666">
        <v>2407222</v>
      </c>
      <c r="L26" s="666">
        <v>0</v>
      </c>
      <c r="M26" s="664" t="s">
        <v>495</v>
      </c>
      <c r="N26" s="666">
        <v>14998200</v>
      </c>
      <c r="O26" s="666">
        <v>2407222</v>
      </c>
      <c r="P26" s="666">
        <v>4739431</v>
      </c>
      <c r="Q26" s="664">
        <v>1</v>
      </c>
      <c r="R26" s="664" t="s">
        <v>496</v>
      </c>
      <c r="S26" s="664">
        <v>100</v>
      </c>
      <c r="T26" s="666">
        <v>14998200</v>
      </c>
      <c r="U26" s="666">
        <v>2407222</v>
      </c>
      <c r="V26" s="664">
        <v>100</v>
      </c>
      <c r="W26" s="666">
        <v>9355446</v>
      </c>
      <c r="X26" s="664">
        <v>2</v>
      </c>
      <c r="Y26" s="664">
        <v>1160902010</v>
      </c>
      <c r="Z26" s="664">
        <v>2023</v>
      </c>
      <c r="AA26" s="664">
        <v>12</v>
      </c>
      <c r="AB26" s="664">
        <v>5026003002</v>
      </c>
      <c r="AC26" s="664">
        <v>1160903005</v>
      </c>
      <c r="AD26" s="664">
        <v>0</v>
      </c>
      <c r="AE26" s="664">
        <v>0</v>
      </c>
      <c r="AF26" s="664">
        <v>0</v>
      </c>
      <c r="AG26" s="664">
        <v>1160605001</v>
      </c>
      <c r="AH26" s="664">
        <v>632</v>
      </c>
      <c r="AI26" s="664" t="s">
        <v>498</v>
      </c>
      <c r="AJ26" s="667">
        <v>0.1</v>
      </c>
      <c r="AK26" s="668">
        <f t="shared" si="1"/>
        <v>1499820</v>
      </c>
      <c r="AL26" s="668">
        <f t="shared" si="2"/>
        <v>1499820</v>
      </c>
      <c r="AM26" s="668">
        <f t="shared" si="2"/>
        <v>1499820</v>
      </c>
      <c r="AN26" s="668"/>
      <c r="AO26" s="668"/>
      <c r="AP26" s="668">
        <f t="shared" si="3"/>
        <v>120361.1</v>
      </c>
      <c r="AQ26" s="668">
        <f t="shared" si="4"/>
        <v>120361.1</v>
      </c>
      <c r="AR26" s="668">
        <f t="shared" si="4"/>
        <v>120361.1</v>
      </c>
      <c r="AS26" s="668"/>
      <c r="AT26" s="668"/>
      <c r="AV26" s="670">
        <f t="shared" si="5"/>
        <v>10498740</v>
      </c>
      <c r="AW26" s="670">
        <f t="shared" si="6"/>
        <v>2046138.6999999997</v>
      </c>
      <c r="AX26" s="671">
        <f t="shared" si="0"/>
        <v>0</v>
      </c>
    </row>
    <row r="27" spans="1:60">
      <c r="A27" s="664" t="s">
        <v>494</v>
      </c>
      <c r="B27" s="664"/>
      <c r="C27" s="664"/>
      <c r="D27" s="664">
        <v>1160505001</v>
      </c>
      <c r="E27" s="664">
        <v>0</v>
      </c>
      <c r="F27" s="664">
        <v>41319</v>
      </c>
      <c r="G27" s="665">
        <v>42771</v>
      </c>
      <c r="H27" s="665">
        <v>43136</v>
      </c>
      <c r="I27" s="664">
        <v>2127</v>
      </c>
      <c r="J27" s="666">
        <v>3000000</v>
      </c>
      <c r="K27" s="666">
        <v>300000</v>
      </c>
      <c r="L27" s="666">
        <v>0</v>
      </c>
      <c r="M27" s="664" t="s">
        <v>495</v>
      </c>
      <c r="N27" s="666">
        <v>3000000</v>
      </c>
      <c r="O27" s="666">
        <v>300000</v>
      </c>
      <c r="P27" s="666">
        <v>3190500</v>
      </c>
      <c r="Q27" s="664">
        <v>1</v>
      </c>
      <c r="R27" s="664" t="s">
        <v>496</v>
      </c>
      <c r="S27" s="664">
        <v>100</v>
      </c>
      <c r="T27" s="666">
        <v>3000000</v>
      </c>
      <c r="U27" s="666">
        <v>300000</v>
      </c>
      <c r="V27" s="664">
        <v>100</v>
      </c>
      <c r="W27" s="666">
        <v>0</v>
      </c>
      <c r="X27" s="664">
        <v>2</v>
      </c>
      <c r="Y27" s="664">
        <v>1160902010</v>
      </c>
      <c r="Z27" s="664">
        <v>2023</v>
      </c>
      <c r="AA27" s="664">
        <v>12</v>
      </c>
      <c r="AB27" s="664">
        <v>5026003002</v>
      </c>
      <c r="AC27" s="664">
        <v>1160903005</v>
      </c>
      <c r="AD27" s="664">
        <v>0</v>
      </c>
      <c r="AE27" s="664">
        <v>0</v>
      </c>
      <c r="AF27" s="664">
        <v>0</v>
      </c>
      <c r="AG27" s="664">
        <v>1160605001</v>
      </c>
      <c r="AH27" s="664">
        <v>2451</v>
      </c>
      <c r="AI27" s="664" t="s">
        <v>497</v>
      </c>
      <c r="AJ27" s="667">
        <v>0.01</v>
      </c>
      <c r="AK27" s="668">
        <f t="shared" si="1"/>
        <v>30000</v>
      </c>
      <c r="AL27" s="668">
        <f t="shared" si="2"/>
        <v>30000</v>
      </c>
      <c r="AM27" s="668">
        <f t="shared" si="2"/>
        <v>30000</v>
      </c>
      <c r="AN27" s="668"/>
      <c r="AO27" s="668"/>
      <c r="AP27" s="668">
        <f t="shared" si="3"/>
        <v>1500</v>
      </c>
      <c r="AQ27" s="668">
        <f t="shared" si="4"/>
        <v>1500</v>
      </c>
      <c r="AR27" s="668">
        <f t="shared" si="4"/>
        <v>1500</v>
      </c>
      <c r="AS27" s="668"/>
      <c r="AT27" s="668"/>
      <c r="AV27" s="670">
        <f t="shared" si="5"/>
        <v>2910000</v>
      </c>
      <c r="AW27" s="670">
        <f t="shared" si="6"/>
        <v>295500</v>
      </c>
      <c r="AX27" s="671">
        <f t="shared" si="0"/>
        <v>0</v>
      </c>
    </row>
    <row r="28" spans="1:60">
      <c r="A28" s="664" t="s">
        <v>494</v>
      </c>
      <c r="B28" s="664"/>
      <c r="C28" s="664"/>
      <c r="D28" s="664">
        <v>1160505002</v>
      </c>
      <c r="E28" s="664">
        <v>0</v>
      </c>
      <c r="F28" s="664">
        <v>39485</v>
      </c>
      <c r="G28" s="665">
        <v>42440</v>
      </c>
      <c r="H28" s="665">
        <v>42805</v>
      </c>
      <c r="I28" s="664">
        <v>2451</v>
      </c>
      <c r="J28" s="666">
        <v>1558000</v>
      </c>
      <c r="K28" s="666">
        <v>0</v>
      </c>
      <c r="L28" s="666">
        <v>0</v>
      </c>
      <c r="M28" s="664" t="s">
        <v>495</v>
      </c>
      <c r="N28" s="666">
        <v>1558000</v>
      </c>
      <c r="O28" s="666">
        <v>0</v>
      </c>
      <c r="P28" s="666">
        <v>1909329</v>
      </c>
      <c r="Q28" s="664">
        <v>1</v>
      </c>
      <c r="R28" s="664" t="s">
        <v>496</v>
      </c>
      <c r="S28" s="664">
        <v>100</v>
      </c>
      <c r="T28" s="666">
        <v>1558000</v>
      </c>
      <c r="U28" s="666">
        <v>0</v>
      </c>
      <c r="V28" s="664">
        <v>100</v>
      </c>
      <c r="W28" s="666">
        <v>0</v>
      </c>
      <c r="X28" s="664">
        <v>6</v>
      </c>
      <c r="Y28" s="664">
        <v>1160902010</v>
      </c>
      <c r="Z28" s="664">
        <v>2023</v>
      </c>
      <c r="AA28" s="664">
        <v>12</v>
      </c>
      <c r="AB28" s="664">
        <v>5026003002</v>
      </c>
      <c r="AC28" s="664">
        <v>1160903005</v>
      </c>
      <c r="AD28" s="664">
        <v>0</v>
      </c>
      <c r="AE28" s="664">
        <v>0</v>
      </c>
      <c r="AF28" s="664">
        <v>0</v>
      </c>
      <c r="AG28" s="664">
        <v>1160605001</v>
      </c>
      <c r="AH28" s="664">
        <v>2451</v>
      </c>
      <c r="AI28" s="664" t="s">
        <v>497</v>
      </c>
      <c r="AJ28" s="667">
        <v>0.01</v>
      </c>
      <c r="AK28" s="668">
        <f t="shared" si="1"/>
        <v>15580</v>
      </c>
      <c r="AL28" s="668">
        <f t="shared" si="2"/>
        <v>15580</v>
      </c>
      <c r="AM28" s="668">
        <f t="shared" si="2"/>
        <v>15580</v>
      </c>
      <c r="AN28" s="668"/>
      <c r="AO28" s="668"/>
      <c r="AP28" s="668">
        <f t="shared" si="3"/>
        <v>0</v>
      </c>
      <c r="AQ28" s="668">
        <f t="shared" si="4"/>
        <v>0</v>
      </c>
      <c r="AR28" s="668">
        <f t="shared" si="4"/>
        <v>0</v>
      </c>
      <c r="AS28" s="668"/>
      <c r="AT28" s="668"/>
      <c r="AV28" s="670">
        <f t="shared" si="5"/>
        <v>1511260</v>
      </c>
      <c r="AW28" s="670">
        <f t="shared" si="6"/>
        <v>0</v>
      </c>
      <c r="AX28" s="671">
        <f t="shared" si="0"/>
        <v>0</v>
      </c>
    </row>
    <row r="29" spans="1:60">
      <c r="A29" s="664" t="s">
        <v>494</v>
      </c>
      <c r="B29" s="664"/>
      <c r="C29" s="664"/>
      <c r="D29" s="664">
        <v>1160505002</v>
      </c>
      <c r="E29" s="664">
        <v>0</v>
      </c>
      <c r="F29" s="664">
        <v>41289</v>
      </c>
      <c r="G29" s="665">
        <v>42765</v>
      </c>
      <c r="H29" s="665">
        <v>43130</v>
      </c>
      <c r="I29" s="664">
        <v>2132</v>
      </c>
      <c r="J29" s="666">
        <v>1169607</v>
      </c>
      <c r="K29" s="666">
        <v>105264</v>
      </c>
      <c r="L29" s="666">
        <v>0</v>
      </c>
      <c r="M29" s="664" t="s">
        <v>495</v>
      </c>
      <c r="N29" s="666">
        <v>1169607</v>
      </c>
      <c r="O29" s="666">
        <v>105264</v>
      </c>
      <c r="P29" s="666">
        <v>1246801</v>
      </c>
      <c r="Q29" s="664">
        <v>1</v>
      </c>
      <c r="R29" s="664" t="s">
        <v>496</v>
      </c>
      <c r="S29" s="664">
        <v>100</v>
      </c>
      <c r="T29" s="666">
        <v>1169607</v>
      </c>
      <c r="U29" s="666">
        <v>105264</v>
      </c>
      <c r="V29" s="664">
        <v>100</v>
      </c>
      <c r="W29" s="666">
        <v>0</v>
      </c>
      <c r="X29" s="664">
        <v>6</v>
      </c>
      <c r="Y29" s="664">
        <v>1160902010</v>
      </c>
      <c r="Z29" s="664">
        <v>2023</v>
      </c>
      <c r="AA29" s="664">
        <v>12</v>
      </c>
      <c r="AB29" s="664">
        <v>5026003002</v>
      </c>
      <c r="AC29" s="664">
        <v>1160903005</v>
      </c>
      <c r="AD29" s="664">
        <v>0</v>
      </c>
      <c r="AE29" s="664">
        <v>0</v>
      </c>
      <c r="AF29" s="664">
        <v>0</v>
      </c>
      <c r="AG29" s="664">
        <v>1160605001</v>
      </c>
      <c r="AH29" s="664">
        <v>2451</v>
      </c>
      <c r="AI29" s="664" t="s">
        <v>497</v>
      </c>
      <c r="AJ29" s="667">
        <v>0.01</v>
      </c>
      <c r="AK29" s="668">
        <f t="shared" si="1"/>
        <v>11696.07</v>
      </c>
      <c r="AL29" s="668">
        <f t="shared" si="2"/>
        <v>11696.07</v>
      </c>
      <c r="AM29" s="668">
        <f t="shared" si="2"/>
        <v>11696.07</v>
      </c>
      <c r="AN29" s="668"/>
      <c r="AO29" s="668"/>
      <c r="AP29" s="668">
        <f t="shared" si="3"/>
        <v>526.32000000000005</v>
      </c>
      <c r="AQ29" s="668">
        <f t="shared" si="4"/>
        <v>526.32000000000005</v>
      </c>
      <c r="AR29" s="668">
        <f t="shared" si="4"/>
        <v>526.32000000000005</v>
      </c>
      <c r="AS29" s="668"/>
      <c r="AT29" s="668"/>
      <c r="AV29" s="670">
        <f t="shared" si="5"/>
        <v>1134518.7899999998</v>
      </c>
      <c r="AW29" s="670">
        <f t="shared" si="6"/>
        <v>103685.03999999998</v>
      </c>
      <c r="AX29" s="671">
        <f t="shared" si="0"/>
        <v>0</v>
      </c>
      <c r="BA29" s="658" t="s">
        <v>226</v>
      </c>
      <c r="BB29" s="658" t="s">
        <v>227</v>
      </c>
      <c r="BC29" s="658" t="s">
        <v>228</v>
      </c>
    </row>
    <row r="30" spans="1:60">
      <c r="A30" s="664" t="s">
        <v>494</v>
      </c>
      <c r="B30" s="664"/>
      <c r="C30" s="664"/>
      <c r="D30" s="664">
        <v>1160405004</v>
      </c>
      <c r="E30" s="664">
        <v>41039</v>
      </c>
      <c r="F30" s="664">
        <v>45284</v>
      </c>
      <c r="G30" s="665">
        <v>43351</v>
      </c>
      <c r="H30" s="665">
        <v>44447</v>
      </c>
      <c r="I30" s="664">
        <v>834</v>
      </c>
      <c r="J30" s="666">
        <v>14095269</v>
      </c>
      <c r="K30" s="666">
        <v>1353148</v>
      </c>
      <c r="L30" s="666">
        <v>12685789</v>
      </c>
      <c r="M30" s="664" t="s">
        <v>495</v>
      </c>
      <c r="N30" s="666">
        <v>1409480</v>
      </c>
      <c r="O30" s="666">
        <v>1353148</v>
      </c>
      <c r="P30" s="666">
        <v>5877727</v>
      </c>
      <c r="Q30" s="664">
        <v>2</v>
      </c>
      <c r="R30" s="664" t="s">
        <v>496</v>
      </c>
      <c r="S30" s="664">
        <v>100</v>
      </c>
      <c r="T30" s="666">
        <v>1409480</v>
      </c>
      <c r="U30" s="666">
        <v>1353148</v>
      </c>
      <c r="V30" s="664">
        <v>500</v>
      </c>
      <c r="W30" s="666">
        <v>48540203</v>
      </c>
      <c r="X30" s="664">
        <v>5</v>
      </c>
      <c r="Y30" s="664">
        <v>1160902009</v>
      </c>
      <c r="Z30" s="664">
        <v>2023</v>
      </c>
      <c r="AA30" s="664">
        <v>12</v>
      </c>
      <c r="AB30" s="664">
        <v>5026003002</v>
      </c>
      <c r="AC30" s="664">
        <v>1160903005</v>
      </c>
      <c r="AD30" s="664">
        <v>0</v>
      </c>
      <c r="AE30" s="664">
        <v>0</v>
      </c>
      <c r="AF30" s="664">
        <v>1</v>
      </c>
      <c r="AG30" s="664">
        <v>1160605001</v>
      </c>
      <c r="AH30" s="664">
        <v>834</v>
      </c>
      <c r="AI30" s="664" t="s">
        <v>499</v>
      </c>
      <c r="AJ30" s="667">
        <v>0.05</v>
      </c>
      <c r="AK30" s="668">
        <f t="shared" si="1"/>
        <v>704763.45000000007</v>
      </c>
      <c r="AL30" s="668">
        <f t="shared" si="2"/>
        <v>704763.45000000007</v>
      </c>
      <c r="AM30" s="668">
        <f t="shared" si="2"/>
        <v>704763.45000000007</v>
      </c>
      <c r="AN30" s="668"/>
      <c r="AO30" s="668"/>
      <c r="AP30" s="668">
        <f t="shared" si="3"/>
        <v>33828.700000000004</v>
      </c>
      <c r="AQ30" s="668">
        <f t="shared" si="4"/>
        <v>33828.700000000004</v>
      </c>
      <c r="AR30" s="668">
        <f t="shared" si="4"/>
        <v>33828.700000000004</v>
      </c>
      <c r="AS30" s="668"/>
      <c r="AT30" s="668"/>
      <c r="AV30" s="670">
        <f t="shared" si="5"/>
        <v>11980978.650000002</v>
      </c>
      <c r="AW30" s="670">
        <f t="shared" si="6"/>
        <v>1251661.9000000001</v>
      </c>
      <c r="AX30" s="671">
        <f t="shared" si="0"/>
        <v>12685789</v>
      </c>
      <c r="AY30" s="671">
        <f>+AX30-L30</f>
        <v>0</v>
      </c>
      <c r="AZ30" s="653" t="s">
        <v>2974</v>
      </c>
      <c r="BA30" s="671">
        <f>+'R Cartera almacenes'!$F$2438</f>
        <v>75383699.11999993</v>
      </c>
      <c r="BB30" s="671">
        <f>+'R Cartera almacenes'!$F$2438</f>
        <v>75383699.11999993</v>
      </c>
      <c r="BC30" s="671">
        <f>+'R Cartera almacenes'!$F$2438</f>
        <v>75383699.11999993</v>
      </c>
    </row>
    <row r="31" spans="1:60">
      <c r="A31" s="664" t="s">
        <v>494</v>
      </c>
      <c r="B31" s="664"/>
      <c r="C31" s="664"/>
      <c r="D31" s="664">
        <v>1160405004</v>
      </c>
      <c r="E31" s="664">
        <v>0</v>
      </c>
      <c r="F31" s="664">
        <v>41039</v>
      </c>
      <c r="G31" s="665">
        <v>43351</v>
      </c>
      <c r="H31" s="665">
        <v>44447</v>
      </c>
      <c r="I31" s="664">
        <v>834</v>
      </c>
      <c r="J31" s="666">
        <v>0</v>
      </c>
      <c r="K31" s="666">
        <v>7552684</v>
      </c>
      <c r="L31" s="666">
        <v>0</v>
      </c>
      <c r="M31" s="664" t="s">
        <v>495</v>
      </c>
      <c r="N31" s="666">
        <v>0</v>
      </c>
      <c r="O31" s="666">
        <v>7552684</v>
      </c>
      <c r="P31" s="666">
        <v>0</v>
      </c>
      <c r="Q31" s="664">
        <v>2</v>
      </c>
      <c r="R31" s="664" t="s">
        <v>496</v>
      </c>
      <c r="S31" s="664">
        <v>100</v>
      </c>
      <c r="T31" s="666">
        <v>0</v>
      </c>
      <c r="U31" s="666">
        <v>7552684</v>
      </c>
      <c r="V31" s="664">
        <v>500</v>
      </c>
      <c r="W31" s="666">
        <v>48540203</v>
      </c>
      <c r="X31" s="664">
        <v>5</v>
      </c>
      <c r="Y31" s="664">
        <v>1160902009</v>
      </c>
      <c r="Z31" s="664">
        <v>2023</v>
      </c>
      <c r="AA31" s="664">
        <v>12</v>
      </c>
      <c r="AB31" s="664">
        <v>5026003002</v>
      </c>
      <c r="AC31" s="664">
        <v>1160903005</v>
      </c>
      <c r="AD31" s="664">
        <v>0</v>
      </c>
      <c r="AE31" s="664">
        <v>0</v>
      </c>
      <c r="AF31" s="664">
        <v>1</v>
      </c>
      <c r="AG31" s="664">
        <v>1160605001</v>
      </c>
      <c r="AH31" s="664">
        <v>834</v>
      </c>
      <c r="AI31" s="664" t="s">
        <v>499</v>
      </c>
      <c r="AJ31" s="667">
        <v>0.05</v>
      </c>
      <c r="AK31" s="668">
        <f t="shared" si="1"/>
        <v>0</v>
      </c>
      <c r="AL31" s="668">
        <f t="shared" si="2"/>
        <v>0</v>
      </c>
      <c r="AM31" s="668">
        <f t="shared" si="2"/>
        <v>0</v>
      </c>
      <c r="AN31" s="668"/>
      <c r="AO31" s="668"/>
      <c r="AP31" s="668">
        <f t="shared" si="3"/>
        <v>188817.1</v>
      </c>
      <c r="AQ31" s="668">
        <f t="shared" si="4"/>
        <v>188817.1</v>
      </c>
      <c r="AR31" s="668">
        <f t="shared" si="4"/>
        <v>188817.1</v>
      </c>
      <c r="AS31" s="668"/>
      <c r="AT31" s="668"/>
      <c r="AV31" s="670">
        <f t="shared" si="5"/>
        <v>0</v>
      </c>
      <c r="AW31" s="670">
        <f t="shared" si="6"/>
        <v>6986232.7000000011</v>
      </c>
      <c r="AX31" s="671">
        <f t="shared" si="0"/>
        <v>0</v>
      </c>
      <c r="AZ31" s="653" t="s">
        <v>2975</v>
      </c>
      <c r="BA31" s="671">
        <f>+AP434</f>
        <v>30873147.06999997</v>
      </c>
      <c r="BB31" s="671">
        <f t="shared" ref="BB31:BC31" si="7">+AQ434</f>
        <v>30873147.06999997</v>
      </c>
      <c r="BC31" s="671">
        <f t="shared" si="7"/>
        <v>30873147.06999997</v>
      </c>
    </row>
    <row r="32" spans="1:60">
      <c r="A32" s="664" t="s">
        <v>494</v>
      </c>
      <c r="B32" s="664"/>
      <c r="C32" s="664"/>
      <c r="D32" s="664">
        <v>1160505001</v>
      </c>
      <c r="E32" s="664">
        <v>0</v>
      </c>
      <c r="F32" s="664">
        <v>34601</v>
      </c>
      <c r="G32" s="665">
        <v>41686</v>
      </c>
      <c r="H32" s="665">
        <v>42782</v>
      </c>
      <c r="I32" s="664">
        <v>2476</v>
      </c>
      <c r="J32" s="666">
        <v>3410500</v>
      </c>
      <c r="K32" s="666">
        <v>0</v>
      </c>
      <c r="L32" s="666">
        <v>0</v>
      </c>
      <c r="M32" s="664" t="s">
        <v>495</v>
      </c>
      <c r="N32" s="666">
        <v>3410500</v>
      </c>
      <c r="O32" s="666">
        <v>0</v>
      </c>
      <c r="P32" s="666">
        <v>4222199</v>
      </c>
      <c r="Q32" s="664">
        <v>1</v>
      </c>
      <c r="R32" s="664" t="s">
        <v>496</v>
      </c>
      <c r="S32" s="664">
        <v>100</v>
      </c>
      <c r="T32" s="666">
        <v>3410500</v>
      </c>
      <c r="U32" s="666">
        <v>0</v>
      </c>
      <c r="V32" s="664">
        <v>100</v>
      </c>
      <c r="W32" s="666">
        <v>0</v>
      </c>
      <c r="X32" s="664">
        <v>2</v>
      </c>
      <c r="Y32" s="664">
        <v>1160902010</v>
      </c>
      <c r="Z32" s="664">
        <v>2023</v>
      </c>
      <c r="AA32" s="664">
        <v>12</v>
      </c>
      <c r="AB32" s="664">
        <v>5026003002</v>
      </c>
      <c r="AC32" s="664">
        <v>1160903005</v>
      </c>
      <c r="AD32" s="664">
        <v>0</v>
      </c>
      <c r="AE32" s="664">
        <v>0</v>
      </c>
      <c r="AF32" s="664">
        <v>0</v>
      </c>
      <c r="AG32" s="664">
        <v>1160605001</v>
      </c>
      <c r="AH32" s="664">
        <v>2476</v>
      </c>
      <c r="AI32" s="664" t="s">
        <v>497</v>
      </c>
      <c r="AJ32" s="667">
        <v>0.01</v>
      </c>
      <c r="AK32" s="668">
        <f t="shared" si="1"/>
        <v>34105</v>
      </c>
      <c r="AL32" s="668">
        <f t="shared" si="2"/>
        <v>34105</v>
      </c>
      <c r="AM32" s="668">
        <f t="shared" si="2"/>
        <v>34105</v>
      </c>
      <c r="AN32" s="668"/>
      <c r="AO32" s="668"/>
      <c r="AP32" s="668">
        <f t="shared" si="3"/>
        <v>0</v>
      </c>
      <c r="AQ32" s="668">
        <f t="shared" si="4"/>
        <v>0</v>
      </c>
      <c r="AR32" s="668">
        <f t="shared" si="4"/>
        <v>0</v>
      </c>
      <c r="AS32" s="668"/>
      <c r="AT32" s="668"/>
      <c r="AV32" s="670">
        <f t="shared" si="5"/>
        <v>3308185</v>
      </c>
      <c r="AW32" s="670">
        <f t="shared" si="6"/>
        <v>0</v>
      </c>
      <c r="AX32" s="671">
        <f t="shared" si="0"/>
        <v>0</v>
      </c>
      <c r="AZ32" s="691" t="s">
        <v>1</v>
      </c>
      <c r="BA32" s="692">
        <f>SUM(BA30:BA31)</f>
        <v>106256846.18999991</v>
      </c>
      <c r="BB32" s="692">
        <f t="shared" ref="BB32:BC32" si="8">SUM(BB30:BB31)</f>
        <v>106256846.18999991</v>
      </c>
      <c r="BC32" s="692">
        <f t="shared" si="8"/>
        <v>106256846.18999991</v>
      </c>
    </row>
    <row r="33" spans="1:51">
      <c r="A33" s="664" t="s">
        <v>494</v>
      </c>
      <c r="B33" s="664"/>
      <c r="C33" s="664"/>
      <c r="D33" s="664">
        <v>1160505002</v>
      </c>
      <c r="E33" s="664">
        <v>0</v>
      </c>
      <c r="F33" s="664">
        <v>43413</v>
      </c>
      <c r="G33" s="665">
        <v>43126</v>
      </c>
      <c r="H33" s="665">
        <v>43491</v>
      </c>
      <c r="I33" s="664">
        <v>1776</v>
      </c>
      <c r="J33" s="666">
        <v>1108200</v>
      </c>
      <c r="K33" s="666">
        <v>0</v>
      </c>
      <c r="L33" s="666">
        <v>0</v>
      </c>
      <c r="M33" s="664" t="s">
        <v>495</v>
      </c>
      <c r="N33" s="666">
        <v>1108200</v>
      </c>
      <c r="O33" s="666">
        <v>0</v>
      </c>
      <c r="P33" s="666">
        <v>984082</v>
      </c>
      <c r="Q33" s="664">
        <v>1</v>
      </c>
      <c r="R33" s="664" t="s">
        <v>496</v>
      </c>
      <c r="S33" s="664">
        <v>100</v>
      </c>
      <c r="T33" s="666">
        <v>1108200</v>
      </c>
      <c r="U33" s="666">
        <v>0</v>
      </c>
      <c r="V33" s="664">
        <v>100</v>
      </c>
      <c r="W33" s="666">
        <v>1464036</v>
      </c>
      <c r="X33" s="664">
        <v>6</v>
      </c>
      <c r="Y33" s="664">
        <v>1160902010</v>
      </c>
      <c r="Z33" s="664">
        <v>2023</v>
      </c>
      <c r="AA33" s="664">
        <v>12</v>
      </c>
      <c r="AB33" s="664">
        <v>5026003002</v>
      </c>
      <c r="AC33" s="664">
        <v>1160903005</v>
      </c>
      <c r="AD33" s="664">
        <v>0</v>
      </c>
      <c r="AE33" s="664">
        <v>0</v>
      </c>
      <c r="AF33" s="664">
        <v>0</v>
      </c>
      <c r="AG33" s="664">
        <v>1160605001</v>
      </c>
      <c r="AH33" s="664">
        <v>1776</v>
      </c>
      <c r="AI33" s="664" t="s">
        <v>497</v>
      </c>
      <c r="AJ33" s="667">
        <v>0.01</v>
      </c>
      <c r="AK33" s="668">
        <f t="shared" si="1"/>
        <v>11082</v>
      </c>
      <c r="AL33" s="668">
        <f t="shared" si="2"/>
        <v>11082</v>
      </c>
      <c r="AM33" s="668">
        <f t="shared" si="2"/>
        <v>11082</v>
      </c>
      <c r="AN33" s="668"/>
      <c r="AO33" s="668"/>
      <c r="AP33" s="668">
        <f t="shared" si="3"/>
        <v>0</v>
      </c>
      <c r="AQ33" s="668">
        <f t="shared" si="4"/>
        <v>0</v>
      </c>
      <c r="AR33" s="668">
        <f t="shared" si="4"/>
        <v>0</v>
      </c>
      <c r="AS33" s="668"/>
      <c r="AT33" s="668"/>
      <c r="AV33" s="670">
        <f t="shared" si="5"/>
        <v>1074954</v>
      </c>
      <c r="AW33" s="670">
        <f t="shared" si="6"/>
        <v>0</v>
      </c>
      <c r="AX33" s="671">
        <f t="shared" si="0"/>
        <v>0</v>
      </c>
    </row>
    <row r="34" spans="1:51">
      <c r="A34" s="664" t="s">
        <v>494</v>
      </c>
      <c r="B34" s="664"/>
      <c r="C34" s="664"/>
      <c r="D34" s="664">
        <v>1160505001</v>
      </c>
      <c r="E34" s="664">
        <v>0</v>
      </c>
      <c r="F34" s="664">
        <v>45615</v>
      </c>
      <c r="G34" s="665">
        <v>43463</v>
      </c>
      <c r="H34" s="665">
        <v>44559</v>
      </c>
      <c r="I34" s="664">
        <v>723</v>
      </c>
      <c r="J34" s="666">
        <v>6000000</v>
      </c>
      <c r="K34" s="666">
        <v>1784000</v>
      </c>
      <c r="L34" s="666">
        <v>0</v>
      </c>
      <c r="M34" s="664" t="s">
        <v>495</v>
      </c>
      <c r="N34" s="666">
        <v>6000000</v>
      </c>
      <c r="O34" s="666">
        <v>1784000</v>
      </c>
      <c r="P34" s="666">
        <v>2169000</v>
      </c>
      <c r="Q34" s="664">
        <v>1</v>
      </c>
      <c r="R34" s="664" t="s">
        <v>496</v>
      </c>
      <c r="S34" s="664">
        <v>100</v>
      </c>
      <c r="T34" s="666">
        <v>6000000</v>
      </c>
      <c r="U34" s="666">
        <v>1784000</v>
      </c>
      <c r="V34" s="664">
        <v>100</v>
      </c>
      <c r="W34" s="666">
        <v>1819442</v>
      </c>
      <c r="X34" s="664">
        <v>2</v>
      </c>
      <c r="Y34" s="664">
        <v>1160902010</v>
      </c>
      <c r="Z34" s="664">
        <v>2023</v>
      </c>
      <c r="AA34" s="664">
        <v>12</v>
      </c>
      <c r="AB34" s="664">
        <v>5026003002</v>
      </c>
      <c r="AC34" s="664">
        <v>1160903005</v>
      </c>
      <c r="AD34" s="664">
        <v>0</v>
      </c>
      <c r="AE34" s="664">
        <v>0</v>
      </c>
      <c r="AF34" s="664">
        <v>0</v>
      </c>
      <c r="AG34" s="664">
        <v>1160605001</v>
      </c>
      <c r="AH34" s="664">
        <v>723</v>
      </c>
      <c r="AI34" s="664" t="s">
        <v>499</v>
      </c>
      <c r="AJ34" s="667">
        <v>0.05</v>
      </c>
      <c r="AK34" s="668">
        <f t="shared" si="1"/>
        <v>300000</v>
      </c>
      <c r="AL34" s="668">
        <f t="shared" si="2"/>
        <v>300000</v>
      </c>
      <c r="AM34" s="668">
        <f t="shared" si="2"/>
        <v>300000</v>
      </c>
      <c r="AN34" s="668"/>
      <c r="AO34" s="668"/>
      <c r="AP34" s="668">
        <f t="shared" si="3"/>
        <v>44600</v>
      </c>
      <c r="AQ34" s="668">
        <f t="shared" si="4"/>
        <v>44600</v>
      </c>
      <c r="AR34" s="668">
        <f t="shared" si="4"/>
        <v>44600</v>
      </c>
      <c r="AS34" s="668"/>
      <c r="AT34" s="668"/>
      <c r="AV34" s="670">
        <f t="shared" si="5"/>
        <v>5100000</v>
      </c>
      <c r="AW34" s="670">
        <f t="shared" si="6"/>
        <v>1650200</v>
      </c>
      <c r="AX34" s="671">
        <f t="shared" si="0"/>
        <v>0</v>
      </c>
    </row>
    <row r="35" spans="1:51">
      <c r="A35" s="664" t="s">
        <v>494</v>
      </c>
      <c r="B35" s="664"/>
      <c r="C35" s="664"/>
      <c r="D35" s="664">
        <v>1160505001</v>
      </c>
      <c r="E35" s="664">
        <v>0</v>
      </c>
      <c r="F35" s="664">
        <v>46100</v>
      </c>
      <c r="G35" s="665">
        <v>43513</v>
      </c>
      <c r="H35" s="665">
        <v>44609</v>
      </c>
      <c r="I35" s="664">
        <v>675</v>
      </c>
      <c r="J35" s="666">
        <v>6000000</v>
      </c>
      <c r="K35" s="666">
        <v>2700000</v>
      </c>
      <c r="L35" s="666">
        <v>0</v>
      </c>
      <c r="M35" s="664" t="s">
        <v>495</v>
      </c>
      <c r="N35" s="666">
        <v>6000000</v>
      </c>
      <c r="O35" s="666">
        <v>2700000</v>
      </c>
      <c r="P35" s="666">
        <v>2025000</v>
      </c>
      <c r="Q35" s="664">
        <v>1</v>
      </c>
      <c r="R35" s="664" t="s">
        <v>496</v>
      </c>
      <c r="S35" s="664">
        <v>100</v>
      </c>
      <c r="T35" s="666">
        <v>6000000</v>
      </c>
      <c r="U35" s="666">
        <v>2700000</v>
      </c>
      <c r="V35" s="664">
        <v>100</v>
      </c>
      <c r="W35" s="666">
        <v>3054794</v>
      </c>
      <c r="X35" s="664">
        <v>2</v>
      </c>
      <c r="Y35" s="664">
        <v>1160902010</v>
      </c>
      <c r="Z35" s="664">
        <v>2023</v>
      </c>
      <c r="AA35" s="664">
        <v>12</v>
      </c>
      <c r="AB35" s="664">
        <v>5026003002</v>
      </c>
      <c r="AC35" s="664">
        <v>1160903005</v>
      </c>
      <c r="AD35" s="664">
        <v>0</v>
      </c>
      <c r="AE35" s="664">
        <v>0</v>
      </c>
      <c r="AF35" s="664">
        <v>0</v>
      </c>
      <c r="AG35" s="664">
        <v>1160605001</v>
      </c>
      <c r="AH35" s="664">
        <v>675</v>
      </c>
      <c r="AI35" s="664" t="s">
        <v>498</v>
      </c>
      <c r="AJ35" s="667">
        <v>0.1</v>
      </c>
      <c r="AK35" s="668">
        <f t="shared" si="1"/>
        <v>600000</v>
      </c>
      <c r="AL35" s="668">
        <f t="shared" si="2"/>
        <v>600000</v>
      </c>
      <c r="AM35" s="668">
        <f t="shared" si="2"/>
        <v>600000</v>
      </c>
      <c r="AN35" s="668"/>
      <c r="AO35" s="668"/>
      <c r="AP35" s="668">
        <f t="shared" si="3"/>
        <v>135000</v>
      </c>
      <c r="AQ35" s="668">
        <f t="shared" si="4"/>
        <v>135000</v>
      </c>
      <c r="AR35" s="668">
        <f t="shared" si="4"/>
        <v>135000</v>
      </c>
      <c r="AS35" s="668"/>
      <c r="AT35" s="668"/>
      <c r="AV35" s="670">
        <f t="shared" si="5"/>
        <v>4200000</v>
      </c>
      <c r="AW35" s="670">
        <f t="shared" si="6"/>
        <v>2295000</v>
      </c>
      <c r="AX35" s="671">
        <f t="shared" si="0"/>
        <v>0</v>
      </c>
    </row>
    <row r="36" spans="1:51">
      <c r="A36" s="664" t="s">
        <v>494</v>
      </c>
      <c r="B36" s="664"/>
      <c r="C36" s="664"/>
      <c r="D36" s="664">
        <v>1160505004</v>
      </c>
      <c r="E36" s="664">
        <v>43736</v>
      </c>
      <c r="F36" s="664">
        <v>47120</v>
      </c>
      <c r="G36" s="665">
        <v>43664</v>
      </c>
      <c r="H36" s="665">
        <v>44760</v>
      </c>
      <c r="I36" s="664">
        <v>524</v>
      </c>
      <c r="J36" s="666">
        <v>16500000</v>
      </c>
      <c r="K36" s="666">
        <v>8910000</v>
      </c>
      <c r="L36" s="666">
        <v>0</v>
      </c>
      <c r="M36" s="664" t="s">
        <v>495</v>
      </c>
      <c r="N36" s="666">
        <v>16500000</v>
      </c>
      <c r="O36" s="666">
        <v>8910000</v>
      </c>
      <c r="P36" s="666">
        <v>4323000</v>
      </c>
      <c r="Q36" s="664">
        <v>1</v>
      </c>
      <c r="R36" s="664" t="s">
        <v>496</v>
      </c>
      <c r="S36" s="664">
        <v>100</v>
      </c>
      <c r="T36" s="666">
        <v>16500000</v>
      </c>
      <c r="U36" s="666">
        <v>8910000</v>
      </c>
      <c r="V36" s="664">
        <v>100</v>
      </c>
      <c r="W36" s="666">
        <v>4542282</v>
      </c>
      <c r="X36" s="664">
        <v>5</v>
      </c>
      <c r="Y36" s="664">
        <v>1160902010</v>
      </c>
      <c r="Z36" s="664">
        <v>2023</v>
      </c>
      <c r="AA36" s="664">
        <v>12</v>
      </c>
      <c r="AB36" s="664">
        <v>5026003002</v>
      </c>
      <c r="AC36" s="664">
        <v>1160903005</v>
      </c>
      <c r="AD36" s="664">
        <v>0</v>
      </c>
      <c r="AE36" s="664">
        <v>0</v>
      </c>
      <c r="AF36" s="664">
        <v>0</v>
      </c>
      <c r="AG36" s="664">
        <v>1160605001</v>
      </c>
      <c r="AH36" s="664">
        <v>524</v>
      </c>
      <c r="AI36" s="664" t="s">
        <v>498</v>
      </c>
      <c r="AJ36" s="667">
        <v>0.1</v>
      </c>
      <c r="AK36" s="668">
        <f t="shared" si="1"/>
        <v>1650000</v>
      </c>
      <c r="AL36" s="668">
        <f t="shared" si="2"/>
        <v>1650000</v>
      </c>
      <c r="AM36" s="668">
        <f t="shared" si="2"/>
        <v>1650000</v>
      </c>
      <c r="AN36" s="668"/>
      <c r="AO36" s="668"/>
      <c r="AP36" s="668">
        <f t="shared" si="3"/>
        <v>445500</v>
      </c>
      <c r="AQ36" s="668">
        <f t="shared" si="4"/>
        <v>445500</v>
      </c>
      <c r="AR36" s="668">
        <f t="shared" si="4"/>
        <v>445500</v>
      </c>
      <c r="AS36" s="668"/>
      <c r="AT36" s="668"/>
      <c r="AV36" s="670">
        <f t="shared" si="5"/>
        <v>11550000</v>
      </c>
      <c r="AW36" s="670">
        <f t="shared" si="6"/>
        <v>7573500</v>
      </c>
      <c r="AX36" s="671">
        <f t="shared" si="0"/>
        <v>0</v>
      </c>
    </row>
    <row r="37" spans="1:51">
      <c r="A37" s="664" t="s">
        <v>494</v>
      </c>
      <c r="B37" s="664"/>
      <c r="C37" s="664"/>
      <c r="D37" s="664">
        <v>1160505004</v>
      </c>
      <c r="E37" s="664">
        <v>0</v>
      </c>
      <c r="F37" s="664">
        <v>43661</v>
      </c>
      <c r="G37" s="665">
        <v>43664</v>
      </c>
      <c r="H37" s="665">
        <v>44760</v>
      </c>
      <c r="I37" s="664">
        <v>524</v>
      </c>
      <c r="J37" s="666">
        <v>0</v>
      </c>
      <c r="K37" s="666">
        <v>3984470</v>
      </c>
      <c r="L37" s="666">
        <v>0</v>
      </c>
      <c r="M37" s="664" t="s">
        <v>495</v>
      </c>
      <c r="N37" s="666">
        <v>0</v>
      </c>
      <c r="O37" s="666">
        <v>3984470</v>
      </c>
      <c r="P37" s="666">
        <v>0</v>
      </c>
      <c r="Q37" s="664">
        <v>1</v>
      </c>
      <c r="R37" s="664" t="s">
        <v>496</v>
      </c>
      <c r="S37" s="664">
        <v>100</v>
      </c>
      <c r="T37" s="666">
        <v>0</v>
      </c>
      <c r="U37" s="666">
        <v>3984470</v>
      </c>
      <c r="V37" s="664">
        <v>100</v>
      </c>
      <c r="W37" s="666">
        <v>4542282</v>
      </c>
      <c r="X37" s="664">
        <v>5</v>
      </c>
      <c r="Y37" s="664">
        <v>1160902010</v>
      </c>
      <c r="Z37" s="664">
        <v>2023</v>
      </c>
      <c r="AA37" s="664">
        <v>12</v>
      </c>
      <c r="AB37" s="664">
        <v>5026003002</v>
      </c>
      <c r="AC37" s="664">
        <v>1160903005</v>
      </c>
      <c r="AD37" s="664">
        <v>0</v>
      </c>
      <c r="AE37" s="664">
        <v>0</v>
      </c>
      <c r="AF37" s="664">
        <v>0</v>
      </c>
      <c r="AG37" s="664">
        <v>1160605001</v>
      </c>
      <c r="AH37" s="664">
        <v>524</v>
      </c>
      <c r="AI37" s="664" t="s">
        <v>498</v>
      </c>
      <c r="AJ37" s="667">
        <v>0.1</v>
      </c>
      <c r="AK37" s="668">
        <f t="shared" si="1"/>
        <v>0</v>
      </c>
      <c r="AL37" s="668">
        <f t="shared" si="2"/>
        <v>0</v>
      </c>
      <c r="AM37" s="668">
        <f t="shared" si="2"/>
        <v>0</v>
      </c>
      <c r="AN37" s="668"/>
      <c r="AO37" s="668"/>
      <c r="AP37" s="668">
        <f t="shared" si="3"/>
        <v>199223.5</v>
      </c>
      <c r="AQ37" s="668">
        <f t="shared" si="4"/>
        <v>199223.5</v>
      </c>
      <c r="AR37" s="668">
        <f t="shared" si="4"/>
        <v>199223.5</v>
      </c>
      <c r="AS37" s="668"/>
      <c r="AT37" s="668"/>
      <c r="AV37" s="670">
        <f t="shared" si="5"/>
        <v>0</v>
      </c>
      <c r="AW37" s="670">
        <f t="shared" si="6"/>
        <v>3386799.5</v>
      </c>
      <c r="AX37" s="671">
        <f t="shared" si="0"/>
        <v>0</v>
      </c>
    </row>
    <row r="38" spans="1:51">
      <c r="A38" s="664" t="s">
        <v>494</v>
      </c>
      <c r="B38" s="664"/>
      <c r="C38" s="664"/>
      <c r="D38" s="664">
        <v>1160405004</v>
      </c>
      <c r="E38" s="664">
        <v>43876</v>
      </c>
      <c r="F38" s="664">
        <v>46513</v>
      </c>
      <c r="G38" s="665">
        <v>43555</v>
      </c>
      <c r="H38" s="665">
        <v>44651</v>
      </c>
      <c r="I38" s="664">
        <v>632</v>
      </c>
      <c r="J38" s="666">
        <v>236817411</v>
      </c>
      <c r="K38" s="666">
        <v>36785636</v>
      </c>
      <c r="L38" s="666">
        <v>823453750</v>
      </c>
      <c r="M38" s="664" t="s">
        <v>495</v>
      </c>
      <c r="N38" s="666">
        <v>0</v>
      </c>
      <c r="O38" s="666">
        <v>36785636</v>
      </c>
      <c r="P38" s="666">
        <v>74834302</v>
      </c>
      <c r="Q38" s="664">
        <v>2</v>
      </c>
      <c r="R38" s="664" t="s">
        <v>496</v>
      </c>
      <c r="S38" s="664">
        <v>100</v>
      </c>
      <c r="T38" s="666">
        <v>0</v>
      </c>
      <c r="U38" s="666">
        <v>36785636</v>
      </c>
      <c r="V38" s="664">
        <v>100</v>
      </c>
      <c r="W38" s="666">
        <v>40742607</v>
      </c>
      <c r="X38" s="664">
        <v>5</v>
      </c>
      <c r="Y38" s="664">
        <v>1160902009</v>
      </c>
      <c r="Z38" s="664">
        <v>2023</v>
      </c>
      <c r="AA38" s="664">
        <v>12</v>
      </c>
      <c r="AB38" s="664">
        <v>5026003002</v>
      </c>
      <c r="AC38" s="664">
        <v>1160903005</v>
      </c>
      <c r="AD38" s="664">
        <v>0</v>
      </c>
      <c r="AE38" s="664">
        <v>0</v>
      </c>
      <c r="AF38" s="664">
        <v>1</v>
      </c>
      <c r="AG38" s="664">
        <v>1160605001</v>
      </c>
      <c r="AH38" s="664">
        <v>632</v>
      </c>
      <c r="AI38" s="664" t="s">
        <v>498</v>
      </c>
      <c r="AJ38" s="667">
        <v>0.1</v>
      </c>
      <c r="AK38" s="668">
        <f t="shared" si="1"/>
        <v>23681741.100000001</v>
      </c>
      <c r="AL38" s="668">
        <f t="shared" si="2"/>
        <v>23681741.100000001</v>
      </c>
      <c r="AM38" s="668">
        <f t="shared" si="2"/>
        <v>23681741.100000001</v>
      </c>
      <c r="AN38" s="668"/>
      <c r="AO38" s="668"/>
      <c r="AP38" s="668">
        <f t="shared" si="3"/>
        <v>1839281.8</v>
      </c>
      <c r="AQ38" s="668">
        <f t="shared" si="4"/>
        <v>1839281.8</v>
      </c>
      <c r="AR38" s="668">
        <f t="shared" si="4"/>
        <v>1839281.8</v>
      </c>
      <c r="AS38" s="668"/>
      <c r="AT38" s="668"/>
      <c r="AV38" s="670">
        <f t="shared" si="5"/>
        <v>165772187.70000002</v>
      </c>
      <c r="AW38" s="670">
        <f t="shared" si="6"/>
        <v>31267790.600000001</v>
      </c>
      <c r="AX38" s="671">
        <f t="shared" si="0"/>
        <v>236817411</v>
      </c>
      <c r="AY38" s="671">
        <f>+AX38-L38</f>
        <v>-586636339</v>
      </c>
    </row>
    <row r="39" spans="1:51">
      <c r="A39" s="664" t="s">
        <v>494</v>
      </c>
      <c r="B39" s="664"/>
      <c r="C39" s="664"/>
      <c r="D39" s="664">
        <v>1160405004</v>
      </c>
      <c r="E39" s="664">
        <v>0</v>
      </c>
      <c r="F39" s="664">
        <v>43658</v>
      </c>
      <c r="G39" s="665">
        <v>43555</v>
      </c>
      <c r="H39" s="665">
        <v>44651</v>
      </c>
      <c r="I39" s="664">
        <v>632</v>
      </c>
      <c r="J39" s="666">
        <v>0</v>
      </c>
      <c r="K39" s="666">
        <v>35908760</v>
      </c>
      <c r="L39" s="666">
        <v>0</v>
      </c>
      <c r="M39" s="664" t="s">
        <v>495</v>
      </c>
      <c r="N39" s="666">
        <v>0</v>
      </c>
      <c r="O39" s="666">
        <v>35908760</v>
      </c>
      <c r="P39" s="666">
        <v>0</v>
      </c>
      <c r="Q39" s="664">
        <v>2</v>
      </c>
      <c r="R39" s="664" t="s">
        <v>496</v>
      </c>
      <c r="S39" s="664">
        <v>100</v>
      </c>
      <c r="T39" s="666">
        <v>0</v>
      </c>
      <c r="U39" s="666">
        <v>35908760</v>
      </c>
      <c r="V39" s="664">
        <v>100</v>
      </c>
      <c r="W39" s="666">
        <v>40742607</v>
      </c>
      <c r="X39" s="664">
        <v>5</v>
      </c>
      <c r="Y39" s="664">
        <v>1160902009</v>
      </c>
      <c r="Z39" s="664">
        <v>2023</v>
      </c>
      <c r="AA39" s="664">
        <v>12</v>
      </c>
      <c r="AB39" s="664">
        <v>5026003002</v>
      </c>
      <c r="AC39" s="664">
        <v>1160903005</v>
      </c>
      <c r="AD39" s="664">
        <v>0</v>
      </c>
      <c r="AE39" s="664">
        <v>0</v>
      </c>
      <c r="AF39" s="664">
        <v>1</v>
      </c>
      <c r="AG39" s="664">
        <v>1160605001</v>
      </c>
      <c r="AH39" s="664">
        <v>632</v>
      </c>
      <c r="AI39" s="664" t="s">
        <v>498</v>
      </c>
      <c r="AJ39" s="667">
        <v>0.1</v>
      </c>
      <c r="AK39" s="668">
        <f t="shared" si="1"/>
        <v>0</v>
      </c>
      <c r="AL39" s="668">
        <f t="shared" si="2"/>
        <v>0</v>
      </c>
      <c r="AM39" s="668">
        <f t="shared" si="2"/>
        <v>0</v>
      </c>
      <c r="AN39" s="668"/>
      <c r="AO39" s="668"/>
      <c r="AP39" s="668">
        <f t="shared" si="3"/>
        <v>1795438</v>
      </c>
      <c r="AQ39" s="668">
        <f t="shared" si="4"/>
        <v>1795438</v>
      </c>
      <c r="AR39" s="668">
        <f t="shared" si="4"/>
        <v>1795438</v>
      </c>
      <c r="AS39" s="668"/>
      <c r="AT39" s="668"/>
      <c r="AV39" s="670">
        <f t="shared" si="5"/>
        <v>0</v>
      </c>
      <c r="AW39" s="670">
        <f t="shared" si="6"/>
        <v>30522446</v>
      </c>
      <c r="AX39" s="671">
        <f t="shared" si="0"/>
        <v>0</v>
      </c>
    </row>
    <row r="40" spans="1:51">
      <c r="A40" s="664" t="s">
        <v>494</v>
      </c>
      <c r="B40" s="664"/>
      <c r="C40" s="664"/>
      <c r="D40" s="664">
        <v>1160505001</v>
      </c>
      <c r="E40" s="664">
        <v>0</v>
      </c>
      <c r="F40" s="664">
        <v>44680</v>
      </c>
      <c r="G40" s="665">
        <v>43258</v>
      </c>
      <c r="H40" s="665">
        <v>43623</v>
      </c>
      <c r="I40" s="664">
        <v>1645</v>
      </c>
      <c r="J40" s="666">
        <v>16000000</v>
      </c>
      <c r="K40" s="666">
        <v>1440000</v>
      </c>
      <c r="L40" s="666">
        <v>0</v>
      </c>
      <c r="M40" s="664" t="s">
        <v>495</v>
      </c>
      <c r="N40" s="666">
        <v>16000000</v>
      </c>
      <c r="O40" s="666">
        <v>1440000</v>
      </c>
      <c r="P40" s="666">
        <v>13160000</v>
      </c>
      <c r="Q40" s="664">
        <v>1</v>
      </c>
      <c r="R40" s="664" t="s">
        <v>496</v>
      </c>
      <c r="S40" s="664">
        <v>100</v>
      </c>
      <c r="T40" s="666">
        <v>16000000</v>
      </c>
      <c r="U40" s="666">
        <v>1440000</v>
      </c>
      <c r="V40" s="664">
        <v>100</v>
      </c>
      <c r="W40" s="666">
        <v>3796167</v>
      </c>
      <c r="X40" s="664">
        <v>2</v>
      </c>
      <c r="Y40" s="664">
        <v>1160902010</v>
      </c>
      <c r="Z40" s="664">
        <v>2023</v>
      </c>
      <c r="AA40" s="664">
        <v>12</v>
      </c>
      <c r="AB40" s="664">
        <v>5026003002</v>
      </c>
      <c r="AC40" s="664">
        <v>1160903005</v>
      </c>
      <c r="AD40" s="664">
        <v>0</v>
      </c>
      <c r="AE40" s="664">
        <v>0</v>
      </c>
      <c r="AF40" s="664">
        <v>0</v>
      </c>
      <c r="AG40" s="664">
        <v>1160605001</v>
      </c>
      <c r="AH40" s="664">
        <v>1645</v>
      </c>
      <c r="AI40" s="664" t="s">
        <v>497</v>
      </c>
      <c r="AJ40" s="667">
        <v>0.01</v>
      </c>
      <c r="AK40" s="668">
        <f t="shared" si="1"/>
        <v>160000</v>
      </c>
      <c r="AL40" s="668">
        <f t="shared" si="2"/>
        <v>160000</v>
      </c>
      <c r="AM40" s="668">
        <f t="shared" si="2"/>
        <v>160000</v>
      </c>
      <c r="AN40" s="668"/>
      <c r="AO40" s="668"/>
      <c r="AP40" s="668">
        <f t="shared" si="3"/>
        <v>7200</v>
      </c>
      <c r="AQ40" s="668">
        <f t="shared" si="4"/>
        <v>7200</v>
      </c>
      <c r="AR40" s="668">
        <f t="shared" si="4"/>
        <v>7200</v>
      </c>
      <c r="AS40" s="668"/>
      <c r="AT40" s="668"/>
      <c r="AV40" s="670">
        <f t="shared" si="5"/>
        <v>15520000</v>
      </c>
      <c r="AW40" s="670">
        <f t="shared" si="6"/>
        <v>1418400</v>
      </c>
      <c r="AX40" s="671">
        <f t="shared" si="0"/>
        <v>0</v>
      </c>
    </row>
    <row r="41" spans="1:51">
      <c r="A41" s="664" t="s">
        <v>494</v>
      </c>
      <c r="B41" s="664"/>
      <c r="C41" s="664"/>
      <c r="D41" s="664">
        <v>1160505005</v>
      </c>
      <c r="E41" s="664">
        <v>0</v>
      </c>
      <c r="F41" s="664">
        <v>46457</v>
      </c>
      <c r="G41" s="665">
        <v>43550</v>
      </c>
      <c r="H41" s="665">
        <v>43830</v>
      </c>
      <c r="I41" s="664">
        <v>1442</v>
      </c>
      <c r="J41" s="666">
        <v>10389822</v>
      </c>
      <c r="K41" s="666">
        <v>220784</v>
      </c>
      <c r="L41" s="666">
        <v>0</v>
      </c>
      <c r="M41" s="664" t="s">
        <v>495</v>
      </c>
      <c r="N41" s="666">
        <v>10389822</v>
      </c>
      <c r="O41" s="666">
        <v>220784</v>
      </c>
      <c r="P41" s="666">
        <v>7491062</v>
      </c>
      <c r="Q41" s="664">
        <v>1</v>
      </c>
      <c r="R41" s="664" t="s">
        <v>496</v>
      </c>
      <c r="S41" s="664">
        <v>100</v>
      </c>
      <c r="T41" s="666">
        <v>10389822</v>
      </c>
      <c r="U41" s="666">
        <v>220784</v>
      </c>
      <c r="V41" s="664">
        <v>100</v>
      </c>
      <c r="W41" s="666">
        <v>3796167</v>
      </c>
      <c r="X41" s="664">
        <v>13</v>
      </c>
      <c r="Y41" s="664">
        <v>1160902010</v>
      </c>
      <c r="Z41" s="664">
        <v>2023</v>
      </c>
      <c r="AA41" s="664">
        <v>12</v>
      </c>
      <c r="AB41" s="664">
        <v>5026003002</v>
      </c>
      <c r="AC41" s="664">
        <v>1160903005</v>
      </c>
      <c r="AD41" s="664">
        <v>0</v>
      </c>
      <c r="AE41" s="664">
        <v>0</v>
      </c>
      <c r="AF41" s="664">
        <v>0</v>
      </c>
      <c r="AG41" s="664">
        <v>1160605001</v>
      </c>
      <c r="AH41" s="664">
        <v>1645</v>
      </c>
      <c r="AI41" s="664" t="s">
        <v>497</v>
      </c>
      <c r="AJ41" s="667">
        <v>0.01</v>
      </c>
      <c r="AK41" s="668">
        <f t="shared" si="1"/>
        <v>103898.22</v>
      </c>
      <c r="AL41" s="668">
        <f t="shared" si="2"/>
        <v>103898.22</v>
      </c>
      <c r="AM41" s="668">
        <f t="shared" si="2"/>
        <v>103898.22</v>
      </c>
      <c r="AN41" s="668"/>
      <c r="AO41" s="668"/>
      <c r="AP41" s="668">
        <f t="shared" si="3"/>
        <v>1103.92</v>
      </c>
      <c r="AQ41" s="668">
        <f t="shared" si="4"/>
        <v>1103.92</v>
      </c>
      <c r="AR41" s="668">
        <f t="shared" si="4"/>
        <v>1103.92</v>
      </c>
      <c r="AS41" s="668"/>
      <c r="AT41" s="668"/>
      <c r="AV41" s="670">
        <f t="shared" si="5"/>
        <v>10078127.339999998</v>
      </c>
      <c r="AW41" s="670">
        <f t="shared" si="6"/>
        <v>217472.23999999996</v>
      </c>
      <c r="AX41" s="671">
        <f t="shared" si="0"/>
        <v>0</v>
      </c>
    </row>
    <row r="42" spans="1:51">
      <c r="A42" s="664" t="s">
        <v>494</v>
      </c>
      <c r="B42" s="664"/>
      <c r="C42" s="664"/>
      <c r="D42" s="664">
        <v>1160503001</v>
      </c>
      <c r="E42" s="664">
        <v>0</v>
      </c>
      <c r="F42" s="664">
        <v>44903</v>
      </c>
      <c r="G42" s="665">
        <v>43288</v>
      </c>
      <c r="H42" s="665">
        <v>45114</v>
      </c>
      <c r="I42" s="664">
        <v>175</v>
      </c>
      <c r="J42" s="666">
        <v>2307118</v>
      </c>
      <c r="K42" s="666">
        <v>915157</v>
      </c>
      <c r="L42" s="666">
        <v>0</v>
      </c>
      <c r="M42" s="664" t="s">
        <v>495</v>
      </c>
      <c r="N42" s="666">
        <v>2307118</v>
      </c>
      <c r="O42" s="666">
        <v>915157</v>
      </c>
      <c r="P42" s="666">
        <v>201873</v>
      </c>
      <c r="Q42" s="664">
        <v>1</v>
      </c>
      <c r="R42" s="664" t="s">
        <v>494</v>
      </c>
      <c r="S42" s="664">
        <v>100</v>
      </c>
      <c r="T42" s="666">
        <v>2307118</v>
      </c>
      <c r="U42" s="666">
        <v>915157</v>
      </c>
      <c r="V42" s="664">
        <v>100</v>
      </c>
      <c r="W42" s="666">
        <v>7443866</v>
      </c>
      <c r="X42" s="664">
        <v>14</v>
      </c>
      <c r="Y42" s="664">
        <v>1160902006</v>
      </c>
      <c r="Z42" s="664">
        <v>2023</v>
      </c>
      <c r="AA42" s="664">
        <v>12</v>
      </c>
      <c r="AB42" s="664">
        <v>5026003002</v>
      </c>
      <c r="AC42" s="664">
        <v>1160903003</v>
      </c>
      <c r="AD42" s="664">
        <v>0</v>
      </c>
      <c r="AE42" s="664">
        <v>0</v>
      </c>
      <c r="AF42" s="664">
        <v>0</v>
      </c>
      <c r="AG42" s="664">
        <v>1160603001</v>
      </c>
      <c r="AH42" s="664">
        <v>175</v>
      </c>
      <c r="AI42" s="664" t="s">
        <v>500</v>
      </c>
      <c r="AJ42" s="667">
        <v>0.3</v>
      </c>
      <c r="AK42" s="668">
        <f t="shared" si="1"/>
        <v>692135.4</v>
      </c>
      <c r="AL42" s="668">
        <f t="shared" si="2"/>
        <v>692135.4</v>
      </c>
      <c r="AM42" s="668">
        <f t="shared" si="2"/>
        <v>692135.4</v>
      </c>
      <c r="AN42" s="668"/>
      <c r="AO42" s="668"/>
      <c r="AP42" s="668">
        <f t="shared" si="3"/>
        <v>137273.54999999999</v>
      </c>
      <c r="AQ42" s="668">
        <f t="shared" si="4"/>
        <v>137273.54999999999</v>
      </c>
      <c r="AR42" s="668">
        <f t="shared" si="4"/>
        <v>137273.54999999999</v>
      </c>
      <c r="AS42" s="668"/>
      <c r="AT42" s="668"/>
      <c r="AV42" s="670">
        <f t="shared" si="5"/>
        <v>230711.80000000005</v>
      </c>
      <c r="AW42" s="670">
        <f t="shared" si="6"/>
        <v>503336.34999999992</v>
      </c>
      <c r="AX42" s="671">
        <f t="shared" si="0"/>
        <v>0</v>
      </c>
    </row>
    <row r="43" spans="1:51">
      <c r="A43" s="664" t="s">
        <v>494</v>
      </c>
      <c r="B43" s="664"/>
      <c r="C43" s="664"/>
      <c r="D43" s="664">
        <v>1160505001</v>
      </c>
      <c r="E43" s="664">
        <v>0</v>
      </c>
      <c r="F43" s="664">
        <v>44653</v>
      </c>
      <c r="G43" s="665">
        <v>43254</v>
      </c>
      <c r="H43" s="665">
        <v>43619</v>
      </c>
      <c r="I43" s="664">
        <v>1649</v>
      </c>
      <c r="J43" s="666">
        <v>1200000</v>
      </c>
      <c r="K43" s="666">
        <v>108000</v>
      </c>
      <c r="L43" s="666">
        <v>0</v>
      </c>
      <c r="M43" s="664" t="s">
        <v>495</v>
      </c>
      <c r="N43" s="666">
        <v>1200000</v>
      </c>
      <c r="O43" s="666">
        <v>108000</v>
      </c>
      <c r="P43" s="666">
        <v>989400</v>
      </c>
      <c r="Q43" s="664">
        <v>1</v>
      </c>
      <c r="R43" s="664" t="s">
        <v>496</v>
      </c>
      <c r="S43" s="664">
        <v>100</v>
      </c>
      <c r="T43" s="666">
        <v>1200000</v>
      </c>
      <c r="U43" s="666">
        <v>108000</v>
      </c>
      <c r="V43" s="664">
        <v>100</v>
      </c>
      <c r="W43" s="666">
        <v>1443199</v>
      </c>
      <c r="X43" s="664">
        <v>2</v>
      </c>
      <c r="Y43" s="664">
        <v>1160902010</v>
      </c>
      <c r="Z43" s="664">
        <v>2023</v>
      </c>
      <c r="AA43" s="664">
        <v>12</v>
      </c>
      <c r="AB43" s="664">
        <v>5026003002</v>
      </c>
      <c r="AC43" s="664">
        <v>1160903005</v>
      </c>
      <c r="AD43" s="664">
        <v>0</v>
      </c>
      <c r="AE43" s="664">
        <v>0</v>
      </c>
      <c r="AF43" s="664">
        <v>0</v>
      </c>
      <c r="AG43" s="664">
        <v>1160605001</v>
      </c>
      <c r="AH43" s="664">
        <v>1649</v>
      </c>
      <c r="AI43" s="664" t="s">
        <v>497</v>
      </c>
      <c r="AJ43" s="667">
        <v>0.01</v>
      </c>
      <c r="AK43" s="668">
        <f t="shared" si="1"/>
        <v>12000</v>
      </c>
      <c r="AL43" s="668">
        <f t="shared" si="2"/>
        <v>12000</v>
      </c>
      <c r="AM43" s="668">
        <f t="shared" si="2"/>
        <v>12000</v>
      </c>
      <c r="AN43" s="668"/>
      <c r="AO43" s="668"/>
      <c r="AP43" s="668">
        <f t="shared" si="3"/>
        <v>540</v>
      </c>
      <c r="AQ43" s="668">
        <f t="shared" si="4"/>
        <v>540</v>
      </c>
      <c r="AR43" s="668">
        <f t="shared" si="4"/>
        <v>540</v>
      </c>
      <c r="AS43" s="668"/>
      <c r="AT43" s="668"/>
      <c r="AV43" s="670">
        <f t="shared" si="5"/>
        <v>1164000</v>
      </c>
      <c r="AW43" s="670">
        <f t="shared" si="6"/>
        <v>106380</v>
      </c>
      <c r="AX43" s="671">
        <f t="shared" si="0"/>
        <v>0</v>
      </c>
    </row>
    <row r="44" spans="1:51">
      <c r="A44" s="664" t="s">
        <v>494</v>
      </c>
      <c r="B44" s="664"/>
      <c r="C44" s="664"/>
      <c r="D44" s="664">
        <v>1160505001</v>
      </c>
      <c r="E44" s="664">
        <v>0</v>
      </c>
      <c r="F44" s="664">
        <v>45569</v>
      </c>
      <c r="G44" s="665">
        <v>43451</v>
      </c>
      <c r="H44" s="665">
        <v>44182</v>
      </c>
      <c r="I44" s="664">
        <v>1095</v>
      </c>
      <c r="J44" s="666">
        <v>3500000</v>
      </c>
      <c r="K44" s="666">
        <v>356125</v>
      </c>
      <c r="L44" s="666">
        <v>0</v>
      </c>
      <c r="M44" s="664" t="s">
        <v>495</v>
      </c>
      <c r="N44" s="666">
        <v>3500000</v>
      </c>
      <c r="O44" s="666">
        <v>356125</v>
      </c>
      <c r="P44" s="666">
        <v>1916250</v>
      </c>
      <c r="Q44" s="664">
        <v>1</v>
      </c>
      <c r="R44" s="664" t="s">
        <v>496</v>
      </c>
      <c r="S44" s="664">
        <v>100</v>
      </c>
      <c r="T44" s="666">
        <v>3500000</v>
      </c>
      <c r="U44" s="666">
        <v>356125</v>
      </c>
      <c r="V44" s="664">
        <v>100</v>
      </c>
      <c r="W44" s="666">
        <v>3696363</v>
      </c>
      <c r="X44" s="664">
        <v>2</v>
      </c>
      <c r="Y44" s="664">
        <v>1160902010</v>
      </c>
      <c r="Z44" s="664">
        <v>2023</v>
      </c>
      <c r="AA44" s="664">
        <v>12</v>
      </c>
      <c r="AB44" s="664">
        <v>5026003002</v>
      </c>
      <c r="AC44" s="664">
        <v>1160903005</v>
      </c>
      <c r="AD44" s="664">
        <v>0</v>
      </c>
      <c r="AE44" s="664">
        <v>0</v>
      </c>
      <c r="AF44" s="664">
        <v>0</v>
      </c>
      <c r="AG44" s="664">
        <v>1160605001</v>
      </c>
      <c r="AH44" s="664">
        <v>1095</v>
      </c>
      <c r="AI44" s="664" t="s">
        <v>497</v>
      </c>
      <c r="AJ44" s="667">
        <v>0.01</v>
      </c>
      <c r="AK44" s="668">
        <f t="shared" si="1"/>
        <v>35000</v>
      </c>
      <c r="AL44" s="668">
        <f t="shared" si="2"/>
        <v>35000</v>
      </c>
      <c r="AM44" s="668">
        <f t="shared" si="2"/>
        <v>35000</v>
      </c>
      <c r="AN44" s="668"/>
      <c r="AO44" s="668"/>
      <c r="AP44" s="668">
        <f t="shared" si="3"/>
        <v>1780.625</v>
      </c>
      <c r="AQ44" s="668">
        <f t="shared" si="4"/>
        <v>1780.625</v>
      </c>
      <c r="AR44" s="668">
        <f t="shared" si="4"/>
        <v>1780.625</v>
      </c>
      <c r="AS44" s="668"/>
      <c r="AT44" s="668"/>
      <c r="AV44" s="670">
        <f t="shared" si="5"/>
        <v>3395000</v>
      </c>
      <c r="AW44" s="670">
        <f t="shared" si="6"/>
        <v>350783.125</v>
      </c>
      <c r="AX44" s="671">
        <f t="shared" si="0"/>
        <v>0</v>
      </c>
    </row>
    <row r="45" spans="1:51">
      <c r="A45" s="664" t="s">
        <v>494</v>
      </c>
      <c r="B45" s="664"/>
      <c r="C45" s="664"/>
      <c r="D45" s="664">
        <v>1160505004</v>
      </c>
      <c r="E45" s="664">
        <v>32090</v>
      </c>
      <c r="F45" s="664">
        <v>36099</v>
      </c>
      <c r="G45" s="665">
        <v>41837</v>
      </c>
      <c r="H45" s="665">
        <v>42933</v>
      </c>
      <c r="I45" s="664">
        <v>2325</v>
      </c>
      <c r="J45" s="666">
        <v>2603700</v>
      </c>
      <c r="K45" s="666">
        <v>859212</v>
      </c>
      <c r="L45" s="666">
        <v>0</v>
      </c>
      <c r="M45" s="664" t="s">
        <v>495</v>
      </c>
      <c r="N45" s="666">
        <v>2603700</v>
      </c>
      <c r="O45" s="666">
        <v>859212</v>
      </c>
      <c r="P45" s="666">
        <v>3026801</v>
      </c>
      <c r="Q45" s="664">
        <v>1</v>
      </c>
      <c r="R45" s="664" t="s">
        <v>496</v>
      </c>
      <c r="S45" s="664">
        <v>100</v>
      </c>
      <c r="T45" s="666">
        <v>2603700</v>
      </c>
      <c r="U45" s="666">
        <v>859212</v>
      </c>
      <c r="V45" s="664">
        <v>100</v>
      </c>
      <c r="W45" s="666">
        <v>5504856</v>
      </c>
      <c r="X45" s="664">
        <v>5</v>
      </c>
      <c r="Y45" s="664">
        <v>1160902010</v>
      </c>
      <c r="Z45" s="664">
        <v>2023</v>
      </c>
      <c r="AA45" s="664">
        <v>12</v>
      </c>
      <c r="AB45" s="664">
        <v>5026003002</v>
      </c>
      <c r="AC45" s="664">
        <v>1160903005</v>
      </c>
      <c r="AD45" s="664">
        <v>0</v>
      </c>
      <c r="AE45" s="664">
        <v>0</v>
      </c>
      <c r="AF45" s="664">
        <v>0</v>
      </c>
      <c r="AG45" s="664">
        <v>1160605001</v>
      </c>
      <c r="AH45" s="664">
        <v>2325</v>
      </c>
      <c r="AI45" s="664" t="s">
        <v>497</v>
      </c>
      <c r="AJ45" s="667">
        <v>0.01</v>
      </c>
      <c r="AK45" s="668">
        <f t="shared" si="1"/>
        <v>26037</v>
      </c>
      <c r="AL45" s="668">
        <f t="shared" si="2"/>
        <v>26037</v>
      </c>
      <c r="AM45" s="668">
        <f t="shared" si="2"/>
        <v>26037</v>
      </c>
      <c r="AN45" s="668"/>
      <c r="AO45" s="668"/>
      <c r="AP45" s="668">
        <f t="shared" si="3"/>
        <v>4296.0600000000004</v>
      </c>
      <c r="AQ45" s="668">
        <f t="shared" si="4"/>
        <v>4296.0600000000004</v>
      </c>
      <c r="AR45" s="668">
        <f t="shared" si="4"/>
        <v>4296.0600000000004</v>
      </c>
      <c r="AS45" s="668"/>
      <c r="AT45" s="668"/>
      <c r="AV45" s="670">
        <f t="shared" si="5"/>
        <v>2525589</v>
      </c>
      <c r="AW45" s="670">
        <f t="shared" si="6"/>
        <v>846323.81999999983</v>
      </c>
      <c r="AX45" s="671">
        <f t="shared" si="0"/>
        <v>0</v>
      </c>
    </row>
    <row r="46" spans="1:51">
      <c r="A46" s="664" t="s">
        <v>494</v>
      </c>
      <c r="B46" s="664"/>
      <c r="C46" s="664"/>
      <c r="D46" s="664">
        <v>1160505001</v>
      </c>
      <c r="E46" s="664">
        <v>0</v>
      </c>
      <c r="F46" s="664">
        <v>42245</v>
      </c>
      <c r="G46" s="665">
        <v>42877</v>
      </c>
      <c r="H46" s="665">
        <v>43242</v>
      </c>
      <c r="I46" s="664">
        <v>2020</v>
      </c>
      <c r="J46" s="666">
        <v>1500000</v>
      </c>
      <c r="K46" s="666">
        <v>135000</v>
      </c>
      <c r="L46" s="666">
        <v>0</v>
      </c>
      <c r="M46" s="664" t="s">
        <v>495</v>
      </c>
      <c r="N46" s="666">
        <v>1500000</v>
      </c>
      <c r="O46" s="666">
        <v>135000</v>
      </c>
      <c r="P46" s="666">
        <v>1515000</v>
      </c>
      <c r="Q46" s="664">
        <v>1</v>
      </c>
      <c r="R46" s="664" t="s">
        <v>496</v>
      </c>
      <c r="S46" s="664">
        <v>100</v>
      </c>
      <c r="T46" s="666">
        <v>1500000</v>
      </c>
      <c r="U46" s="666">
        <v>135000</v>
      </c>
      <c r="V46" s="664">
        <v>100</v>
      </c>
      <c r="W46" s="666">
        <v>566167</v>
      </c>
      <c r="X46" s="664">
        <v>2</v>
      </c>
      <c r="Y46" s="664">
        <v>1160902010</v>
      </c>
      <c r="Z46" s="664">
        <v>2023</v>
      </c>
      <c r="AA46" s="664">
        <v>12</v>
      </c>
      <c r="AB46" s="664">
        <v>5026003002</v>
      </c>
      <c r="AC46" s="664">
        <v>1160903005</v>
      </c>
      <c r="AD46" s="664">
        <v>0</v>
      </c>
      <c r="AE46" s="664">
        <v>0</v>
      </c>
      <c r="AF46" s="664">
        <v>0</v>
      </c>
      <c r="AG46" s="664">
        <v>1160605001</v>
      </c>
      <c r="AH46" s="664">
        <v>2020</v>
      </c>
      <c r="AI46" s="664" t="s">
        <v>497</v>
      </c>
      <c r="AJ46" s="667">
        <v>0.01</v>
      </c>
      <c r="AK46" s="668">
        <f t="shared" si="1"/>
        <v>15000</v>
      </c>
      <c r="AL46" s="668">
        <f t="shared" si="2"/>
        <v>15000</v>
      </c>
      <c r="AM46" s="668">
        <f t="shared" si="2"/>
        <v>15000</v>
      </c>
      <c r="AN46" s="668"/>
      <c r="AO46" s="668"/>
      <c r="AP46" s="668">
        <f t="shared" si="3"/>
        <v>675</v>
      </c>
      <c r="AQ46" s="668">
        <f t="shared" si="4"/>
        <v>675</v>
      </c>
      <c r="AR46" s="668">
        <f t="shared" si="4"/>
        <v>675</v>
      </c>
      <c r="AS46" s="668"/>
      <c r="AT46" s="668"/>
      <c r="AV46" s="670">
        <f t="shared" si="5"/>
        <v>1455000</v>
      </c>
      <c r="AW46" s="670">
        <f t="shared" si="6"/>
        <v>132975</v>
      </c>
      <c r="AX46" s="671">
        <f t="shared" si="0"/>
        <v>0</v>
      </c>
    </row>
    <row r="47" spans="1:51">
      <c r="A47" s="664" t="s">
        <v>494</v>
      </c>
      <c r="B47" s="664"/>
      <c r="C47" s="664"/>
      <c r="D47" s="664">
        <v>1160505001</v>
      </c>
      <c r="E47" s="664">
        <v>0</v>
      </c>
      <c r="F47" s="664">
        <v>43556</v>
      </c>
      <c r="G47" s="665">
        <v>43136</v>
      </c>
      <c r="H47" s="665">
        <v>43866</v>
      </c>
      <c r="I47" s="664">
        <v>1407</v>
      </c>
      <c r="J47" s="666">
        <v>2000000</v>
      </c>
      <c r="K47" s="666">
        <v>0</v>
      </c>
      <c r="L47" s="666">
        <v>0</v>
      </c>
      <c r="M47" s="664" t="s">
        <v>495</v>
      </c>
      <c r="N47" s="666">
        <v>2000000</v>
      </c>
      <c r="O47" s="666">
        <v>0</v>
      </c>
      <c r="P47" s="666">
        <v>1407000</v>
      </c>
      <c r="Q47" s="664">
        <v>1</v>
      </c>
      <c r="R47" s="664" t="s">
        <v>496</v>
      </c>
      <c r="S47" s="664">
        <v>100</v>
      </c>
      <c r="T47" s="666">
        <v>2000000</v>
      </c>
      <c r="U47" s="666">
        <v>0</v>
      </c>
      <c r="V47" s="664">
        <v>100</v>
      </c>
      <c r="W47" s="666">
        <v>5810131</v>
      </c>
      <c r="X47" s="664">
        <v>2</v>
      </c>
      <c r="Y47" s="664">
        <v>1160902010</v>
      </c>
      <c r="Z47" s="664">
        <v>2023</v>
      </c>
      <c r="AA47" s="664">
        <v>12</v>
      </c>
      <c r="AB47" s="664">
        <v>5026003002</v>
      </c>
      <c r="AC47" s="664">
        <v>1160903005</v>
      </c>
      <c r="AD47" s="664">
        <v>0</v>
      </c>
      <c r="AE47" s="664">
        <v>0</v>
      </c>
      <c r="AF47" s="664">
        <v>0</v>
      </c>
      <c r="AG47" s="664">
        <v>1160605001</v>
      </c>
      <c r="AH47" s="664">
        <v>1407</v>
      </c>
      <c r="AI47" s="664" t="s">
        <v>497</v>
      </c>
      <c r="AJ47" s="667">
        <v>0.01</v>
      </c>
      <c r="AK47" s="668">
        <f t="shared" si="1"/>
        <v>20000</v>
      </c>
      <c r="AL47" s="668">
        <f t="shared" si="2"/>
        <v>20000</v>
      </c>
      <c r="AM47" s="668">
        <f t="shared" si="2"/>
        <v>20000</v>
      </c>
      <c r="AN47" s="668"/>
      <c r="AO47" s="668"/>
      <c r="AP47" s="668">
        <f t="shared" si="3"/>
        <v>0</v>
      </c>
      <c r="AQ47" s="668">
        <f t="shared" si="4"/>
        <v>0</v>
      </c>
      <c r="AR47" s="668">
        <f t="shared" si="4"/>
        <v>0</v>
      </c>
      <c r="AS47" s="668"/>
      <c r="AT47" s="668"/>
      <c r="AV47" s="670">
        <f t="shared" si="5"/>
        <v>1940000</v>
      </c>
      <c r="AW47" s="670">
        <f t="shared" si="6"/>
        <v>0</v>
      </c>
      <c r="AX47" s="671">
        <f t="shared" si="0"/>
        <v>0</v>
      </c>
    </row>
    <row r="48" spans="1:51">
      <c r="A48" s="664" t="s">
        <v>494</v>
      </c>
      <c r="B48" s="664"/>
      <c r="C48" s="664"/>
      <c r="D48" s="664">
        <v>1160505001</v>
      </c>
      <c r="E48" s="664">
        <v>0</v>
      </c>
      <c r="F48" s="664">
        <v>46203</v>
      </c>
      <c r="G48" s="665">
        <v>43520</v>
      </c>
      <c r="H48" s="665">
        <v>44251</v>
      </c>
      <c r="I48" s="664">
        <v>1028</v>
      </c>
      <c r="J48" s="666">
        <v>4000000</v>
      </c>
      <c r="K48" s="666">
        <v>1440000</v>
      </c>
      <c r="L48" s="666">
        <v>0</v>
      </c>
      <c r="M48" s="664" t="s">
        <v>495</v>
      </c>
      <c r="N48" s="666">
        <v>4000000</v>
      </c>
      <c r="O48" s="666">
        <v>1440000</v>
      </c>
      <c r="P48" s="666">
        <v>2056000</v>
      </c>
      <c r="Q48" s="664">
        <v>1</v>
      </c>
      <c r="R48" s="664" t="s">
        <v>496</v>
      </c>
      <c r="S48" s="664">
        <v>100</v>
      </c>
      <c r="T48" s="666">
        <v>4000000</v>
      </c>
      <c r="U48" s="666">
        <v>1440000</v>
      </c>
      <c r="V48" s="664">
        <v>100</v>
      </c>
      <c r="W48" s="666">
        <v>5810131</v>
      </c>
      <c r="X48" s="664">
        <v>2</v>
      </c>
      <c r="Y48" s="664">
        <v>1160902010</v>
      </c>
      <c r="Z48" s="664">
        <v>2023</v>
      </c>
      <c r="AA48" s="664">
        <v>12</v>
      </c>
      <c r="AB48" s="664">
        <v>5026003002</v>
      </c>
      <c r="AC48" s="664">
        <v>1160903005</v>
      </c>
      <c r="AD48" s="664">
        <v>0</v>
      </c>
      <c r="AE48" s="664">
        <v>0</v>
      </c>
      <c r="AF48" s="664">
        <v>0</v>
      </c>
      <c r="AG48" s="664">
        <v>1160605001</v>
      </c>
      <c r="AH48" s="664">
        <v>1407</v>
      </c>
      <c r="AI48" s="664" t="s">
        <v>497</v>
      </c>
      <c r="AJ48" s="667">
        <v>0.01</v>
      </c>
      <c r="AK48" s="668">
        <f t="shared" si="1"/>
        <v>40000</v>
      </c>
      <c r="AL48" s="668">
        <f t="shared" si="2"/>
        <v>40000</v>
      </c>
      <c r="AM48" s="668">
        <f t="shared" si="2"/>
        <v>40000</v>
      </c>
      <c r="AN48" s="668"/>
      <c r="AO48" s="668"/>
      <c r="AP48" s="668">
        <f t="shared" si="3"/>
        <v>7200</v>
      </c>
      <c r="AQ48" s="668">
        <f t="shared" si="4"/>
        <v>7200</v>
      </c>
      <c r="AR48" s="668">
        <f t="shared" si="4"/>
        <v>7200</v>
      </c>
      <c r="AS48" s="668"/>
      <c r="AT48" s="668"/>
      <c r="AV48" s="670">
        <f t="shared" si="5"/>
        <v>3880000</v>
      </c>
      <c r="AW48" s="670">
        <f t="shared" si="6"/>
        <v>1418400</v>
      </c>
      <c r="AX48" s="671">
        <f t="shared" si="0"/>
        <v>0</v>
      </c>
    </row>
    <row r="49" spans="1:51">
      <c r="A49" s="664" t="s">
        <v>494</v>
      </c>
      <c r="B49" s="664"/>
      <c r="C49" s="664"/>
      <c r="D49" s="664">
        <v>1160504001</v>
      </c>
      <c r="E49" s="664">
        <v>0</v>
      </c>
      <c r="F49" s="664">
        <v>44798</v>
      </c>
      <c r="G49" s="665">
        <v>43275</v>
      </c>
      <c r="H49" s="665">
        <v>45101</v>
      </c>
      <c r="I49" s="664">
        <v>188</v>
      </c>
      <c r="J49" s="666">
        <v>3478620</v>
      </c>
      <c r="K49" s="666">
        <v>680079</v>
      </c>
      <c r="L49" s="666">
        <v>0</v>
      </c>
      <c r="M49" s="664" t="s">
        <v>495</v>
      </c>
      <c r="N49" s="666">
        <v>3478620</v>
      </c>
      <c r="O49" s="666">
        <v>680079</v>
      </c>
      <c r="P49" s="666">
        <v>326990</v>
      </c>
      <c r="Q49" s="664">
        <v>1</v>
      </c>
      <c r="R49" s="664" t="s">
        <v>501</v>
      </c>
      <c r="S49" s="664">
        <v>100</v>
      </c>
      <c r="T49" s="666">
        <v>3478620</v>
      </c>
      <c r="U49" s="666">
        <v>680079</v>
      </c>
      <c r="V49" s="664">
        <v>100</v>
      </c>
      <c r="W49" s="666">
        <v>1584948</v>
      </c>
      <c r="X49" s="664">
        <v>2</v>
      </c>
      <c r="Y49" s="664">
        <v>1160902008</v>
      </c>
      <c r="Z49" s="664">
        <v>2023</v>
      </c>
      <c r="AA49" s="664">
        <v>12</v>
      </c>
      <c r="AB49" s="664">
        <v>5026003002</v>
      </c>
      <c r="AC49" s="664">
        <v>1160903004</v>
      </c>
      <c r="AD49" s="664">
        <v>0</v>
      </c>
      <c r="AE49" s="664">
        <v>0</v>
      </c>
      <c r="AF49" s="664">
        <v>0</v>
      </c>
      <c r="AG49" s="664">
        <v>1160604001</v>
      </c>
      <c r="AH49" s="664">
        <v>188</v>
      </c>
      <c r="AI49" s="664" t="s">
        <v>500</v>
      </c>
      <c r="AJ49" s="667">
        <v>0.3</v>
      </c>
      <c r="AK49" s="668">
        <f t="shared" si="1"/>
        <v>1043586</v>
      </c>
      <c r="AL49" s="668">
        <f t="shared" si="2"/>
        <v>1043586</v>
      </c>
      <c r="AM49" s="668">
        <f t="shared" si="2"/>
        <v>1043586</v>
      </c>
      <c r="AN49" s="668"/>
      <c r="AO49" s="668"/>
      <c r="AP49" s="668">
        <f t="shared" si="3"/>
        <v>102011.84999999999</v>
      </c>
      <c r="AQ49" s="668">
        <f t="shared" si="4"/>
        <v>102011.84999999999</v>
      </c>
      <c r="AR49" s="668">
        <f t="shared" si="4"/>
        <v>102011.84999999999</v>
      </c>
      <c r="AS49" s="668"/>
      <c r="AT49" s="668"/>
      <c r="AV49" s="670">
        <f t="shared" si="5"/>
        <v>347862</v>
      </c>
      <c r="AW49" s="670">
        <f t="shared" si="6"/>
        <v>374043.45000000007</v>
      </c>
      <c r="AX49" s="671">
        <f t="shared" si="0"/>
        <v>0</v>
      </c>
    </row>
    <row r="50" spans="1:51">
      <c r="A50" s="664" t="s">
        <v>494</v>
      </c>
      <c r="B50" s="664"/>
      <c r="C50" s="664"/>
      <c r="D50" s="664">
        <v>1160505001</v>
      </c>
      <c r="E50" s="664">
        <v>0</v>
      </c>
      <c r="F50" s="664">
        <v>41419</v>
      </c>
      <c r="G50" s="665">
        <v>42782</v>
      </c>
      <c r="H50" s="665">
        <v>43147</v>
      </c>
      <c r="I50" s="664">
        <v>2116</v>
      </c>
      <c r="J50" s="666">
        <v>2500000</v>
      </c>
      <c r="K50" s="666">
        <v>225000</v>
      </c>
      <c r="L50" s="666">
        <v>0</v>
      </c>
      <c r="M50" s="664" t="s">
        <v>495</v>
      </c>
      <c r="N50" s="666">
        <v>2500000</v>
      </c>
      <c r="O50" s="666">
        <v>225000</v>
      </c>
      <c r="P50" s="666">
        <v>2645000</v>
      </c>
      <c r="Q50" s="664">
        <v>1</v>
      </c>
      <c r="R50" s="664" t="s">
        <v>496</v>
      </c>
      <c r="S50" s="664">
        <v>100</v>
      </c>
      <c r="T50" s="666">
        <v>2500000</v>
      </c>
      <c r="U50" s="666">
        <v>225000</v>
      </c>
      <c r="V50" s="664">
        <v>100</v>
      </c>
      <c r="W50" s="666">
        <v>2943868</v>
      </c>
      <c r="X50" s="664">
        <v>2</v>
      </c>
      <c r="Y50" s="664">
        <v>1160902010</v>
      </c>
      <c r="Z50" s="664">
        <v>2023</v>
      </c>
      <c r="AA50" s="664">
        <v>12</v>
      </c>
      <c r="AB50" s="664">
        <v>5026003002</v>
      </c>
      <c r="AC50" s="664">
        <v>1160903005</v>
      </c>
      <c r="AD50" s="664">
        <v>0</v>
      </c>
      <c r="AE50" s="664">
        <v>0</v>
      </c>
      <c r="AF50" s="664">
        <v>0</v>
      </c>
      <c r="AG50" s="664">
        <v>1160605001</v>
      </c>
      <c r="AH50" s="664">
        <v>2116</v>
      </c>
      <c r="AI50" s="664" t="s">
        <v>497</v>
      </c>
      <c r="AJ50" s="667">
        <v>0.01</v>
      </c>
      <c r="AK50" s="668">
        <f t="shared" si="1"/>
        <v>25000</v>
      </c>
      <c r="AL50" s="668">
        <f t="shared" si="2"/>
        <v>25000</v>
      </c>
      <c r="AM50" s="668">
        <f t="shared" si="2"/>
        <v>25000</v>
      </c>
      <c r="AN50" s="668"/>
      <c r="AO50" s="668"/>
      <c r="AP50" s="668">
        <f t="shared" si="3"/>
        <v>1125</v>
      </c>
      <c r="AQ50" s="668">
        <f t="shared" si="4"/>
        <v>1125</v>
      </c>
      <c r="AR50" s="668">
        <f t="shared" si="4"/>
        <v>1125</v>
      </c>
      <c r="AS50" s="668"/>
      <c r="AT50" s="668"/>
      <c r="AV50" s="670">
        <f t="shared" si="5"/>
        <v>2425000</v>
      </c>
      <c r="AW50" s="670">
        <f t="shared" si="6"/>
        <v>221625</v>
      </c>
      <c r="AX50" s="671">
        <f t="shared" si="0"/>
        <v>0</v>
      </c>
    </row>
    <row r="51" spans="1:51">
      <c r="A51" s="664" t="s">
        <v>494</v>
      </c>
      <c r="B51" s="664"/>
      <c r="C51" s="664"/>
      <c r="D51" s="664">
        <v>1160505001</v>
      </c>
      <c r="E51" s="664">
        <v>0</v>
      </c>
      <c r="F51" s="664">
        <v>44879</v>
      </c>
      <c r="G51" s="665">
        <v>43282</v>
      </c>
      <c r="H51" s="665">
        <v>44378</v>
      </c>
      <c r="I51" s="664">
        <v>901</v>
      </c>
      <c r="J51" s="666">
        <v>3320280</v>
      </c>
      <c r="K51" s="666">
        <v>388475</v>
      </c>
      <c r="L51" s="666">
        <v>0</v>
      </c>
      <c r="M51" s="664" t="s">
        <v>495</v>
      </c>
      <c r="N51" s="666">
        <v>3320280</v>
      </c>
      <c r="O51" s="666">
        <v>388475</v>
      </c>
      <c r="P51" s="666">
        <v>1495786</v>
      </c>
      <c r="Q51" s="664">
        <v>1</v>
      </c>
      <c r="R51" s="664" t="s">
        <v>496</v>
      </c>
      <c r="S51" s="664">
        <v>100</v>
      </c>
      <c r="T51" s="666">
        <v>3320280</v>
      </c>
      <c r="U51" s="666">
        <v>388475</v>
      </c>
      <c r="V51" s="664">
        <v>100</v>
      </c>
      <c r="W51" s="666">
        <v>4573374</v>
      </c>
      <c r="X51" s="664">
        <v>2</v>
      </c>
      <c r="Y51" s="664">
        <v>1160902010</v>
      </c>
      <c r="Z51" s="664">
        <v>2023</v>
      </c>
      <c r="AA51" s="664">
        <v>12</v>
      </c>
      <c r="AB51" s="664">
        <v>5026003002</v>
      </c>
      <c r="AC51" s="664">
        <v>1160903005</v>
      </c>
      <c r="AD51" s="664">
        <v>0</v>
      </c>
      <c r="AE51" s="664">
        <v>0</v>
      </c>
      <c r="AF51" s="664">
        <v>0</v>
      </c>
      <c r="AG51" s="664">
        <v>1160605001</v>
      </c>
      <c r="AH51" s="664">
        <v>901</v>
      </c>
      <c r="AI51" s="664" t="s">
        <v>499</v>
      </c>
      <c r="AJ51" s="667">
        <v>0.05</v>
      </c>
      <c r="AK51" s="668">
        <f t="shared" si="1"/>
        <v>166014</v>
      </c>
      <c r="AL51" s="668">
        <f t="shared" si="2"/>
        <v>166014</v>
      </c>
      <c r="AM51" s="668">
        <f t="shared" si="2"/>
        <v>166014</v>
      </c>
      <c r="AN51" s="668"/>
      <c r="AO51" s="668"/>
      <c r="AP51" s="668">
        <f t="shared" si="3"/>
        <v>9711.875</v>
      </c>
      <c r="AQ51" s="668">
        <f t="shared" si="4"/>
        <v>9711.875</v>
      </c>
      <c r="AR51" s="668">
        <f t="shared" si="4"/>
        <v>9711.875</v>
      </c>
      <c r="AS51" s="668"/>
      <c r="AT51" s="668"/>
      <c r="AV51" s="670">
        <f t="shared" si="5"/>
        <v>2822238</v>
      </c>
      <c r="AW51" s="670">
        <f t="shared" si="6"/>
        <v>359339.375</v>
      </c>
      <c r="AX51" s="671">
        <f t="shared" si="0"/>
        <v>0</v>
      </c>
    </row>
    <row r="52" spans="1:51">
      <c r="A52" s="664" t="s">
        <v>494</v>
      </c>
      <c r="B52" s="664"/>
      <c r="C52" s="664"/>
      <c r="D52" s="664">
        <v>1160505001</v>
      </c>
      <c r="E52" s="664">
        <v>0</v>
      </c>
      <c r="F52" s="664">
        <v>45920</v>
      </c>
      <c r="G52" s="665">
        <v>43499</v>
      </c>
      <c r="H52" s="665">
        <v>44595</v>
      </c>
      <c r="I52" s="664">
        <v>689</v>
      </c>
      <c r="J52" s="666">
        <v>3000000</v>
      </c>
      <c r="K52" s="666">
        <v>810000</v>
      </c>
      <c r="L52" s="666">
        <v>0</v>
      </c>
      <c r="M52" s="664" t="s">
        <v>495</v>
      </c>
      <c r="N52" s="666">
        <v>3000000</v>
      </c>
      <c r="O52" s="666">
        <v>810000</v>
      </c>
      <c r="P52" s="666">
        <v>1033500</v>
      </c>
      <c r="Q52" s="664">
        <v>1</v>
      </c>
      <c r="R52" s="664" t="s">
        <v>496</v>
      </c>
      <c r="S52" s="664">
        <v>100</v>
      </c>
      <c r="T52" s="666">
        <v>3000000</v>
      </c>
      <c r="U52" s="666">
        <v>810000</v>
      </c>
      <c r="V52" s="664">
        <v>100</v>
      </c>
      <c r="W52" s="666">
        <v>4573374</v>
      </c>
      <c r="X52" s="664">
        <v>14</v>
      </c>
      <c r="Y52" s="664">
        <v>1160902010</v>
      </c>
      <c r="Z52" s="664">
        <v>2023</v>
      </c>
      <c r="AA52" s="664">
        <v>12</v>
      </c>
      <c r="AB52" s="664">
        <v>5026003002</v>
      </c>
      <c r="AC52" s="664">
        <v>1160903005</v>
      </c>
      <c r="AD52" s="664">
        <v>0</v>
      </c>
      <c r="AE52" s="664">
        <v>0</v>
      </c>
      <c r="AF52" s="664">
        <v>0</v>
      </c>
      <c r="AG52" s="664">
        <v>1160605001</v>
      </c>
      <c r="AH52" s="664">
        <v>901</v>
      </c>
      <c r="AI52" s="664" t="s">
        <v>499</v>
      </c>
      <c r="AJ52" s="667">
        <v>0.05</v>
      </c>
      <c r="AK52" s="668">
        <f t="shared" si="1"/>
        <v>150000</v>
      </c>
      <c r="AL52" s="668">
        <f t="shared" si="2"/>
        <v>150000</v>
      </c>
      <c r="AM52" s="668">
        <f t="shared" si="2"/>
        <v>150000</v>
      </c>
      <c r="AN52" s="668"/>
      <c r="AO52" s="668"/>
      <c r="AP52" s="668">
        <f t="shared" si="3"/>
        <v>20250</v>
      </c>
      <c r="AQ52" s="668">
        <f t="shared" si="4"/>
        <v>20250</v>
      </c>
      <c r="AR52" s="668">
        <f t="shared" si="4"/>
        <v>20250</v>
      </c>
      <c r="AS52" s="668"/>
      <c r="AT52" s="668"/>
      <c r="AV52" s="670">
        <f t="shared" si="5"/>
        <v>2550000</v>
      </c>
      <c r="AW52" s="670">
        <f t="shared" si="6"/>
        <v>749250</v>
      </c>
      <c r="AX52" s="671">
        <f t="shared" si="0"/>
        <v>0</v>
      </c>
    </row>
    <row r="53" spans="1:51">
      <c r="A53" s="664" t="s">
        <v>494</v>
      </c>
      <c r="B53" s="664"/>
      <c r="C53" s="664"/>
      <c r="D53" s="664">
        <v>1160505001</v>
      </c>
      <c r="E53" s="664">
        <v>0</v>
      </c>
      <c r="F53" s="664">
        <v>45980</v>
      </c>
      <c r="G53" s="665">
        <v>43505</v>
      </c>
      <c r="H53" s="665">
        <v>44601</v>
      </c>
      <c r="I53" s="664">
        <v>683</v>
      </c>
      <c r="J53" s="666">
        <v>7000000</v>
      </c>
      <c r="K53" s="666">
        <v>2384167</v>
      </c>
      <c r="L53" s="666">
        <v>0</v>
      </c>
      <c r="M53" s="664" t="s">
        <v>495</v>
      </c>
      <c r="N53" s="666">
        <v>7000000</v>
      </c>
      <c r="O53" s="666">
        <v>2384167</v>
      </c>
      <c r="P53" s="666">
        <v>2390500</v>
      </c>
      <c r="Q53" s="664">
        <v>1</v>
      </c>
      <c r="R53" s="664" t="s">
        <v>496</v>
      </c>
      <c r="S53" s="664">
        <v>100</v>
      </c>
      <c r="T53" s="666">
        <v>7000000</v>
      </c>
      <c r="U53" s="666">
        <v>2384167</v>
      </c>
      <c r="V53" s="664">
        <v>100</v>
      </c>
      <c r="W53" s="666">
        <v>4554723</v>
      </c>
      <c r="X53" s="664">
        <v>2</v>
      </c>
      <c r="Y53" s="664">
        <v>1160902010</v>
      </c>
      <c r="Z53" s="664">
        <v>2023</v>
      </c>
      <c r="AA53" s="664">
        <v>12</v>
      </c>
      <c r="AB53" s="664">
        <v>5026003002</v>
      </c>
      <c r="AC53" s="664">
        <v>1160903005</v>
      </c>
      <c r="AD53" s="664">
        <v>0</v>
      </c>
      <c r="AE53" s="664">
        <v>0</v>
      </c>
      <c r="AF53" s="664">
        <v>0</v>
      </c>
      <c r="AG53" s="664">
        <v>1160605001</v>
      </c>
      <c r="AH53" s="664">
        <v>683</v>
      </c>
      <c r="AI53" s="664" t="s">
        <v>498</v>
      </c>
      <c r="AJ53" s="667">
        <v>0.1</v>
      </c>
      <c r="AK53" s="668">
        <f t="shared" si="1"/>
        <v>700000</v>
      </c>
      <c r="AL53" s="668">
        <f t="shared" si="2"/>
        <v>700000</v>
      </c>
      <c r="AM53" s="668">
        <f t="shared" si="2"/>
        <v>700000</v>
      </c>
      <c r="AN53" s="668"/>
      <c r="AO53" s="668"/>
      <c r="AP53" s="668">
        <f t="shared" si="3"/>
        <v>119208.35</v>
      </c>
      <c r="AQ53" s="668">
        <f t="shared" si="4"/>
        <v>119208.35</v>
      </c>
      <c r="AR53" s="668">
        <f t="shared" si="4"/>
        <v>119208.35</v>
      </c>
      <c r="AS53" s="668"/>
      <c r="AT53" s="668"/>
      <c r="AV53" s="670">
        <f t="shared" si="5"/>
        <v>4900000</v>
      </c>
      <c r="AW53" s="670">
        <f t="shared" si="6"/>
        <v>2026541.9499999997</v>
      </c>
      <c r="AX53" s="671">
        <f t="shared" si="0"/>
        <v>0</v>
      </c>
    </row>
    <row r="54" spans="1:51">
      <c r="A54" s="664" t="s">
        <v>494</v>
      </c>
      <c r="B54" s="664"/>
      <c r="C54" s="664"/>
      <c r="D54" s="664">
        <v>1160505001</v>
      </c>
      <c r="E54" s="664">
        <v>0</v>
      </c>
      <c r="F54" s="664">
        <v>44040</v>
      </c>
      <c r="G54" s="665">
        <v>43177</v>
      </c>
      <c r="H54" s="665">
        <v>44273</v>
      </c>
      <c r="I54" s="664">
        <v>1004</v>
      </c>
      <c r="J54" s="666">
        <v>10000000</v>
      </c>
      <c r="K54" s="666">
        <v>5400000</v>
      </c>
      <c r="L54" s="666">
        <v>0</v>
      </c>
      <c r="M54" s="664" t="s">
        <v>495</v>
      </c>
      <c r="N54" s="666">
        <v>10000000</v>
      </c>
      <c r="O54" s="666">
        <v>5400000</v>
      </c>
      <c r="P54" s="666">
        <v>5020000</v>
      </c>
      <c r="Q54" s="664">
        <v>1</v>
      </c>
      <c r="R54" s="664" t="s">
        <v>496</v>
      </c>
      <c r="S54" s="664">
        <v>100</v>
      </c>
      <c r="T54" s="666">
        <v>10000000</v>
      </c>
      <c r="U54" s="666">
        <v>5400000</v>
      </c>
      <c r="V54" s="664">
        <v>300</v>
      </c>
      <c r="W54" s="666">
        <v>2799596</v>
      </c>
      <c r="X54" s="664">
        <v>2</v>
      </c>
      <c r="Y54" s="664">
        <v>1160902010</v>
      </c>
      <c r="Z54" s="664">
        <v>2023</v>
      </c>
      <c r="AA54" s="664">
        <v>12</v>
      </c>
      <c r="AB54" s="664">
        <v>5026003002</v>
      </c>
      <c r="AC54" s="664">
        <v>1160903005</v>
      </c>
      <c r="AD54" s="664">
        <v>0</v>
      </c>
      <c r="AE54" s="664">
        <v>0</v>
      </c>
      <c r="AF54" s="664">
        <v>0</v>
      </c>
      <c r="AG54" s="664">
        <v>1160605001</v>
      </c>
      <c r="AH54" s="664">
        <v>1573</v>
      </c>
      <c r="AI54" s="664" t="s">
        <v>497</v>
      </c>
      <c r="AJ54" s="667">
        <v>0.01</v>
      </c>
      <c r="AK54" s="668">
        <f t="shared" si="1"/>
        <v>100000</v>
      </c>
      <c r="AL54" s="668">
        <f t="shared" si="2"/>
        <v>100000</v>
      </c>
      <c r="AM54" s="668">
        <f t="shared" si="2"/>
        <v>100000</v>
      </c>
      <c r="AN54" s="668"/>
      <c r="AO54" s="668"/>
      <c r="AP54" s="668">
        <f t="shared" si="3"/>
        <v>27000</v>
      </c>
      <c r="AQ54" s="668">
        <f t="shared" si="4"/>
        <v>27000</v>
      </c>
      <c r="AR54" s="668">
        <f t="shared" si="4"/>
        <v>27000</v>
      </c>
      <c r="AS54" s="668"/>
      <c r="AT54" s="668"/>
      <c r="AV54" s="670">
        <f t="shared" si="5"/>
        <v>9700000</v>
      </c>
      <c r="AW54" s="670">
        <f t="shared" si="6"/>
        <v>5319000</v>
      </c>
      <c r="AX54" s="671">
        <f t="shared" si="0"/>
        <v>0</v>
      </c>
    </row>
    <row r="55" spans="1:51">
      <c r="A55" s="664" t="s">
        <v>494</v>
      </c>
      <c r="B55" s="664"/>
      <c r="C55" s="664"/>
      <c r="D55" s="664">
        <v>1160505002</v>
      </c>
      <c r="E55" s="664">
        <v>0</v>
      </c>
      <c r="F55" s="664">
        <v>45221</v>
      </c>
      <c r="G55" s="665">
        <v>43331</v>
      </c>
      <c r="H55" s="665">
        <v>43696</v>
      </c>
      <c r="I55" s="664">
        <v>1573</v>
      </c>
      <c r="J55" s="666">
        <v>1264660</v>
      </c>
      <c r="K55" s="666">
        <v>0</v>
      </c>
      <c r="L55" s="666">
        <v>0</v>
      </c>
      <c r="M55" s="664" t="s">
        <v>495</v>
      </c>
      <c r="N55" s="666">
        <v>1264660</v>
      </c>
      <c r="O55" s="666">
        <v>0</v>
      </c>
      <c r="P55" s="666">
        <v>994655</v>
      </c>
      <c r="Q55" s="664">
        <v>1</v>
      </c>
      <c r="R55" s="664" t="s">
        <v>496</v>
      </c>
      <c r="S55" s="664">
        <v>100</v>
      </c>
      <c r="T55" s="666">
        <v>1264660</v>
      </c>
      <c r="U55" s="666">
        <v>0</v>
      </c>
      <c r="V55" s="664">
        <v>300</v>
      </c>
      <c r="W55" s="666">
        <v>2799596</v>
      </c>
      <c r="X55" s="664">
        <v>6</v>
      </c>
      <c r="Y55" s="664">
        <v>1160902010</v>
      </c>
      <c r="Z55" s="664">
        <v>2023</v>
      </c>
      <c r="AA55" s="664">
        <v>12</v>
      </c>
      <c r="AB55" s="664">
        <v>5026003002</v>
      </c>
      <c r="AC55" s="664">
        <v>1160903005</v>
      </c>
      <c r="AD55" s="664">
        <v>0</v>
      </c>
      <c r="AE55" s="664">
        <v>0</v>
      </c>
      <c r="AF55" s="664">
        <v>0</v>
      </c>
      <c r="AG55" s="664">
        <v>1160605001</v>
      </c>
      <c r="AH55" s="664">
        <v>1573</v>
      </c>
      <c r="AI55" s="664" t="s">
        <v>497</v>
      </c>
      <c r="AJ55" s="667">
        <v>0.01</v>
      </c>
      <c r="AK55" s="668">
        <f t="shared" si="1"/>
        <v>12646.6</v>
      </c>
      <c r="AL55" s="668">
        <f t="shared" si="2"/>
        <v>12646.6</v>
      </c>
      <c r="AM55" s="668">
        <f t="shared" si="2"/>
        <v>12646.6</v>
      </c>
      <c r="AN55" s="668"/>
      <c r="AO55" s="668"/>
      <c r="AP55" s="668">
        <f t="shared" si="3"/>
        <v>0</v>
      </c>
      <c r="AQ55" s="668">
        <f t="shared" si="4"/>
        <v>0</v>
      </c>
      <c r="AR55" s="668">
        <f t="shared" si="4"/>
        <v>0</v>
      </c>
      <c r="AS55" s="668"/>
      <c r="AT55" s="668"/>
      <c r="AV55" s="670">
        <f t="shared" si="5"/>
        <v>1226720.1999999997</v>
      </c>
      <c r="AW55" s="670">
        <f t="shared" si="6"/>
        <v>0</v>
      </c>
      <c r="AX55" s="671">
        <f t="shared" si="0"/>
        <v>0</v>
      </c>
    </row>
    <row r="56" spans="1:51">
      <c r="A56" s="664" t="s">
        <v>494</v>
      </c>
      <c r="B56" s="664"/>
      <c r="C56" s="664"/>
      <c r="D56" s="664">
        <v>1160505001</v>
      </c>
      <c r="E56" s="664">
        <v>0</v>
      </c>
      <c r="F56" s="664">
        <v>41655</v>
      </c>
      <c r="G56" s="665">
        <v>42806</v>
      </c>
      <c r="H56" s="665">
        <v>43902</v>
      </c>
      <c r="I56" s="664">
        <v>1370</v>
      </c>
      <c r="J56" s="666">
        <v>995092</v>
      </c>
      <c r="K56" s="666">
        <v>17940</v>
      </c>
      <c r="L56" s="666">
        <v>0</v>
      </c>
      <c r="M56" s="664" t="s">
        <v>495</v>
      </c>
      <c r="N56" s="666">
        <v>995092</v>
      </c>
      <c r="O56" s="666">
        <v>17940</v>
      </c>
      <c r="P56" s="666">
        <v>681638</v>
      </c>
      <c r="Q56" s="664">
        <v>1</v>
      </c>
      <c r="R56" s="664" t="s">
        <v>496</v>
      </c>
      <c r="S56" s="664">
        <v>100</v>
      </c>
      <c r="T56" s="666">
        <v>995092</v>
      </c>
      <c r="U56" s="666">
        <v>17940</v>
      </c>
      <c r="V56" s="664">
        <v>100</v>
      </c>
      <c r="W56" s="666">
        <v>1415051</v>
      </c>
      <c r="X56" s="664">
        <v>14</v>
      </c>
      <c r="Y56" s="664">
        <v>1160902010</v>
      </c>
      <c r="Z56" s="664">
        <v>2023</v>
      </c>
      <c r="AA56" s="664">
        <v>12</v>
      </c>
      <c r="AB56" s="664">
        <v>5026003002</v>
      </c>
      <c r="AC56" s="664">
        <v>1160903005</v>
      </c>
      <c r="AD56" s="664">
        <v>0</v>
      </c>
      <c r="AE56" s="664">
        <v>0</v>
      </c>
      <c r="AF56" s="664">
        <v>0</v>
      </c>
      <c r="AG56" s="664">
        <v>1160605001</v>
      </c>
      <c r="AH56" s="664">
        <v>1370</v>
      </c>
      <c r="AI56" s="664" t="s">
        <v>497</v>
      </c>
      <c r="AJ56" s="667">
        <v>0.01</v>
      </c>
      <c r="AK56" s="668">
        <f t="shared" si="1"/>
        <v>9950.92</v>
      </c>
      <c r="AL56" s="668">
        <f t="shared" si="2"/>
        <v>9950.92</v>
      </c>
      <c r="AM56" s="668">
        <f t="shared" si="2"/>
        <v>9950.92</v>
      </c>
      <c r="AN56" s="668"/>
      <c r="AO56" s="668"/>
      <c r="AP56" s="668">
        <f t="shared" si="3"/>
        <v>89.7</v>
      </c>
      <c r="AQ56" s="668">
        <f t="shared" si="4"/>
        <v>89.7</v>
      </c>
      <c r="AR56" s="668">
        <f t="shared" si="4"/>
        <v>89.7</v>
      </c>
      <c r="AS56" s="668"/>
      <c r="AT56" s="668"/>
      <c r="AV56" s="670">
        <f t="shared" si="5"/>
        <v>965239.23999999987</v>
      </c>
      <c r="AW56" s="670">
        <f t="shared" si="6"/>
        <v>17670.899999999998</v>
      </c>
      <c r="AX56" s="671">
        <f t="shared" si="0"/>
        <v>0</v>
      </c>
    </row>
    <row r="57" spans="1:51">
      <c r="A57" s="664" t="s">
        <v>494</v>
      </c>
      <c r="B57" s="664"/>
      <c r="C57" s="664"/>
      <c r="D57" s="664">
        <v>1160505001</v>
      </c>
      <c r="E57" s="664">
        <v>0</v>
      </c>
      <c r="F57" s="664">
        <v>43821</v>
      </c>
      <c r="G57" s="665">
        <v>43156</v>
      </c>
      <c r="H57" s="665">
        <v>44617</v>
      </c>
      <c r="I57" s="664">
        <v>667</v>
      </c>
      <c r="J57" s="666">
        <v>2500000</v>
      </c>
      <c r="K57" s="666">
        <v>900000</v>
      </c>
      <c r="L57" s="666">
        <v>0</v>
      </c>
      <c r="M57" s="664" t="s">
        <v>495</v>
      </c>
      <c r="N57" s="666">
        <v>2500000</v>
      </c>
      <c r="O57" s="666">
        <v>900000</v>
      </c>
      <c r="P57" s="666">
        <v>833750</v>
      </c>
      <c r="Q57" s="664">
        <v>1</v>
      </c>
      <c r="R57" s="664" t="s">
        <v>496</v>
      </c>
      <c r="S57" s="664">
        <v>100</v>
      </c>
      <c r="T57" s="666">
        <v>2500000</v>
      </c>
      <c r="U57" s="666">
        <v>900000</v>
      </c>
      <c r="V57" s="664">
        <v>100</v>
      </c>
      <c r="W57" s="666">
        <v>1415051</v>
      </c>
      <c r="X57" s="664">
        <v>14</v>
      </c>
      <c r="Y57" s="664">
        <v>1160902010</v>
      </c>
      <c r="Z57" s="664">
        <v>2023</v>
      </c>
      <c r="AA57" s="664">
        <v>12</v>
      </c>
      <c r="AB57" s="664">
        <v>5026003002</v>
      </c>
      <c r="AC57" s="664">
        <v>1160903005</v>
      </c>
      <c r="AD57" s="664">
        <v>0</v>
      </c>
      <c r="AE57" s="664">
        <v>0</v>
      </c>
      <c r="AF57" s="664">
        <v>0</v>
      </c>
      <c r="AG57" s="664">
        <v>1160605001</v>
      </c>
      <c r="AH57" s="664">
        <v>1370</v>
      </c>
      <c r="AI57" s="664" t="s">
        <v>497</v>
      </c>
      <c r="AJ57" s="667">
        <v>0.01</v>
      </c>
      <c r="AK57" s="668">
        <f t="shared" si="1"/>
        <v>25000</v>
      </c>
      <c r="AL57" s="668">
        <f t="shared" si="2"/>
        <v>25000</v>
      </c>
      <c r="AM57" s="668">
        <f t="shared" si="2"/>
        <v>25000</v>
      </c>
      <c r="AN57" s="668"/>
      <c r="AO57" s="668"/>
      <c r="AP57" s="668">
        <f t="shared" si="3"/>
        <v>4500</v>
      </c>
      <c r="AQ57" s="668">
        <f t="shared" si="4"/>
        <v>4500</v>
      </c>
      <c r="AR57" s="668">
        <f t="shared" si="4"/>
        <v>4500</v>
      </c>
      <c r="AS57" s="668"/>
      <c r="AT57" s="668"/>
      <c r="AV57" s="670">
        <f t="shared" si="5"/>
        <v>2425000</v>
      </c>
      <c r="AW57" s="670">
        <f t="shared" si="6"/>
        <v>886500</v>
      </c>
      <c r="AX57" s="671">
        <f t="shared" si="0"/>
        <v>0</v>
      </c>
    </row>
    <row r="58" spans="1:51">
      <c r="A58" s="664" t="s">
        <v>494</v>
      </c>
      <c r="B58" s="664"/>
      <c r="C58" s="664"/>
      <c r="D58" s="664">
        <v>1160505001</v>
      </c>
      <c r="E58" s="664">
        <v>0</v>
      </c>
      <c r="F58" s="664">
        <v>45821</v>
      </c>
      <c r="G58" s="665">
        <v>43491</v>
      </c>
      <c r="H58" s="665">
        <v>43856</v>
      </c>
      <c r="I58" s="664">
        <v>1416</v>
      </c>
      <c r="J58" s="666">
        <v>1819627</v>
      </c>
      <c r="K58" s="666">
        <v>0</v>
      </c>
      <c r="L58" s="666">
        <v>0</v>
      </c>
      <c r="M58" s="664" t="s">
        <v>495</v>
      </c>
      <c r="N58" s="666">
        <v>1819627</v>
      </c>
      <c r="O58" s="666">
        <v>0</v>
      </c>
      <c r="P58" s="666">
        <v>1288296</v>
      </c>
      <c r="Q58" s="664">
        <v>1</v>
      </c>
      <c r="R58" s="664" t="s">
        <v>496</v>
      </c>
      <c r="S58" s="664">
        <v>100</v>
      </c>
      <c r="T58" s="666">
        <v>1819627</v>
      </c>
      <c r="U58" s="666">
        <v>0</v>
      </c>
      <c r="V58" s="664">
        <v>100</v>
      </c>
      <c r="W58" s="666">
        <v>1798898</v>
      </c>
      <c r="X58" s="664">
        <v>2</v>
      </c>
      <c r="Y58" s="664">
        <v>1160902010</v>
      </c>
      <c r="Z58" s="664">
        <v>2023</v>
      </c>
      <c r="AA58" s="664">
        <v>12</v>
      </c>
      <c r="AB58" s="664">
        <v>5026003002</v>
      </c>
      <c r="AC58" s="664">
        <v>1160903005</v>
      </c>
      <c r="AD58" s="664">
        <v>0</v>
      </c>
      <c r="AE58" s="664">
        <v>0</v>
      </c>
      <c r="AF58" s="664">
        <v>0</v>
      </c>
      <c r="AG58" s="664">
        <v>1160605001</v>
      </c>
      <c r="AH58" s="664">
        <v>1416</v>
      </c>
      <c r="AI58" s="664" t="s">
        <v>497</v>
      </c>
      <c r="AJ58" s="667">
        <v>0.01</v>
      </c>
      <c r="AK58" s="668">
        <f t="shared" si="1"/>
        <v>18196.27</v>
      </c>
      <c r="AL58" s="668">
        <f t="shared" si="2"/>
        <v>18196.27</v>
      </c>
      <c r="AM58" s="668">
        <f t="shared" si="2"/>
        <v>18196.27</v>
      </c>
      <c r="AN58" s="668"/>
      <c r="AO58" s="668"/>
      <c r="AP58" s="668">
        <f t="shared" si="3"/>
        <v>0</v>
      </c>
      <c r="AQ58" s="668">
        <f t="shared" si="4"/>
        <v>0</v>
      </c>
      <c r="AR58" s="668">
        <f t="shared" si="4"/>
        <v>0</v>
      </c>
      <c r="AS58" s="668"/>
      <c r="AT58" s="668"/>
      <c r="AV58" s="670">
        <f t="shared" si="5"/>
        <v>1765038.19</v>
      </c>
      <c r="AW58" s="670">
        <f t="shared" si="6"/>
        <v>0</v>
      </c>
      <c r="AX58" s="671">
        <f t="shared" si="0"/>
        <v>0</v>
      </c>
    </row>
    <row r="59" spans="1:51">
      <c r="A59" s="664" t="s">
        <v>494</v>
      </c>
      <c r="B59" s="664"/>
      <c r="C59" s="664"/>
      <c r="D59" s="664">
        <v>1160505001</v>
      </c>
      <c r="E59" s="664">
        <v>0</v>
      </c>
      <c r="F59" s="664">
        <v>43467</v>
      </c>
      <c r="G59" s="665">
        <v>43129</v>
      </c>
      <c r="H59" s="665">
        <v>43859</v>
      </c>
      <c r="I59" s="664">
        <v>1413</v>
      </c>
      <c r="J59" s="666">
        <v>10000000</v>
      </c>
      <c r="K59" s="666">
        <v>0</v>
      </c>
      <c r="L59" s="666">
        <v>0</v>
      </c>
      <c r="M59" s="664" t="s">
        <v>495</v>
      </c>
      <c r="N59" s="666">
        <v>10000000</v>
      </c>
      <c r="O59" s="666">
        <v>0</v>
      </c>
      <c r="P59" s="666">
        <v>7065000</v>
      </c>
      <c r="Q59" s="664">
        <v>1</v>
      </c>
      <c r="R59" s="664" t="s">
        <v>496</v>
      </c>
      <c r="S59" s="664">
        <v>100</v>
      </c>
      <c r="T59" s="666">
        <v>10000000</v>
      </c>
      <c r="U59" s="666">
        <v>0</v>
      </c>
      <c r="V59" s="664">
        <v>300</v>
      </c>
      <c r="W59" s="666">
        <v>5734320</v>
      </c>
      <c r="X59" s="664">
        <v>2</v>
      </c>
      <c r="Y59" s="664">
        <v>1160902010</v>
      </c>
      <c r="Z59" s="664">
        <v>2023</v>
      </c>
      <c r="AA59" s="664">
        <v>12</v>
      </c>
      <c r="AB59" s="664">
        <v>5026003002</v>
      </c>
      <c r="AC59" s="664">
        <v>1160903005</v>
      </c>
      <c r="AD59" s="664">
        <v>0</v>
      </c>
      <c r="AE59" s="664">
        <v>0</v>
      </c>
      <c r="AF59" s="664">
        <v>0</v>
      </c>
      <c r="AG59" s="664">
        <v>1160605001</v>
      </c>
      <c r="AH59" s="664">
        <v>1413</v>
      </c>
      <c r="AI59" s="664" t="s">
        <v>497</v>
      </c>
      <c r="AJ59" s="667">
        <v>0.01</v>
      </c>
      <c r="AK59" s="668">
        <f t="shared" si="1"/>
        <v>100000</v>
      </c>
      <c r="AL59" s="668">
        <f t="shared" si="2"/>
        <v>100000</v>
      </c>
      <c r="AM59" s="668">
        <f t="shared" si="2"/>
        <v>100000</v>
      </c>
      <c r="AN59" s="668"/>
      <c r="AO59" s="668"/>
      <c r="AP59" s="668">
        <f t="shared" si="3"/>
        <v>0</v>
      </c>
      <c r="AQ59" s="668">
        <f t="shared" si="4"/>
        <v>0</v>
      </c>
      <c r="AR59" s="668">
        <f t="shared" si="4"/>
        <v>0</v>
      </c>
      <c r="AS59" s="668"/>
      <c r="AT59" s="668"/>
      <c r="AV59" s="670">
        <f t="shared" si="5"/>
        <v>9700000</v>
      </c>
      <c r="AW59" s="670">
        <f t="shared" si="6"/>
        <v>0</v>
      </c>
      <c r="AX59" s="671">
        <f t="shared" si="0"/>
        <v>0</v>
      </c>
    </row>
    <row r="60" spans="1:51">
      <c r="A60" s="664" t="s">
        <v>494</v>
      </c>
      <c r="B60" s="664"/>
      <c r="C60" s="664"/>
      <c r="D60" s="664">
        <v>1160405004</v>
      </c>
      <c r="E60" s="664">
        <v>42081</v>
      </c>
      <c r="F60" s="664">
        <v>47166</v>
      </c>
      <c r="G60" s="665">
        <v>43674</v>
      </c>
      <c r="H60" s="665">
        <v>44770</v>
      </c>
      <c r="I60" s="664">
        <v>514</v>
      </c>
      <c r="J60" s="666">
        <v>111489281</v>
      </c>
      <c r="K60" s="666">
        <v>60204204</v>
      </c>
      <c r="L60" s="666">
        <v>573671000</v>
      </c>
      <c r="M60" s="664" t="s">
        <v>495</v>
      </c>
      <c r="N60" s="666">
        <v>0</v>
      </c>
      <c r="O60" s="666">
        <v>60204204</v>
      </c>
      <c r="P60" s="666">
        <v>28652745</v>
      </c>
      <c r="Q60" s="664">
        <v>2</v>
      </c>
      <c r="R60" s="664" t="s">
        <v>496</v>
      </c>
      <c r="S60" s="664">
        <v>100</v>
      </c>
      <c r="T60" s="666">
        <v>0</v>
      </c>
      <c r="U60" s="666">
        <v>60204204</v>
      </c>
      <c r="V60" s="664">
        <v>300</v>
      </c>
      <c r="W60" s="666">
        <v>30671806</v>
      </c>
      <c r="X60" s="664">
        <v>5</v>
      </c>
      <c r="Y60" s="664">
        <v>1160902008</v>
      </c>
      <c r="Z60" s="664">
        <v>2023</v>
      </c>
      <c r="AA60" s="664">
        <v>12</v>
      </c>
      <c r="AB60" s="664">
        <v>5026003002</v>
      </c>
      <c r="AC60" s="664">
        <v>1160903005</v>
      </c>
      <c r="AD60" s="664">
        <v>0</v>
      </c>
      <c r="AE60" s="664">
        <v>0</v>
      </c>
      <c r="AF60" s="664">
        <v>1</v>
      </c>
      <c r="AG60" s="664">
        <v>1160605001</v>
      </c>
      <c r="AH60" s="664">
        <v>514</v>
      </c>
      <c r="AI60" s="664" t="s">
        <v>498</v>
      </c>
      <c r="AJ60" s="667">
        <v>0.1</v>
      </c>
      <c r="AK60" s="668">
        <f t="shared" si="1"/>
        <v>11148928.100000001</v>
      </c>
      <c r="AL60" s="668">
        <f t="shared" si="2"/>
        <v>11148928.100000001</v>
      </c>
      <c r="AM60" s="668">
        <f t="shared" si="2"/>
        <v>11148928.100000001</v>
      </c>
      <c r="AN60" s="668"/>
      <c r="AO60" s="668"/>
      <c r="AP60" s="668">
        <f t="shared" si="3"/>
        <v>3010210.2</v>
      </c>
      <c r="AQ60" s="668">
        <f t="shared" si="4"/>
        <v>3010210.2</v>
      </c>
      <c r="AR60" s="668">
        <f t="shared" si="4"/>
        <v>3010210.2</v>
      </c>
      <c r="AS60" s="668"/>
      <c r="AT60" s="668"/>
      <c r="AV60" s="670">
        <f t="shared" si="5"/>
        <v>78042496.700000018</v>
      </c>
      <c r="AW60" s="670">
        <f t="shared" si="6"/>
        <v>51173573.399999991</v>
      </c>
      <c r="AX60" s="671">
        <f t="shared" si="0"/>
        <v>111489281</v>
      </c>
      <c r="AY60" s="671">
        <f>+AX60-L60</f>
        <v>-462181719</v>
      </c>
    </row>
    <row r="61" spans="1:51">
      <c r="A61" s="664" t="s">
        <v>494</v>
      </c>
      <c r="B61" s="664"/>
      <c r="C61" s="664"/>
      <c r="D61" s="664">
        <v>1160405004</v>
      </c>
      <c r="E61" s="664">
        <v>0</v>
      </c>
      <c r="F61" s="664">
        <v>41132</v>
      </c>
      <c r="G61" s="665">
        <v>43674</v>
      </c>
      <c r="H61" s="665">
        <v>44770</v>
      </c>
      <c r="I61" s="664">
        <v>514</v>
      </c>
      <c r="J61" s="666">
        <v>0</v>
      </c>
      <c r="K61" s="666">
        <v>44499380</v>
      </c>
      <c r="L61" s="666">
        <v>0</v>
      </c>
      <c r="M61" s="664" t="s">
        <v>495</v>
      </c>
      <c r="N61" s="666">
        <v>0</v>
      </c>
      <c r="O61" s="666">
        <v>44499380</v>
      </c>
      <c r="P61" s="666">
        <v>0</v>
      </c>
      <c r="Q61" s="664">
        <v>2</v>
      </c>
      <c r="R61" s="664" t="s">
        <v>496</v>
      </c>
      <c r="S61" s="664">
        <v>100</v>
      </c>
      <c r="T61" s="666">
        <v>0</v>
      </c>
      <c r="U61" s="666">
        <v>44499380</v>
      </c>
      <c r="V61" s="664">
        <v>300</v>
      </c>
      <c r="W61" s="666">
        <v>30671806</v>
      </c>
      <c r="X61" s="664">
        <v>5</v>
      </c>
      <c r="Y61" s="664">
        <v>1160902008</v>
      </c>
      <c r="Z61" s="664">
        <v>2023</v>
      </c>
      <c r="AA61" s="664">
        <v>12</v>
      </c>
      <c r="AB61" s="664">
        <v>5026003002</v>
      </c>
      <c r="AC61" s="664">
        <v>1160903005</v>
      </c>
      <c r="AD61" s="664">
        <v>0</v>
      </c>
      <c r="AE61" s="664">
        <v>0</v>
      </c>
      <c r="AF61" s="664">
        <v>1</v>
      </c>
      <c r="AG61" s="664">
        <v>1160605001</v>
      </c>
      <c r="AH61" s="664">
        <v>514</v>
      </c>
      <c r="AI61" s="664" t="s">
        <v>498</v>
      </c>
      <c r="AJ61" s="667">
        <v>0.1</v>
      </c>
      <c r="AK61" s="668">
        <f t="shared" si="1"/>
        <v>0</v>
      </c>
      <c r="AL61" s="668">
        <f t="shared" si="2"/>
        <v>0</v>
      </c>
      <c r="AM61" s="668">
        <f t="shared" si="2"/>
        <v>0</v>
      </c>
      <c r="AN61" s="668"/>
      <c r="AO61" s="668"/>
      <c r="AP61" s="668">
        <f t="shared" si="3"/>
        <v>2224969</v>
      </c>
      <c r="AQ61" s="668">
        <f t="shared" si="4"/>
        <v>2224969</v>
      </c>
      <c r="AR61" s="668">
        <f t="shared" si="4"/>
        <v>2224969</v>
      </c>
      <c r="AS61" s="668"/>
      <c r="AT61" s="668"/>
      <c r="AV61" s="670">
        <f t="shared" si="5"/>
        <v>0</v>
      </c>
      <c r="AW61" s="670">
        <f t="shared" si="6"/>
        <v>37824473</v>
      </c>
      <c r="AX61" s="671">
        <f t="shared" si="0"/>
        <v>0</v>
      </c>
    </row>
    <row r="62" spans="1:51">
      <c r="A62" s="664" t="s">
        <v>494</v>
      </c>
      <c r="B62" s="664"/>
      <c r="C62" s="664"/>
      <c r="D62" s="664">
        <v>1160505001</v>
      </c>
      <c r="E62" s="664">
        <v>0</v>
      </c>
      <c r="F62" s="664">
        <v>43541</v>
      </c>
      <c r="G62" s="665">
        <v>43135</v>
      </c>
      <c r="H62" s="665">
        <v>44231</v>
      </c>
      <c r="I62" s="664">
        <v>1048</v>
      </c>
      <c r="J62" s="666">
        <v>6666000</v>
      </c>
      <c r="K62" s="666">
        <v>1622060</v>
      </c>
      <c r="L62" s="666">
        <v>0</v>
      </c>
      <c r="M62" s="664" t="s">
        <v>495</v>
      </c>
      <c r="N62" s="666">
        <v>6666000</v>
      </c>
      <c r="O62" s="666">
        <v>1622060</v>
      </c>
      <c r="P62" s="666">
        <v>3492984</v>
      </c>
      <c r="Q62" s="664">
        <v>1</v>
      </c>
      <c r="R62" s="664" t="s">
        <v>496</v>
      </c>
      <c r="S62" s="664">
        <v>100</v>
      </c>
      <c r="T62" s="666">
        <v>6666000</v>
      </c>
      <c r="U62" s="666">
        <v>1622060</v>
      </c>
      <c r="V62" s="664">
        <v>300</v>
      </c>
      <c r="W62" s="666">
        <v>9658729</v>
      </c>
      <c r="X62" s="664">
        <v>2</v>
      </c>
      <c r="Y62" s="664">
        <v>1160902010</v>
      </c>
      <c r="Z62" s="664">
        <v>2023</v>
      </c>
      <c r="AA62" s="664">
        <v>12</v>
      </c>
      <c r="AB62" s="664">
        <v>5026003002</v>
      </c>
      <c r="AC62" s="664">
        <v>1160903005</v>
      </c>
      <c r="AD62" s="664">
        <v>0</v>
      </c>
      <c r="AE62" s="664">
        <v>0</v>
      </c>
      <c r="AF62" s="664">
        <v>0</v>
      </c>
      <c r="AG62" s="664">
        <v>1160605001</v>
      </c>
      <c r="AH62" s="664">
        <v>1048</v>
      </c>
      <c r="AI62" s="664" t="s">
        <v>499</v>
      </c>
      <c r="AJ62" s="667">
        <v>0.05</v>
      </c>
      <c r="AK62" s="668">
        <f t="shared" si="1"/>
        <v>333300</v>
      </c>
      <c r="AL62" s="668">
        <f t="shared" si="2"/>
        <v>333300</v>
      </c>
      <c r="AM62" s="668">
        <f t="shared" si="2"/>
        <v>333300</v>
      </c>
      <c r="AN62" s="668"/>
      <c r="AO62" s="668"/>
      <c r="AP62" s="668">
        <f t="shared" si="3"/>
        <v>40551.5</v>
      </c>
      <c r="AQ62" s="668">
        <f t="shared" si="4"/>
        <v>40551.5</v>
      </c>
      <c r="AR62" s="668">
        <f t="shared" si="4"/>
        <v>40551.5</v>
      </c>
      <c r="AS62" s="668"/>
      <c r="AT62" s="668"/>
      <c r="AV62" s="670">
        <f t="shared" si="5"/>
        <v>5666100</v>
      </c>
      <c r="AW62" s="670">
        <f t="shared" si="6"/>
        <v>1500405.5</v>
      </c>
      <c r="AX62" s="671">
        <f t="shared" si="0"/>
        <v>0</v>
      </c>
    </row>
    <row r="63" spans="1:51">
      <c r="A63" s="664" t="s">
        <v>494</v>
      </c>
      <c r="B63" s="664"/>
      <c r="C63" s="664"/>
      <c r="D63" s="664">
        <v>1160505001</v>
      </c>
      <c r="E63" s="664">
        <v>0</v>
      </c>
      <c r="F63" s="664">
        <v>46072</v>
      </c>
      <c r="G63" s="665">
        <v>43511</v>
      </c>
      <c r="H63" s="665">
        <v>44607</v>
      </c>
      <c r="I63" s="664">
        <v>677</v>
      </c>
      <c r="J63" s="666">
        <v>10000000</v>
      </c>
      <c r="K63" s="666">
        <v>2700000</v>
      </c>
      <c r="L63" s="666">
        <v>0</v>
      </c>
      <c r="M63" s="664" t="s">
        <v>495</v>
      </c>
      <c r="N63" s="666">
        <v>10000000</v>
      </c>
      <c r="O63" s="666">
        <v>2700000</v>
      </c>
      <c r="P63" s="666">
        <v>3385000</v>
      </c>
      <c r="Q63" s="664">
        <v>1</v>
      </c>
      <c r="R63" s="664" t="s">
        <v>496</v>
      </c>
      <c r="S63" s="664">
        <v>100</v>
      </c>
      <c r="T63" s="666">
        <v>10000000</v>
      </c>
      <c r="U63" s="666">
        <v>2700000</v>
      </c>
      <c r="V63" s="664">
        <v>300</v>
      </c>
      <c r="W63" s="666">
        <v>9658729</v>
      </c>
      <c r="X63" s="664">
        <v>2</v>
      </c>
      <c r="Y63" s="664">
        <v>1160902010</v>
      </c>
      <c r="Z63" s="664">
        <v>2023</v>
      </c>
      <c r="AA63" s="664">
        <v>12</v>
      </c>
      <c r="AB63" s="664">
        <v>5026003002</v>
      </c>
      <c r="AC63" s="664">
        <v>1160903005</v>
      </c>
      <c r="AD63" s="664">
        <v>0</v>
      </c>
      <c r="AE63" s="664">
        <v>0</v>
      </c>
      <c r="AF63" s="664">
        <v>0</v>
      </c>
      <c r="AG63" s="664">
        <v>1160605001</v>
      </c>
      <c r="AH63" s="664">
        <v>1048</v>
      </c>
      <c r="AI63" s="664" t="s">
        <v>499</v>
      </c>
      <c r="AJ63" s="667">
        <v>0.05</v>
      </c>
      <c r="AK63" s="668">
        <f t="shared" si="1"/>
        <v>500000</v>
      </c>
      <c r="AL63" s="668">
        <f t="shared" si="2"/>
        <v>500000</v>
      </c>
      <c r="AM63" s="668">
        <f t="shared" si="2"/>
        <v>500000</v>
      </c>
      <c r="AN63" s="668"/>
      <c r="AO63" s="668"/>
      <c r="AP63" s="668">
        <f t="shared" si="3"/>
        <v>67500</v>
      </c>
      <c r="AQ63" s="668">
        <f t="shared" si="4"/>
        <v>67500</v>
      </c>
      <c r="AR63" s="668">
        <f t="shared" si="4"/>
        <v>67500</v>
      </c>
      <c r="AS63" s="668"/>
      <c r="AT63" s="668"/>
      <c r="AV63" s="670">
        <f t="shared" si="5"/>
        <v>8500000</v>
      </c>
      <c r="AW63" s="670">
        <f t="shared" si="6"/>
        <v>2497500</v>
      </c>
      <c r="AX63" s="671">
        <f t="shared" si="0"/>
        <v>0</v>
      </c>
    </row>
    <row r="64" spans="1:51">
      <c r="A64" s="664" t="s">
        <v>494</v>
      </c>
      <c r="B64" s="664"/>
      <c r="C64" s="664"/>
      <c r="D64" s="664">
        <v>1160505004</v>
      </c>
      <c r="E64" s="664">
        <v>30486</v>
      </c>
      <c r="F64" s="664">
        <v>35092</v>
      </c>
      <c r="G64" s="665">
        <v>41719</v>
      </c>
      <c r="H64" s="665">
        <v>42815</v>
      </c>
      <c r="I64" s="664">
        <v>2441</v>
      </c>
      <c r="J64" s="666">
        <v>2605000</v>
      </c>
      <c r="K64" s="666">
        <v>113027</v>
      </c>
      <c r="L64" s="666">
        <v>0</v>
      </c>
      <c r="M64" s="664" t="s">
        <v>495</v>
      </c>
      <c r="N64" s="666">
        <v>2605000</v>
      </c>
      <c r="O64" s="666">
        <v>113027</v>
      </c>
      <c r="P64" s="666">
        <v>3179403</v>
      </c>
      <c r="Q64" s="664">
        <v>1</v>
      </c>
      <c r="R64" s="664" t="s">
        <v>496</v>
      </c>
      <c r="S64" s="664">
        <v>100</v>
      </c>
      <c r="T64" s="666">
        <v>2605000</v>
      </c>
      <c r="U64" s="666">
        <v>113027</v>
      </c>
      <c r="V64" s="664">
        <v>300</v>
      </c>
      <c r="W64" s="666">
        <v>8515214</v>
      </c>
      <c r="X64" s="664">
        <v>5</v>
      </c>
      <c r="Y64" s="664">
        <v>1160902010</v>
      </c>
      <c r="Z64" s="664">
        <v>2023</v>
      </c>
      <c r="AA64" s="664">
        <v>12</v>
      </c>
      <c r="AB64" s="664">
        <v>5026003002</v>
      </c>
      <c r="AC64" s="664">
        <v>1160903005</v>
      </c>
      <c r="AD64" s="664">
        <v>0</v>
      </c>
      <c r="AE64" s="664">
        <v>0</v>
      </c>
      <c r="AF64" s="664">
        <v>0</v>
      </c>
      <c r="AG64" s="664">
        <v>1160605001</v>
      </c>
      <c r="AH64" s="664">
        <v>2441</v>
      </c>
      <c r="AI64" s="664" t="s">
        <v>497</v>
      </c>
      <c r="AJ64" s="667">
        <v>0.01</v>
      </c>
      <c r="AK64" s="668">
        <f t="shared" si="1"/>
        <v>26050</v>
      </c>
      <c r="AL64" s="668">
        <f t="shared" si="2"/>
        <v>26050</v>
      </c>
      <c r="AM64" s="668">
        <f t="shared" si="2"/>
        <v>26050</v>
      </c>
      <c r="AN64" s="668"/>
      <c r="AO64" s="668"/>
      <c r="AP64" s="668">
        <f t="shared" si="3"/>
        <v>565.13499999999999</v>
      </c>
      <c r="AQ64" s="668">
        <f t="shared" si="4"/>
        <v>565.13499999999999</v>
      </c>
      <c r="AR64" s="668">
        <f t="shared" si="4"/>
        <v>565.13499999999999</v>
      </c>
      <c r="AS64" s="668"/>
      <c r="AT64" s="668"/>
      <c r="AV64" s="670">
        <f t="shared" si="5"/>
        <v>2526850</v>
      </c>
      <c r="AW64" s="670">
        <f t="shared" si="6"/>
        <v>111331.59500000002</v>
      </c>
      <c r="AX64" s="671">
        <f t="shared" si="0"/>
        <v>0</v>
      </c>
    </row>
    <row r="65" spans="1:50">
      <c r="A65" s="664" t="s">
        <v>494</v>
      </c>
      <c r="B65" s="664"/>
      <c r="C65" s="664"/>
      <c r="D65" s="664">
        <v>1160505004</v>
      </c>
      <c r="E65" s="664">
        <v>39472</v>
      </c>
      <c r="F65" s="664">
        <v>41846</v>
      </c>
      <c r="G65" s="665">
        <v>42827</v>
      </c>
      <c r="H65" s="665">
        <v>43923</v>
      </c>
      <c r="I65" s="664">
        <v>1350</v>
      </c>
      <c r="J65" s="666">
        <v>1301819</v>
      </c>
      <c r="K65" s="666">
        <v>42562</v>
      </c>
      <c r="L65" s="666">
        <v>0</v>
      </c>
      <c r="M65" s="664" t="s">
        <v>495</v>
      </c>
      <c r="N65" s="666">
        <v>1301819</v>
      </c>
      <c r="O65" s="666">
        <v>42562</v>
      </c>
      <c r="P65" s="666">
        <v>878728</v>
      </c>
      <c r="Q65" s="664">
        <v>1</v>
      </c>
      <c r="R65" s="664" t="s">
        <v>496</v>
      </c>
      <c r="S65" s="664">
        <v>100</v>
      </c>
      <c r="T65" s="666">
        <v>1301819</v>
      </c>
      <c r="U65" s="666">
        <v>42562</v>
      </c>
      <c r="V65" s="664">
        <v>300</v>
      </c>
      <c r="W65" s="666">
        <v>3165708</v>
      </c>
      <c r="X65" s="664">
        <v>5</v>
      </c>
      <c r="Y65" s="664">
        <v>1160902010</v>
      </c>
      <c r="Z65" s="664">
        <v>2023</v>
      </c>
      <c r="AA65" s="664">
        <v>12</v>
      </c>
      <c r="AB65" s="664">
        <v>5026003002</v>
      </c>
      <c r="AC65" s="664">
        <v>1160903005</v>
      </c>
      <c r="AD65" s="664">
        <v>0</v>
      </c>
      <c r="AE65" s="664">
        <v>0</v>
      </c>
      <c r="AF65" s="664">
        <v>0</v>
      </c>
      <c r="AG65" s="664">
        <v>1160605001</v>
      </c>
      <c r="AH65" s="664">
        <v>1415</v>
      </c>
      <c r="AI65" s="664" t="s">
        <v>497</v>
      </c>
      <c r="AJ65" s="667">
        <v>0.01</v>
      </c>
      <c r="AK65" s="668">
        <f t="shared" si="1"/>
        <v>13018.19</v>
      </c>
      <c r="AL65" s="668">
        <f t="shared" si="2"/>
        <v>13018.19</v>
      </c>
      <c r="AM65" s="668">
        <f t="shared" si="2"/>
        <v>13018.19</v>
      </c>
      <c r="AN65" s="668"/>
      <c r="AO65" s="668"/>
      <c r="AP65" s="668">
        <f t="shared" si="3"/>
        <v>212.81</v>
      </c>
      <c r="AQ65" s="668">
        <f t="shared" si="4"/>
        <v>212.81</v>
      </c>
      <c r="AR65" s="668">
        <f t="shared" si="4"/>
        <v>212.81</v>
      </c>
      <c r="AS65" s="668"/>
      <c r="AT65" s="668"/>
      <c r="AV65" s="670">
        <f t="shared" si="5"/>
        <v>1262764.4300000002</v>
      </c>
      <c r="AW65" s="670">
        <f t="shared" si="6"/>
        <v>41923.570000000007</v>
      </c>
      <c r="AX65" s="671">
        <f t="shared" si="0"/>
        <v>0</v>
      </c>
    </row>
    <row r="66" spans="1:50">
      <c r="A66" s="664" t="s">
        <v>494</v>
      </c>
      <c r="B66" s="664"/>
      <c r="C66" s="664"/>
      <c r="D66" s="664">
        <v>1160505001</v>
      </c>
      <c r="E66" s="664">
        <v>0</v>
      </c>
      <c r="F66" s="664">
        <v>45844</v>
      </c>
      <c r="G66" s="665">
        <v>43492</v>
      </c>
      <c r="H66" s="665">
        <v>43857</v>
      </c>
      <c r="I66" s="664">
        <v>1415</v>
      </c>
      <c r="J66" s="666">
        <v>750000</v>
      </c>
      <c r="K66" s="666">
        <v>0</v>
      </c>
      <c r="L66" s="666">
        <v>0</v>
      </c>
      <c r="M66" s="664" t="s">
        <v>495</v>
      </c>
      <c r="N66" s="666">
        <v>750000</v>
      </c>
      <c r="O66" s="666">
        <v>0</v>
      </c>
      <c r="P66" s="666">
        <v>530625</v>
      </c>
      <c r="Q66" s="664">
        <v>1</v>
      </c>
      <c r="R66" s="664" t="s">
        <v>496</v>
      </c>
      <c r="S66" s="664">
        <v>100</v>
      </c>
      <c r="T66" s="666">
        <v>750000</v>
      </c>
      <c r="U66" s="666">
        <v>0</v>
      </c>
      <c r="V66" s="664">
        <v>300</v>
      </c>
      <c r="W66" s="666">
        <v>3165708</v>
      </c>
      <c r="X66" s="664">
        <v>15</v>
      </c>
      <c r="Y66" s="664">
        <v>1160902010</v>
      </c>
      <c r="Z66" s="664">
        <v>2023</v>
      </c>
      <c r="AA66" s="664">
        <v>12</v>
      </c>
      <c r="AB66" s="664">
        <v>5026003002</v>
      </c>
      <c r="AC66" s="664">
        <v>1160903005</v>
      </c>
      <c r="AD66" s="664">
        <v>0</v>
      </c>
      <c r="AE66" s="664">
        <v>0</v>
      </c>
      <c r="AF66" s="664">
        <v>0</v>
      </c>
      <c r="AG66" s="664">
        <v>1160605001</v>
      </c>
      <c r="AH66" s="664">
        <v>1415</v>
      </c>
      <c r="AI66" s="664" t="s">
        <v>497</v>
      </c>
      <c r="AJ66" s="667">
        <v>0.01</v>
      </c>
      <c r="AK66" s="668">
        <f t="shared" si="1"/>
        <v>7500</v>
      </c>
      <c r="AL66" s="668">
        <f t="shared" si="2"/>
        <v>7500</v>
      </c>
      <c r="AM66" s="668">
        <f t="shared" si="2"/>
        <v>7500</v>
      </c>
      <c r="AN66" s="668"/>
      <c r="AO66" s="668"/>
      <c r="AP66" s="668">
        <f t="shared" si="3"/>
        <v>0</v>
      </c>
      <c r="AQ66" s="668">
        <f t="shared" si="4"/>
        <v>0</v>
      </c>
      <c r="AR66" s="668">
        <f t="shared" si="4"/>
        <v>0</v>
      </c>
      <c r="AS66" s="668"/>
      <c r="AT66" s="668"/>
      <c r="AV66" s="670">
        <f t="shared" si="5"/>
        <v>727500</v>
      </c>
      <c r="AW66" s="670">
        <f t="shared" si="6"/>
        <v>0</v>
      </c>
      <c r="AX66" s="671">
        <f t="shared" si="0"/>
        <v>0</v>
      </c>
    </row>
    <row r="67" spans="1:50">
      <c r="A67" s="664" t="s">
        <v>494</v>
      </c>
      <c r="B67" s="664"/>
      <c r="C67" s="664"/>
      <c r="D67" s="664">
        <v>1160505001</v>
      </c>
      <c r="E67" s="664">
        <v>0</v>
      </c>
      <c r="F67" s="664">
        <v>46312</v>
      </c>
      <c r="G67" s="665">
        <v>43533</v>
      </c>
      <c r="H67" s="665">
        <v>44629</v>
      </c>
      <c r="I67" s="664">
        <v>653</v>
      </c>
      <c r="J67" s="666">
        <v>3000000</v>
      </c>
      <c r="K67" s="666">
        <v>810000</v>
      </c>
      <c r="L67" s="666">
        <v>0</v>
      </c>
      <c r="M67" s="664" t="s">
        <v>495</v>
      </c>
      <c r="N67" s="666">
        <v>3000000</v>
      </c>
      <c r="O67" s="666">
        <v>810000</v>
      </c>
      <c r="P67" s="666">
        <v>979500</v>
      </c>
      <c r="Q67" s="664">
        <v>1</v>
      </c>
      <c r="R67" s="664" t="s">
        <v>496</v>
      </c>
      <c r="S67" s="664">
        <v>100</v>
      </c>
      <c r="T67" s="666">
        <v>3000000</v>
      </c>
      <c r="U67" s="666">
        <v>810000</v>
      </c>
      <c r="V67" s="664">
        <v>300</v>
      </c>
      <c r="W67" s="666">
        <v>2214620</v>
      </c>
      <c r="X67" s="664">
        <v>2</v>
      </c>
      <c r="Y67" s="664">
        <v>1160902010</v>
      </c>
      <c r="Z67" s="664">
        <v>2023</v>
      </c>
      <c r="AA67" s="664">
        <v>12</v>
      </c>
      <c r="AB67" s="664">
        <v>5026003002</v>
      </c>
      <c r="AC67" s="664">
        <v>1160903005</v>
      </c>
      <c r="AD67" s="664">
        <v>0</v>
      </c>
      <c r="AE67" s="664">
        <v>0</v>
      </c>
      <c r="AF67" s="664">
        <v>0</v>
      </c>
      <c r="AG67" s="664">
        <v>1160605001</v>
      </c>
      <c r="AH67" s="664">
        <v>653</v>
      </c>
      <c r="AI67" s="664" t="s">
        <v>498</v>
      </c>
      <c r="AJ67" s="667">
        <v>0.1</v>
      </c>
      <c r="AK67" s="668">
        <f t="shared" si="1"/>
        <v>300000</v>
      </c>
      <c r="AL67" s="668">
        <f t="shared" si="2"/>
        <v>300000</v>
      </c>
      <c r="AM67" s="668">
        <f t="shared" si="2"/>
        <v>300000</v>
      </c>
      <c r="AN67" s="668"/>
      <c r="AO67" s="668"/>
      <c r="AP67" s="668">
        <f t="shared" si="3"/>
        <v>40500</v>
      </c>
      <c r="AQ67" s="668">
        <f t="shared" si="4"/>
        <v>40500</v>
      </c>
      <c r="AR67" s="668">
        <f t="shared" si="4"/>
        <v>40500</v>
      </c>
      <c r="AS67" s="668"/>
      <c r="AT67" s="668"/>
      <c r="AV67" s="670">
        <f t="shared" si="5"/>
        <v>2100000</v>
      </c>
      <c r="AW67" s="670">
        <f t="shared" si="6"/>
        <v>688500</v>
      </c>
      <c r="AX67" s="671">
        <f t="shared" si="0"/>
        <v>0</v>
      </c>
    </row>
    <row r="68" spans="1:50">
      <c r="A68" s="664" t="s">
        <v>494</v>
      </c>
      <c r="B68" s="664"/>
      <c r="C68" s="664"/>
      <c r="D68" s="664">
        <v>1160505004</v>
      </c>
      <c r="E68" s="664">
        <v>32965</v>
      </c>
      <c r="F68" s="664">
        <v>37688</v>
      </c>
      <c r="G68" s="665">
        <v>42113</v>
      </c>
      <c r="H68" s="665">
        <v>43209</v>
      </c>
      <c r="I68" s="664">
        <v>2053</v>
      </c>
      <c r="J68" s="666">
        <v>1500000</v>
      </c>
      <c r="K68" s="666">
        <v>495000</v>
      </c>
      <c r="L68" s="666">
        <v>0</v>
      </c>
      <c r="M68" s="664" t="s">
        <v>495</v>
      </c>
      <c r="N68" s="666">
        <v>1500000</v>
      </c>
      <c r="O68" s="666">
        <v>495000</v>
      </c>
      <c r="P68" s="666">
        <v>1539750</v>
      </c>
      <c r="Q68" s="664">
        <v>1</v>
      </c>
      <c r="R68" s="664" t="s">
        <v>496</v>
      </c>
      <c r="S68" s="664">
        <v>100</v>
      </c>
      <c r="T68" s="666">
        <v>1500000</v>
      </c>
      <c r="U68" s="666">
        <v>495000</v>
      </c>
      <c r="V68" s="664">
        <v>200</v>
      </c>
      <c r="W68" s="666">
        <v>973913</v>
      </c>
      <c r="X68" s="664">
        <v>5</v>
      </c>
      <c r="Y68" s="664">
        <v>1160902010</v>
      </c>
      <c r="Z68" s="664">
        <v>2023</v>
      </c>
      <c r="AA68" s="664">
        <v>12</v>
      </c>
      <c r="AB68" s="664">
        <v>5026003002</v>
      </c>
      <c r="AC68" s="664">
        <v>1160903005</v>
      </c>
      <c r="AD68" s="664">
        <v>0</v>
      </c>
      <c r="AE68" s="664">
        <v>0</v>
      </c>
      <c r="AF68" s="664">
        <v>0</v>
      </c>
      <c r="AG68" s="664">
        <v>1160605001</v>
      </c>
      <c r="AH68" s="664">
        <v>2053</v>
      </c>
      <c r="AI68" s="664" t="s">
        <v>497</v>
      </c>
      <c r="AJ68" s="667">
        <v>0.01</v>
      </c>
      <c r="AK68" s="668">
        <f t="shared" si="1"/>
        <v>15000</v>
      </c>
      <c r="AL68" s="668">
        <f t="shared" si="2"/>
        <v>15000</v>
      </c>
      <c r="AM68" s="668">
        <f t="shared" si="2"/>
        <v>15000</v>
      </c>
      <c r="AN68" s="668"/>
      <c r="AO68" s="668"/>
      <c r="AP68" s="668">
        <f t="shared" si="3"/>
        <v>2475</v>
      </c>
      <c r="AQ68" s="668">
        <f t="shared" si="4"/>
        <v>2475</v>
      </c>
      <c r="AR68" s="668">
        <f t="shared" si="4"/>
        <v>2475</v>
      </c>
      <c r="AS68" s="668"/>
      <c r="AT68" s="668"/>
      <c r="AV68" s="670">
        <f t="shared" si="5"/>
        <v>1455000</v>
      </c>
      <c r="AW68" s="670">
        <f t="shared" si="6"/>
        <v>487575</v>
      </c>
      <c r="AX68" s="671">
        <f t="shared" si="0"/>
        <v>0</v>
      </c>
    </row>
    <row r="69" spans="1:50">
      <c r="A69" s="664" t="s">
        <v>494</v>
      </c>
      <c r="B69" s="664"/>
      <c r="C69" s="664"/>
      <c r="D69" s="664">
        <v>1160505001</v>
      </c>
      <c r="E69" s="664">
        <v>0</v>
      </c>
      <c r="F69" s="664">
        <v>45364</v>
      </c>
      <c r="G69" s="665">
        <v>43380</v>
      </c>
      <c r="H69" s="665">
        <v>44111</v>
      </c>
      <c r="I69" s="664">
        <v>1165</v>
      </c>
      <c r="J69" s="666">
        <v>1400000</v>
      </c>
      <c r="K69" s="666">
        <v>504000</v>
      </c>
      <c r="L69" s="666">
        <v>0</v>
      </c>
      <c r="M69" s="664" t="s">
        <v>495</v>
      </c>
      <c r="N69" s="666">
        <v>1400000</v>
      </c>
      <c r="O69" s="666">
        <v>504000</v>
      </c>
      <c r="P69" s="666">
        <v>815500</v>
      </c>
      <c r="Q69" s="664">
        <v>1</v>
      </c>
      <c r="R69" s="664" t="s">
        <v>496</v>
      </c>
      <c r="S69" s="664">
        <v>100</v>
      </c>
      <c r="T69" s="666">
        <v>1400000</v>
      </c>
      <c r="U69" s="666">
        <v>504000</v>
      </c>
      <c r="V69" s="664">
        <v>100</v>
      </c>
      <c r="W69" s="666">
        <v>1697838</v>
      </c>
      <c r="X69" s="664">
        <v>2</v>
      </c>
      <c r="Y69" s="664">
        <v>1160902010</v>
      </c>
      <c r="Z69" s="664">
        <v>2023</v>
      </c>
      <c r="AA69" s="664">
        <v>12</v>
      </c>
      <c r="AB69" s="664">
        <v>5026003002</v>
      </c>
      <c r="AC69" s="664">
        <v>1160903005</v>
      </c>
      <c r="AD69" s="664">
        <v>0</v>
      </c>
      <c r="AE69" s="664">
        <v>0</v>
      </c>
      <c r="AF69" s="664">
        <v>0</v>
      </c>
      <c r="AG69" s="664">
        <v>1160605001</v>
      </c>
      <c r="AH69" s="664">
        <v>1165</v>
      </c>
      <c r="AI69" s="664" t="s">
        <v>497</v>
      </c>
      <c r="AJ69" s="667">
        <v>0.01</v>
      </c>
      <c r="AK69" s="668">
        <f t="shared" si="1"/>
        <v>14000</v>
      </c>
      <c r="AL69" s="668">
        <f t="shared" si="2"/>
        <v>14000</v>
      </c>
      <c r="AM69" s="668">
        <f t="shared" si="2"/>
        <v>14000</v>
      </c>
      <c r="AN69" s="668"/>
      <c r="AO69" s="668"/>
      <c r="AP69" s="668">
        <f t="shared" si="3"/>
        <v>2520</v>
      </c>
      <c r="AQ69" s="668">
        <f t="shared" si="4"/>
        <v>2520</v>
      </c>
      <c r="AR69" s="668">
        <f t="shared" si="4"/>
        <v>2520</v>
      </c>
      <c r="AS69" s="668"/>
      <c r="AT69" s="668"/>
      <c r="AV69" s="670">
        <f t="shared" si="5"/>
        <v>1358000</v>
      </c>
      <c r="AW69" s="670">
        <f t="shared" si="6"/>
        <v>496440</v>
      </c>
      <c r="AX69" s="671">
        <f t="shared" si="0"/>
        <v>0</v>
      </c>
    </row>
    <row r="70" spans="1:50">
      <c r="A70" s="664" t="s">
        <v>494</v>
      </c>
      <c r="B70" s="664"/>
      <c r="C70" s="664"/>
      <c r="D70" s="664">
        <v>1160505001</v>
      </c>
      <c r="E70" s="664">
        <v>0</v>
      </c>
      <c r="F70" s="664">
        <v>46537</v>
      </c>
      <c r="G70" s="665">
        <v>43561</v>
      </c>
      <c r="H70" s="665">
        <v>43927</v>
      </c>
      <c r="I70" s="664">
        <v>1346</v>
      </c>
      <c r="J70" s="666">
        <v>2000000</v>
      </c>
      <c r="K70" s="666">
        <v>180000</v>
      </c>
      <c r="L70" s="666">
        <v>0</v>
      </c>
      <c r="M70" s="664" t="s">
        <v>495</v>
      </c>
      <c r="N70" s="666">
        <v>2000000</v>
      </c>
      <c r="O70" s="666">
        <v>180000</v>
      </c>
      <c r="P70" s="666">
        <v>1346000</v>
      </c>
      <c r="Q70" s="664">
        <v>1</v>
      </c>
      <c r="R70" s="664" t="s">
        <v>496</v>
      </c>
      <c r="S70" s="664">
        <v>100</v>
      </c>
      <c r="T70" s="666">
        <v>2000000</v>
      </c>
      <c r="U70" s="666">
        <v>180000</v>
      </c>
      <c r="V70" s="664">
        <v>100</v>
      </c>
      <c r="W70" s="666">
        <v>4455181</v>
      </c>
      <c r="X70" s="664">
        <v>2</v>
      </c>
      <c r="Y70" s="664">
        <v>1160902010</v>
      </c>
      <c r="Z70" s="664">
        <v>2023</v>
      </c>
      <c r="AA70" s="664">
        <v>12</v>
      </c>
      <c r="AB70" s="664">
        <v>5026003002</v>
      </c>
      <c r="AC70" s="664">
        <v>1160903005</v>
      </c>
      <c r="AD70" s="664">
        <v>0</v>
      </c>
      <c r="AE70" s="664">
        <v>0</v>
      </c>
      <c r="AF70" s="664">
        <v>0</v>
      </c>
      <c r="AG70" s="664">
        <v>1160605001</v>
      </c>
      <c r="AH70" s="664">
        <v>1346</v>
      </c>
      <c r="AI70" s="664" t="s">
        <v>497</v>
      </c>
      <c r="AJ70" s="667">
        <v>0.01</v>
      </c>
      <c r="AK70" s="668">
        <f t="shared" si="1"/>
        <v>20000</v>
      </c>
      <c r="AL70" s="668">
        <f t="shared" si="2"/>
        <v>20000</v>
      </c>
      <c r="AM70" s="668">
        <f t="shared" si="2"/>
        <v>20000</v>
      </c>
      <c r="AN70" s="668"/>
      <c r="AO70" s="668"/>
      <c r="AP70" s="668">
        <f t="shared" si="3"/>
        <v>900</v>
      </c>
      <c r="AQ70" s="668">
        <f t="shared" si="4"/>
        <v>900</v>
      </c>
      <c r="AR70" s="668">
        <f t="shared" si="4"/>
        <v>900</v>
      </c>
      <c r="AS70" s="668"/>
      <c r="AT70" s="668"/>
      <c r="AV70" s="670">
        <f t="shared" si="5"/>
        <v>1940000</v>
      </c>
      <c r="AW70" s="670">
        <f t="shared" si="6"/>
        <v>177300</v>
      </c>
      <c r="AX70" s="671">
        <f t="shared" ref="AX70:AX133" si="9">+J70-N70</f>
        <v>0</v>
      </c>
    </row>
    <row r="71" spans="1:50">
      <c r="A71" s="664" t="s">
        <v>494</v>
      </c>
      <c r="B71" s="664"/>
      <c r="C71" s="664"/>
      <c r="D71" s="664">
        <v>1160505001</v>
      </c>
      <c r="E71" s="664">
        <v>0</v>
      </c>
      <c r="F71" s="664">
        <v>41623</v>
      </c>
      <c r="G71" s="665">
        <v>42804</v>
      </c>
      <c r="H71" s="665">
        <v>44265</v>
      </c>
      <c r="I71" s="664">
        <v>1012</v>
      </c>
      <c r="J71" s="666">
        <v>707696</v>
      </c>
      <c r="K71" s="666">
        <v>22882</v>
      </c>
      <c r="L71" s="666">
        <v>0</v>
      </c>
      <c r="M71" s="664" t="s">
        <v>495</v>
      </c>
      <c r="N71" s="666">
        <v>707696</v>
      </c>
      <c r="O71" s="666">
        <v>22882</v>
      </c>
      <c r="P71" s="666">
        <v>358094</v>
      </c>
      <c r="Q71" s="664">
        <v>1</v>
      </c>
      <c r="R71" s="664" t="s">
        <v>496</v>
      </c>
      <c r="S71" s="664">
        <v>100</v>
      </c>
      <c r="T71" s="666">
        <v>707696</v>
      </c>
      <c r="U71" s="666">
        <v>22882</v>
      </c>
      <c r="V71" s="664">
        <v>100</v>
      </c>
      <c r="W71" s="666">
        <v>2302585</v>
      </c>
      <c r="X71" s="664">
        <v>14</v>
      </c>
      <c r="Y71" s="664">
        <v>1160902010</v>
      </c>
      <c r="Z71" s="664">
        <v>2023</v>
      </c>
      <c r="AA71" s="664">
        <v>12</v>
      </c>
      <c r="AB71" s="664">
        <v>5026003002</v>
      </c>
      <c r="AC71" s="664">
        <v>1160903005</v>
      </c>
      <c r="AD71" s="664">
        <v>0</v>
      </c>
      <c r="AE71" s="664">
        <v>0</v>
      </c>
      <c r="AF71" s="664">
        <v>0</v>
      </c>
      <c r="AG71" s="664">
        <v>1160605001</v>
      </c>
      <c r="AH71" s="664">
        <v>1012</v>
      </c>
      <c r="AI71" s="664" t="s">
        <v>499</v>
      </c>
      <c r="AJ71" s="667">
        <v>0.05</v>
      </c>
      <c r="AK71" s="668">
        <f t="shared" ref="AK71:AK134" si="10">+$J71*$AJ71</f>
        <v>35384.800000000003</v>
      </c>
      <c r="AL71" s="668">
        <f t="shared" ref="AL71:AM134" si="11">IF(($J71-$AK71)&gt;0,$J71*$AJ71,0)</f>
        <v>35384.800000000003</v>
      </c>
      <c r="AM71" s="668">
        <f t="shared" si="11"/>
        <v>35384.800000000003</v>
      </c>
      <c r="AN71" s="668"/>
      <c r="AO71" s="668"/>
      <c r="AP71" s="668">
        <f t="shared" ref="AP71:AP134" si="12">+K71*(AJ71/2)</f>
        <v>572.05000000000007</v>
      </c>
      <c r="AQ71" s="668">
        <f t="shared" ref="AQ71:AR134" si="13">AP71</f>
        <v>572.05000000000007</v>
      </c>
      <c r="AR71" s="668">
        <f t="shared" si="13"/>
        <v>572.05000000000007</v>
      </c>
      <c r="AS71" s="668"/>
      <c r="AT71" s="668"/>
      <c r="AV71" s="670">
        <f t="shared" ref="AV71:AV134" si="14">J71-AK71-AL71-AM71</f>
        <v>601541.59999999986</v>
      </c>
      <c r="AW71" s="670">
        <f t="shared" ref="AW71:AW134" si="15">+K71-AP71-AQ71-AR71</f>
        <v>21165.850000000002</v>
      </c>
      <c r="AX71" s="671">
        <f t="shared" si="9"/>
        <v>0</v>
      </c>
    </row>
    <row r="72" spans="1:50">
      <c r="A72" s="664" t="s">
        <v>494</v>
      </c>
      <c r="B72" s="664"/>
      <c r="C72" s="664"/>
      <c r="D72" s="664">
        <v>1160505001</v>
      </c>
      <c r="E72" s="664">
        <v>0</v>
      </c>
      <c r="F72" s="664">
        <v>43852</v>
      </c>
      <c r="G72" s="665">
        <v>43157</v>
      </c>
      <c r="H72" s="665">
        <v>43887</v>
      </c>
      <c r="I72" s="664">
        <v>1386</v>
      </c>
      <c r="J72" s="666">
        <v>2000000</v>
      </c>
      <c r="K72" s="666">
        <v>600000</v>
      </c>
      <c r="L72" s="666">
        <v>0</v>
      </c>
      <c r="M72" s="664" t="s">
        <v>495</v>
      </c>
      <c r="N72" s="666">
        <v>2000000</v>
      </c>
      <c r="O72" s="666">
        <v>600000</v>
      </c>
      <c r="P72" s="666">
        <v>1386000</v>
      </c>
      <c r="Q72" s="664">
        <v>1</v>
      </c>
      <c r="R72" s="664" t="s">
        <v>496</v>
      </c>
      <c r="S72" s="664">
        <v>100</v>
      </c>
      <c r="T72" s="666">
        <v>2000000</v>
      </c>
      <c r="U72" s="666">
        <v>600000</v>
      </c>
      <c r="V72" s="664">
        <v>400</v>
      </c>
      <c r="W72" s="666">
        <v>2432528</v>
      </c>
      <c r="X72" s="664">
        <v>2</v>
      </c>
      <c r="Y72" s="664">
        <v>1160902010</v>
      </c>
      <c r="Z72" s="664">
        <v>2023</v>
      </c>
      <c r="AA72" s="664">
        <v>12</v>
      </c>
      <c r="AB72" s="664">
        <v>5026003002</v>
      </c>
      <c r="AC72" s="664">
        <v>1160903005</v>
      </c>
      <c r="AD72" s="664">
        <v>0</v>
      </c>
      <c r="AE72" s="664">
        <v>0</v>
      </c>
      <c r="AF72" s="664">
        <v>0</v>
      </c>
      <c r="AG72" s="664">
        <v>1160605001</v>
      </c>
      <c r="AH72" s="664">
        <v>1386</v>
      </c>
      <c r="AI72" s="664" t="s">
        <v>497</v>
      </c>
      <c r="AJ72" s="667">
        <v>0.01</v>
      </c>
      <c r="AK72" s="668">
        <f t="shared" si="10"/>
        <v>20000</v>
      </c>
      <c r="AL72" s="668">
        <f t="shared" si="11"/>
        <v>20000</v>
      </c>
      <c r="AM72" s="668">
        <f t="shared" si="11"/>
        <v>20000</v>
      </c>
      <c r="AN72" s="668"/>
      <c r="AO72" s="668"/>
      <c r="AP72" s="668">
        <f t="shared" si="12"/>
        <v>3000</v>
      </c>
      <c r="AQ72" s="668">
        <f t="shared" si="13"/>
        <v>3000</v>
      </c>
      <c r="AR72" s="668">
        <f t="shared" si="13"/>
        <v>3000</v>
      </c>
      <c r="AS72" s="668"/>
      <c r="AT72" s="668"/>
      <c r="AV72" s="670">
        <f t="shared" si="14"/>
        <v>1940000</v>
      </c>
      <c r="AW72" s="670">
        <f t="shared" si="15"/>
        <v>591000</v>
      </c>
      <c r="AX72" s="671">
        <f t="shared" si="9"/>
        <v>0</v>
      </c>
    </row>
    <row r="73" spans="1:50">
      <c r="A73" s="664" t="s">
        <v>494</v>
      </c>
      <c r="B73" s="664"/>
      <c r="C73" s="664"/>
      <c r="D73" s="664">
        <v>1160505001</v>
      </c>
      <c r="E73" s="664">
        <v>0</v>
      </c>
      <c r="F73" s="664">
        <v>44412</v>
      </c>
      <c r="G73" s="665">
        <v>43223</v>
      </c>
      <c r="H73" s="665">
        <v>44319</v>
      </c>
      <c r="I73" s="664">
        <v>959</v>
      </c>
      <c r="J73" s="666">
        <v>15000000</v>
      </c>
      <c r="K73" s="666">
        <v>8100000</v>
      </c>
      <c r="L73" s="666">
        <v>0</v>
      </c>
      <c r="M73" s="664" t="s">
        <v>495</v>
      </c>
      <c r="N73" s="666">
        <v>15000000</v>
      </c>
      <c r="O73" s="666">
        <v>8100000</v>
      </c>
      <c r="P73" s="666">
        <v>7192500</v>
      </c>
      <c r="Q73" s="664">
        <v>1</v>
      </c>
      <c r="R73" s="664" t="s">
        <v>496</v>
      </c>
      <c r="S73" s="664">
        <v>100</v>
      </c>
      <c r="T73" s="666">
        <v>15000000</v>
      </c>
      <c r="U73" s="666">
        <v>8100000</v>
      </c>
      <c r="V73" s="664">
        <v>300</v>
      </c>
      <c r="W73" s="666">
        <v>6038604</v>
      </c>
      <c r="X73" s="664">
        <v>14</v>
      </c>
      <c r="Y73" s="664">
        <v>1160902010</v>
      </c>
      <c r="Z73" s="664">
        <v>2023</v>
      </c>
      <c r="AA73" s="664">
        <v>12</v>
      </c>
      <c r="AB73" s="664">
        <v>5026003002</v>
      </c>
      <c r="AC73" s="664">
        <v>1160903005</v>
      </c>
      <c r="AD73" s="664">
        <v>0</v>
      </c>
      <c r="AE73" s="664">
        <v>0</v>
      </c>
      <c r="AF73" s="664">
        <v>0</v>
      </c>
      <c r="AG73" s="664">
        <v>1160605001</v>
      </c>
      <c r="AH73" s="664">
        <v>959</v>
      </c>
      <c r="AI73" s="664" t="s">
        <v>499</v>
      </c>
      <c r="AJ73" s="667">
        <v>0.05</v>
      </c>
      <c r="AK73" s="668">
        <f t="shared" si="10"/>
        <v>750000</v>
      </c>
      <c r="AL73" s="668">
        <f t="shared" si="11"/>
        <v>750000</v>
      </c>
      <c r="AM73" s="668">
        <f t="shared" si="11"/>
        <v>750000</v>
      </c>
      <c r="AN73" s="668"/>
      <c r="AO73" s="668"/>
      <c r="AP73" s="668">
        <f t="shared" si="12"/>
        <v>202500</v>
      </c>
      <c r="AQ73" s="668">
        <f t="shared" si="13"/>
        <v>202500</v>
      </c>
      <c r="AR73" s="668">
        <f t="shared" si="13"/>
        <v>202500</v>
      </c>
      <c r="AS73" s="668"/>
      <c r="AT73" s="668"/>
      <c r="AV73" s="670">
        <f t="shared" si="14"/>
        <v>12750000</v>
      </c>
      <c r="AW73" s="670">
        <f t="shared" si="15"/>
        <v>7492500</v>
      </c>
      <c r="AX73" s="671">
        <f t="shared" si="9"/>
        <v>0</v>
      </c>
    </row>
    <row r="74" spans="1:50">
      <c r="A74" s="664" t="s">
        <v>494</v>
      </c>
      <c r="B74" s="664"/>
      <c r="C74" s="664"/>
      <c r="D74" s="664">
        <v>1160505004</v>
      </c>
      <c r="E74" s="664">
        <v>34151</v>
      </c>
      <c r="F74" s="664">
        <v>37496</v>
      </c>
      <c r="G74" s="665">
        <v>42079</v>
      </c>
      <c r="H74" s="665">
        <v>43175</v>
      </c>
      <c r="I74" s="664">
        <v>2086</v>
      </c>
      <c r="J74" s="666">
        <v>1200000</v>
      </c>
      <c r="K74" s="666">
        <v>396000</v>
      </c>
      <c r="L74" s="666">
        <v>0</v>
      </c>
      <c r="M74" s="664" t="s">
        <v>495</v>
      </c>
      <c r="N74" s="666">
        <v>1200000</v>
      </c>
      <c r="O74" s="666">
        <v>396000</v>
      </c>
      <c r="P74" s="666">
        <v>1251600</v>
      </c>
      <c r="Q74" s="664">
        <v>1</v>
      </c>
      <c r="R74" s="664" t="s">
        <v>496</v>
      </c>
      <c r="S74" s="664">
        <v>100</v>
      </c>
      <c r="T74" s="666">
        <v>1200000</v>
      </c>
      <c r="U74" s="666">
        <v>396000</v>
      </c>
      <c r="V74" s="664">
        <v>200</v>
      </c>
      <c r="W74" s="666">
        <v>2025034</v>
      </c>
      <c r="X74" s="664">
        <v>5</v>
      </c>
      <c r="Y74" s="664">
        <v>1160902010</v>
      </c>
      <c r="Z74" s="664">
        <v>2023</v>
      </c>
      <c r="AA74" s="664">
        <v>12</v>
      </c>
      <c r="AB74" s="664">
        <v>5026003002</v>
      </c>
      <c r="AC74" s="664">
        <v>1160903005</v>
      </c>
      <c r="AD74" s="664">
        <v>0</v>
      </c>
      <c r="AE74" s="664">
        <v>0</v>
      </c>
      <c r="AF74" s="664">
        <v>0</v>
      </c>
      <c r="AG74" s="664">
        <v>1160605001</v>
      </c>
      <c r="AH74" s="664">
        <v>2086</v>
      </c>
      <c r="AI74" s="664" t="s">
        <v>497</v>
      </c>
      <c r="AJ74" s="667">
        <v>0.01</v>
      </c>
      <c r="AK74" s="668">
        <f t="shared" si="10"/>
        <v>12000</v>
      </c>
      <c r="AL74" s="668">
        <f t="shared" si="11"/>
        <v>12000</v>
      </c>
      <c r="AM74" s="668">
        <f t="shared" si="11"/>
        <v>12000</v>
      </c>
      <c r="AN74" s="668"/>
      <c r="AO74" s="668"/>
      <c r="AP74" s="668">
        <f t="shared" si="12"/>
        <v>1980</v>
      </c>
      <c r="AQ74" s="668">
        <f t="shared" si="13"/>
        <v>1980</v>
      </c>
      <c r="AR74" s="668">
        <f t="shared" si="13"/>
        <v>1980</v>
      </c>
      <c r="AS74" s="668"/>
      <c r="AT74" s="668"/>
      <c r="AV74" s="670">
        <f t="shared" si="14"/>
        <v>1164000</v>
      </c>
      <c r="AW74" s="670">
        <f t="shared" si="15"/>
        <v>390060</v>
      </c>
      <c r="AX74" s="671">
        <f t="shared" si="9"/>
        <v>0</v>
      </c>
    </row>
    <row r="75" spans="1:50">
      <c r="A75" s="664" t="s">
        <v>494</v>
      </c>
      <c r="B75" s="664"/>
      <c r="C75" s="664"/>
      <c r="D75" s="664">
        <v>1160505001</v>
      </c>
      <c r="E75" s="664">
        <v>0</v>
      </c>
      <c r="F75" s="664">
        <v>45560</v>
      </c>
      <c r="G75" s="665">
        <v>43450</v>
      </c>
      <c r="H75" s="665">
        <v>43815</v>
      </c>
      <c r="I75" s="664">
        <v>1456</v>
      </c>
      <c r="J75" s="666">
        <v>9000000</v>
      </c>
      <c r="K75" s="666">
        <v>0</v>
      </c>
      <c r="L75" s="666">
        <v>0</v>
      </c>
      <c r="M75" s="664" t="s">
        <v>495</v>
      </c>
      <c r="N75" s="666">
        <v>9000000</v>
      </c>
      <c r="O75" s="666">
        <v>0</v>
      </c>
      <c r="P75" s="666">
        <v>6552000</v>
      </c>
      <c r="Q75" s="664">
        <v>1</v>
      </c>
      <c r="R75" s="664" t="s">
        <v>496</v>
      </c>
      <c r="S75" s="664">
        <v>100</v>
      </c>
      <c r="T75" s="666">
        <v>9000000</v>
      </c>
      <c r="U75" s="666">
        <v>0</v>
      </c>
      <c r="V75" s="664">
        <v>100</v>
      </c>
      <c r="W75" s="666">
        <v>7327050</v>
      </c>
      <c r="X75" s="664">
        <v>2</v>
      </c>
      <c r="Y75" s="664">
        <v>1160902010</v>
      </c>
      <c r="Z75" s="664">
        <v>2023</v>
      </c>
      <c r="AA75" s="664">
        <v>12</v>
      </c>
      <c r="AB75" s="664">
        <v>5026003002</v>
      </c>
      <c r="AC75" s="664">
        <v>1160903005</v>
      </c>
      <c r="AD75" s="664">
        <v>0</v>
      </c>
      <c r="AE75" s="664">
        <v>0</v>
      </c>
      <c r="AF75" s="664">
        <v>0</v>
      </c>
      <c r="AG75" s="664">
        <v>1160605001</v>
      </c>
      <c r="AH75" s="664">
        <v>1456</v>
      </c>
      <c r="AI75" s="664" t="s">
        <v>497</v>
      </c>
      <c r="AJ75" s="667">
        <v>0.01</v>
      </c>
      <c r="AK75" s="668">
        <f t="shared" si="10"/>
        <v>90000</v>
      </c>
      <c r="AL75" s="668">
        <f t="shared" si="11"/>
        <v>90000</v>
      </c>
      <c r="AM75" s="668">
        <f t="shared" si="11"/>
        <v>90000</v>
      </c>
      <c r="AN75" s="668"/>
      <c r="AO75" s="668"/>
      <c r="AP75" s="668">
        <f t="shared" si="12"/>
        <v>0</v>
      </c>
      <c r="AQ75" s="668">
        <f t="shared" si="13"/>
        <v>0</v>
      </c>
      <c r="AR75" s="668">
        <f t="shared" si="13"/>
        <v>0</v>
      </c>
      <c r="AS75" s="668"/>
      <c r="AT75" s="668"/>
      <c r="AV75" s="670">
        <f t="shared" si="14"/>
        <v>8730000</v>
      </c>
      <c r="AW75" s="670">
        <f t="shared" si="15"/>
        <v>0</v>
      </c>
      <c r="AX75" s="671">
        <f t="shared" si="9"/>
        <v>0</v>
      </c>
    </row>
    <row r="76" spans="1:50">
      <c r="A76" s="664" t="s">
        <v>494</v>
      </c>
      <c r="B76" s="664"/>
      <c r="C76" s="664"/>
      <c r="D76" s="664">
        <v>1160505002</v>
      </c>
      <c r="E76" s="664">
        <v>0</v>
      </c>
      <c r="F76" s="664">
        <v>46519</v>
      </c>
      <c r="G76" s="665">
        <v>43556</v>
      </c>
      <c r="H76" s="665">
        <v>43922</v>
      </c>
      <c r="I76" s="664">
        <v>1351</v>
      </c>
      <c r="J76" s="666">
        <v>4975500</v>
      </c>
      <c r="K76" s="666">
        <v>447792</v>
      </c>
      <c r="L76" s="666">
        <v>0</v>
      </c>
      <c r="M76" s="664" t="s">
        <v>495</v>
      </c>
      <c r="N76" s="666">
        <v>4975500</v>
      </c>
      <c r="O76" s="666">
        <v>447792</v>
      </c>
      <c r="P76" s="666">
        <v>3360950</v>
      </c>
      <c r="Q76" s="664">
        <v>1</v>
      </c>
      <c r="R76" s="664" t="s">
        <v>496</v>
      </c>
      <c r="S76" s="664">
        <v>100</v>
      </c>
      <c r="T76" s="666">
        <v>4975500</v>
      </c>
      <c r="U76" s="666">
        <v>447792</v>
      </c>
      <c r="V76" s="664">
        <v>100</v>
      </c>
      <c r="W76" s="666">
        <v>5537913</v>
      </c>
      <c r="X76" s="664">
        <v>6</v>
      </c>
      <c r="Y76" s="664">
        <v>1160902010</v>
      </c>
      <c r="Z76" s="664">
        <v>2023</v>
      </c>
      <c r="AA76" s="664">
        <v>12</v>
      </c>
      <c r="AB76" s="664">
        <v>5026003002</v>
      </c>
      <c r="AC76" s="664">
        <v>1160903005</v>
      </c>
      <c r="AD76" s="664">
        <v>0</v>
      </c>
      <c r="AE76" s="664">
        <v>0</v>
      </c>
      <c r="AF76" s="664">
        <v>0</v>
      </c>
      <c r="AG76" s="664">
        <v>1160605001</v>
      </c>
      <c r="AH76" s="664">
        <v>1351</v>
      </c>
      <c r="AI76" s="664" t="s">
        <v>497</v>
      </c>
      <c r="AJ76" s="667">
        <v>0.01</v>
      </c>
      <c r="AK76" s="668">
        <f t="shared" si="10"/>
        <v>49755</v>
      </c>
      <c r="AL76" s="668">
        <f t="shared" si="11"/>
        <v>49755</v>
      </c>
      <c r="AM76" s="668">
        <f t="shared" si="11"/>
        <v>49755</v>
      </c>
      <c r="AN76" s="668"/>
      <c r="AO76" s="668"/>
      <c r="AP76" s="668">
        <f t="shared" si="12"/>
        <v>2238.96</v>
      </c>
      <c r="AQ76" s="668">
        <f t="shared" si="13"/>
        <v>2238.96</v>
      </c>
      <c r="AR76" s="668">
        <f t="shared" si="13"/>
        <v>2238.96</v>
      </c>
      <c r="AS76" s="668"/>
      <c r="AT76" s="668"/>
      <c r="AV76" s="670">
        <f t="shared" si="14"/>
        <v>4826235</v>
      </c>
      <c r="AW76" s="670">
        <f t="shared" si="15"/>
        <v>441075.11999999994</v>
      </c>
      <c r="AX76" s="671">
        <f t="shared" si="9"/>
        <v>0</v>
      </c>
    </row>
    <row r="77" spans="1:50">
      <c r="A77" s="664" t="s">
        <v>494</v>
      </c>
      <c r="B77" s="664"/>
      <c r="C77" s="664"/>
      <c r="D77" s="664">
        <v>1160505001</v>
      </c>
      <c r="E77" s="664">
        <v>0</v>
      </c>
      <c r="F77" s="664">
        <v>44192</v>
      </c>
      <c r="G77" s="665">
        <v>43198</v>
      </c>
      <c r="H77" s="665">
        <v>43929</v>
      </c>
      <c r="I77" s="664">
        <v>1344</v>
      </c>
      <c r="J77" s="666">
        <v>2000000</v>
      </c>
      <c r="K77" s="666">
        <v>0</v>
      </c>
      <c r="L77" s="666">
        <v>0</v>
      </c>
      <c r="M77" s="664" t="s">
        <v>495</v>
      </c>
      <c r="N77" s="666">
        <v>2000000</v>
      </c>
      <c r="O77" s="666">
        <v>0</v>
      </c>
      <c r="P77" s="666">
        <v>1344000</v>
      </c>
      <c r="Q77" s="664">
        <v>1</v>
      </c>
      <c r="R77" s="664" t="s">
        <v>496</v>
      </c>
      <c r="S77" s="664">
        <v>100</v>
      </c>
      <c r="T77" s="666">
        <v>2000000</v>
      </c>
      <c r="U77" s="666">
        <v>0</v>
      </c>
      <c r="V77" s="664">
        <v>100</v>
      </c>
      <c r="W77" s="666">
        <v>5151471</v>
      </c>
      <c r="X77" s="664">
        <v>2</v>
      </c>
      <c r="Y77" s="664">
        <v>1160902010</v>
      </c>
      <c r="Z77" s="664">
        <v>2023</v>
      </c>
      <c r="AA77" s="664">
        <v>12</v>
      </c>
      <c r="AB77" s="664">
        <v>5026003002</v>
      </c>
      <c r="AC77" s="664">
        <v>1160903005</v>
      </c>
      <c r="AD77" s="664">
        <v>0</v>
      </c>
      <c r="AE77" s="664">
        <v>0</v>
      </c>
      <c r="AF77" s="664">
        <v>0</v>
      </c>
      <c r="AG77" s="664">
        <v>1160605001</v>
      </c>
      <c r="AH77" s="664">
        <v>1344</v>
      </c>
      <c r="AI77" s="664" t="s">
        <v>497</v>
      </c>
      <c r="AJ77" s="667">
        <v>0.01</v>
      </c>
      <c r="AK77" s="668">
        <f t="shared" si="10"/>
        <v>20000</v>
      </c>
      <c r="AL77" s="668">
        <f t="shared" si="11"/>
        <v>20000</v>
      </c>
      <c r="AM77" s="668">
        <f t="shared" si="11"/>
        <v>20000</v>
      </c>
      <c r="AN77" s="668"/>
      <c r="AO77" s="668"/>
      <c r="AP77" s="668">
        <f t="shared" si="12"/>
        <v>0</v>
      </c>
      <c r="AQ77" s="668">
        <f t="shared" si="13"/>
        <v>0</v>
      </c>
      <c r="AR77" s="668">
        <f t="shared" si="13"/>
        <v>0</v>
      </c>
      <c r="AS77" s="668"/>
      <c r="AT77" s="668"/>
      <c r="AV77" s="670">
        <f t="shared" si="14"/>
        <v>1940000</v>
      </c>
      <c r="AW77" s="670">
        <f t="shared" si="15"/>
        <v>0</v>
      </c>
      <c r="AX77" s="671">
        <f t="shared" si="9"/>
        <v>0</v>
      </c>
    </row>
    <row r="78" spans="1:50">
      <c r="A78" s="664" t="s">
        <v>494</v>
      </c>
      <c r="B78" s="664"/>
      <c r="C78" s="664"/>
      <c r="D78" s="664">
        <v>1160505001</v>
      </c>
      <c r="E78" s="664">
        <v>0</v>
      </c>
      <c r="F78" s="664">
        <v>44503</v>
      </c>
      <c r="G78" s="665">
        <v>43237</v>
      </c>
      <c r="H78" s="665">
        <v>43968</v>
      </c>
      <c r="I78" s="664">
        <v>1305</v>
      </c>
      <c r="J78" s="666">
        <v>1800000</v>
      </c>
      <c r="K78" s="666">
        <v>0</v>
      </c>
      <c r="L78" s="666">
        <v>0</v>
      </c>
      <c r="M78" s="664" t="s">
        <v>495</v>
      </c>
      <c r="N78" s="666">
        <v>1800000</v>
      </c>
      <c r="O78" s="666">
        <v>0</v>
      </c>
      <c r="P78" s="666">
        <v>1174500</v>
      </c>
      <c r="Q78" s="664">
        <v>1</v>
      </c>
      <c r="R78" s="664" t="s">
        <v>496</v>
      </c>
      <c r="S78" s="664">
        <v>100</v>
      </c>
      <c r="T78" s="666">
        <v>1800000</v>
      </c>
      <c r="U78" s="666">
        <v>0</v>
      </c>
      <c r="V78" s="664">
        <v>100</v>
      </c>
      <c r="W78" s="666">
        <v>5151471</v>
      </c>
      <c r="X78" s="664">
        <v>2</v>
      </c>
      <c r="Y78" s="664">
        <v>1160902010</v>
      </c>
      <c r="Z78" s="664">
        <v>2023</v>
      </c>
      <c r="AA78" s="664">
        <v>12</v>
      </c>
      <c r="AB78" s="664">
        <v>5026003002</v>
      </c>
      <c r="AC78" s="664">
        <v>1160903005</v>
      </c>
      <c r="AD78" s="664">
        <v>0</v>
      </c>
      <c r="AE78" s="664">
        <v>0</v>
      </c>
      <c r="AF78" s="664">
        <v>0</v>
      </c>
      <c r="AG78" s="664">
        <v>1160605001</v>
      </c>
      <c r="AH78" s="664">
        <v>1344</v>
      </c>
      <c r="AI78" s="664" t="s">
        <v>497</v>
      </c>
      <c r="AJ78" s="667">
        <v>0.01</v>
      </c>
      <c r="AK78" s="668">
        <f t="shared" si="10"/>
        <v>18000</v>
      </c>
      <c r="AL78" s="668">
        <f t="shared" si="11"/>
        <v>18000</v>
      </c>
      <c r="AM78" s="668">
        <f t="shared" si="11"/>
        <v>18000</v>
      </c>
      <c r="AN78" s="668"/>
      <c r="AO78" s="668"/>
      <c r="AP78" s="668">
        <f t="shared" si="12"/>
        <v>0</v>
      </c>
      <c r="AQ78" s="668">
        <f t="shared" si="13"/>
        <v>0</v>
      </c>
      <c r="AR78" s="668">
        <f t="shared" si="13"/>
        <v>0</v>
      </c>
      <c r="AS78" s="668"/>
      <c r="AT78" s="668"/>
      <c r="AV78" s="670">
        <f t="shared" si="14"/>
        <v>1746000</v>
      </c>
      <c r="AW78" s="670">
        <f t="shared" si="15"/>
        <v>0</v>
      </c>
      <c r="AX78" s="671">
        <f t="shared" si="9"/>
        <v>0</v>
      </c>
    </row>
    <row r="79" spans="1:50">
      <c r="A79" s="664" t="s">
        <v>494</v>
      </c>
      <c r="B79" s="664"/>
      <c r="C79" s="664"/>
      <c r="D79" s="664">
        <v>1160505001</v>
      </c>
      <c r="E79" s="664">
        <v>0</v>
      </c>
      <c r="F79" s="664">
        <v>42253</v>
      </c>
      <c r="G79" s="665">
        <v>42878</v>
      </c>
      <c r="H79" s="665">
        <v>43974</v>
      </c>
      <c r="I79" s="664">
        <v>1299</v>
      </c>
      <c r="J79" s="666">
        <v>4000000</v>
      </c>
      <c r="K79" s="666">
        <v>0</v>
      </c>
      <c r="L79" s="666">
        <v>0</v>
      </c>
      <c r="M79" s="664" t="s">
        <v>495</v>
      </c>
      <c r="N79" s="666">
        <v>4000000</v>
      </c>
      <c r="O79" s="666">
        <v>0</v>
      </c>
      <c r="P79" s="666">
        <v>2598000</v>
      </c>
      <c r="Q79" s="664">
        <v>1</v>
      </c>
      <c r="R79" s="664" t="s">
        <v>496</v>
      </c>
      <c r="S79" s="664">
        <v>100</v>
      </c>
      <c r="T79" s="666">
        <v>4000000</v>
      </c>
      <c r="U79" s="666">
        <v>0</v>
      </c>
      <c r="V79" s="664">
        <v>300</v>
      </c>
      <c r="W79" s="666">
        <v>13653756</v>
      </c>
      <c r="X79" s="664">
        <v>2</v>
      </c>
      <c r="Y79" s="664">
        <v>1160902010</v>
      </c>
      <c r="Z79" s="664">
        <v>2023</v>
      </c>
      <c r="AA79" s="664">
        <v>12</v>
      </c>
      <c r="AB79" s="664">
        <v>5026003002</v>
      </c>
      <c r="AC79" s="664">
        <v>1160903005</v>
      </c>
      <c r="AD79" s="664">
        <v>0</v>
      </c>
      <c r="AE79" s="664">
        <v>0</v>
      </c>
      <c r="AF79" s="664">
        <v>0</v>
      </c>
      <c r="AG79" s="664">
        <v>1160605001</v>
      </c>
      <c r="AH79" s="664">
        <v>1461</v>
      </c>
      <c r="AI79" s="664" t="s">
        <v>497</v>
      </c>
      <c r="AJ79" s="667">
        <v>0.01</v>
      </c>
      <c r="AK79" s="668">
        <f t="shared" si="10"/>
        <v>40000</v>
      </c>
      <c r="AL79" s="668">
        <f t="shared" si="11"/>
        <v>40000</v>
      </c>
      <c r="AM79" s="668">
        <f t="shared" si="11"/>
        <v>40000</v>
      </c>
      <c r="AN79" s="668"/>
      <c r="AO79" s="668"/>
      <c r="AP79" s="668">
        <f t="shared" si="12"/>
        <v>0</v>
      </c>
      <c r="AQ79" s="668">
        <f t="shared" si="13"/>
        <v>0</v>
      </c>
      <c r="AR79" s="668">
        <f t="shared" si="13"/>
        <v>0</v>
      </c>
      <c r="AS79" s="668"/>
      <c r="AT79" s="668"/>
      <c r="AV79" s="670">
        <f t="shared" si="14"/>
        <v>3880000</v>
      </c>
      <c r="AW79" s="670">
        <f t="shared" si="15"/>
        <v>0</v>
      </c>
      <c r="AX79" s="671">
        <f t="shared" si="9"/>
        <v>0</v>
      </c>
    </row>
    <row r="80" spans="1:50">
      <c r="A80" s="664" t="s">
        <v>494</v>
      </c>
      <c r="B80" s="664"/>
      <c r="C80" s="664"/>
      <c r="D80" s="664">
        <v>1160505001</v>
      </c>
      <c r="E80" s="664">
        <v>0</v>
      </c>
      <c r="F80" s="664">
        <v>47075</v>
      </c>
      <c r="G80" s="665">
        <v>43657</v>
      </c>
      <c r="H80" s="665">
        <v>43810</v>
      </c>
      <c r="I80" s="664">
        <v>1461</v>
      </c>
      <c r="J80" s="666">
        <v>4000000</v>
      </c>
      <c r="K80" s="666">
        <v>0</v>
      </c>
      <c r="L80" s="666">
        <v>0</v>
      </c>
      <c r="M80" s="664" t="s">
        <v>495</v>
      </c>
      <c r="N80" s="666">
        <v>4000000</v>
      </c>
      <c r="O80" s="666">
        <v>0</v>
      </c>
      <c r="P80" s="666">
        <v>2922000</v>
      </c>
      <c r="Q80" s="664">
        <v>1</v>
      </c>
      <c r="R80" s="664" t="s">
        <v>496</v>
      </c>
      <c r="S80" s="664">
        <v>100</v>
      </c>
      <c r="T80" s="666">
        <v>4000000</v>
      </c>
      <c r="U80" s="666">
        <v>0</v>
      </c>
      <c r="V80" s="664">
        <v>300</v>
      </c>
      <c r="W80" s="666">
        <v>13653756</v>
      </c>
      <c r="X80" s="664">
        <v>2</v>
      </c>
      <c r="Y80" s="664">
        <v>1160902010</v>
      </c>
      <c r="Z80" s="664">
        <v>2023</v>
      </c>
      <c r="AA80" s="664">
        <v>12</v>
      </c>
      <c r="AB80" s="664">
        <v>5026003002</v>
      </c>
      <c r="AC80" s="664">
        <v>1160903005</v>
      </c>
      <c r="AD80" s="664">
        <v>0</v>
      </c>
      <c r="AE80" s="664">
        <v>0</v>
      </c>
      <c r="AF80" s="664">
        <v>0</v>
      </c>
      <c r="AG80" s="664">
        <v>1160605001</v>
      </c>
      <c r="AH80" s="664">
        <v>1461</v>
      </c>
      <c r="AI80" s="664" t="s">
        <v>497</v>
      </c>
      <c r="AJ80" s="667">
        <v>0.01</v>
      </c>
      <c r="AK80" s="668">
        <f t="shared" si="10"/>
        <v>40000</v>
      </c>
      <c r="AL80" s="668">
        <f t="shared" si="11"/>
        <v>40000</v>
      </c>
      <c r="AM80" s="668">
        <f t="shared" si="11"/>
        <v>40000</v>
      </c>
      <c r="AN80" s="668"/>
      <c r="AO80" s="668"/>
      <c r="AP80" s="668">
        <f t="shared" si="12"/>
        <v>0</v>
      </c>
      <c r="AQ80" s="668">
        <f t="shared" si="13"/>
        <v>0</v>
      </c>
      <c r="AR80" s="668">
        <f t="shared" si="13"/>
        <v>0</v>
      </c>
      <c r="AS80" s="668"/>
      <c r="AT80" s="668"/>
      <c r="AV80" s="670">
        <f t="shared" si="14"/>
        <v>3880000</v>
      </c>
      <c r="AW80" s="670">
        <f t="shared" si="15"/>
        <v>0</v>
      </c>
      <c r="AX80" s="671">
        <f t="shared" si="9"/>
        <v>0</v>
      </c>
    </row>
    <row r="81" spans="1:51">
      <c r="A81" s="664" t="s">
        <v>494</v>
      </c>
      <c r="B81" s="664"/>
      <c r="C81" s="664"/>
      <c r="D81" s="664">
        <v>1160505002</v>
      </c>
      <c r="E81" s="664">
        <v>0</v>
      </c>
      <c r="F81" s="664">
        <v>43484</v>
      </c>
      <c r="G81" s="665">
        <v>43129</v>
      </c>
      <c r="H81" s="665">
        <v>43859</v>
      </c>
      <c r="I81" s="664">
        <v>1413</v>
      </c>
      <c r="J81" s="666">
        <v>15686000</v>
      </c>
      <c r="K81" s="666">
        <v>0</v>
      </c>
      <c r="L81" s="666">
        <v>0</v>
      </c>
      <c r="M81" s="664" t="s">
        <v>495</v>
      </c>
      <c r="N81" s="666">
        <v>15686000</v>
      </c>
      <c r="O81" s="666">
        <v>0</v>
      </c>
      <c r="P81" s="666">
        <v>11082159</v>
      </c>
      <c r="Q81" s="664">
        <v>1</v>
      </c>
      <c r="R81" s="664" t="s">
        <v>496</v>
      </c>
      <c r="S81" s="664">
        <v>100</v>
      </c>
      <c r="T81" s="666">
        <v>15686000</v>
      </c>
      <c r="U81" s="666">
        <v>0</v>
      </c>
      <c r="V81" s="664">
        <v>300</v>
      </c>
      <c r="W81" s="666">
        <v>13653756</v>
      </c>
      <c r="X81" s="664">
        <v>6</v>
      </c>
      <c r="Y81" s="664">
        <v>1160902010</v>
      </c>
      <c r="Z81" s="664">
        <v>2023</v>
      </c>
      <c r="AA81" s="664">
        <v>12</v>
      </c>
      <c r="AB81" s="664">
        <v>5026003002</v>
      </c>
      <c r="AC81" s="664">
        <v>1160903005</v>
      </c>
      <c r="AD81" s="664">
        <v>0</v>
      </c>
      <c r="AE81" s="664">
        <v>0</v>
      </c>
      <c r="AF81" s="664">
        <v>0</v>
      </c>
      <c r="AG81" s="664">
        <v>1160605001</v>
      </c>
      <c r="AH81" s="664">
        <v>1461</v>
      </c>
      <c r="AI81" s="664" t="s">
        <v>497</v>
      </c>
      <c r="AJ81" s="667">
        <v>0.01</v>
      </c>
      <c r="AK81" s="668">
        <f t="shared" si="10"/>
        <v>156860</v>
      </c>
      <c r="AL81" s="668">
        <f t="shared" si="11"/>
        <v>156860</v>
      </c>
      <c r="AM81" s="668">
        <f t="shared" si="11"/>
        <v>156860</v>
      </c>
      <c r="AN81" s="668"/>
      <c r="AO81" s="668"/>
      <c r="AP81" s="668">
        <f t="shared" si="12"/>
        <v>0</v>
      </c>
      <c r="AQ81" s="668">
        <f t="shared" si="13"/>
        <v>0</v>
      </c>
      <c r="AR81" s="668">
        <f t="shared" si="13"/>
        <v>0</v>
      </c>
      <c r="AS81" s="668"/>
      <c r="AT81" s="668"/>
      <c r="AV81" s="670">
        <f t="shared" si="14"/>
        <v>15215420</v>
      </c>
      <c r="AW81" s="670">
        <f t="shared" si="15"/>
        <v>0</v>
      </c>
      <c r="AX81" s="671">
        <f t="shared" si="9"/>
        <v>0</v>
      </c>
    </row>
    <row r="82" spans="1:51">
      <c r="A82" s="664" t="s">
        <v>494</v>
      </c>
      <c r="B82" s="664"/>
      <c r="C82" s="664"/>
      <c r="D82" s="664">
        <v>1160405004</v>
      </c>
      <c r="E82" s="664">
        <v>30999</v>
      </c>
      <c r="F82" s="664">
        <v>294</v>
      </c>
      <c r="G82" s="665">
        <v>41727</v>
      </c>
      <c r="H82" s="665">
        <v>42823</v>
      </c>
      <c r="I82" s="664">
        <v>2433</v>
      </c>
      <c r="J82" s="666">
        <v>2975933</v>
      </c>
      <c r="K82" s="666">
        <v>360083</v>
      </c>
      <c r="L82" s="666">
        <v>0</v>
      </c>
      <c r="M82" s="664" t="s">
        <v>495</v>
      </c>
      <c r="N82" s="666">
        <v>2975933</v>
      </c>
      <c r="O82" s="666">
        <v>360083</v>
      </c>
      <c r="P82" s="666">
        <v>3620222</v>
      </c>
      <c r="Q82" s="664">
        <v>2</v>
      </c>
      <c r="R82" s="664" t="s">
        <v>496</v>
      </c>
      <c r="S82" s="664">
        <v>100</v>
      </c>
      <c r="T82" s="666">
        <v>2975933</v>
      </c>
      <c r="U82" s="666">
        <v>360083</v>
      </c>
      <c r="V82" s="664">
        <v>200</v>
      </c>
      <c r="W82" s="666">
        <v>14007113</v>
      </c>
      <c r="X82" s="664">
        <v>5</v>
      </c>
      <c r="Y82" s="664">
        <v>1160902009</v>
      </c>
      <c r="Z82" s="664">
        <v>2023</v>
      </c>
      <c r="AA82" s="664">
        <v>12</v>
      </c>
      <c r="AB82" s="664">
        <v>5026003002</v>
      </c>
      <c r="AC82" s="664">
        <v>1160903005</v>
      </c>
      <c r="AD82" s="664">
        <v>0</v>
      </c>
      <c r="AE82" s="664">
        <v>0</v>
      </c>
      <c r="AF82" s="664">
        <v>1</v>
      </c>
      <c r="AG82" s="664">
        <v>1160605001</v>
      </c>
      <c r="AH82" s="664">
        <v>2433</v>
      </c>
      <c r="AI82" s="664" t="s">
        <v>497</v>
      </c>
      <c r="AJ82" s="667">
        <v>0.01</v>
      </c>
      <c r="AK82" s="668">
        <f t="shared" si="10"/>
        <v>29759.33</v>
      </c>
      <c r="AL82" s="668">
        <f t="shared" si="11"/>
        <v>29759.33</v>
      </c>
      <c r="AM82" s="668">
        <f t="shared" si="11"/>
        <v>29759.33</v>
      </c>
      <c r="AN82" s="668"/>
      <c r="AO82" s="668"/>
      <c r="AP82" s="668">
        <f t="shared" si="12"/>
        <v>1800.415</v>
      </c>
      <c r="AQ82" s="668">
        <f t="shared" si="13"/>
        <v>1800.415</v>
      </c>
      <c r="AR82" s="668">
        <f t="shared" si="13"/>
        <v>1800.415</v>
      </c>
      <c r="AS82" s="668"/>
      <c r="AT82" s="668"/>
      <c r="AV82" s="670">
        <f t="shared" si="14"/>
        <v>2886655.01</v>
      </c>
      <c r="AW82" s="670">
        <f t="shared" si="15"/>
        <v>354681.75500000006</v>
      </c>
      <c r="AX82" s="671">
        <f t="shared" si="9"/>
        <v>0</v>
      </c>
    </row>
    <row r="83" spans="1:51">
      <c r="A83" s="664" t="s">
        <v>494</v>
      </c>
      <c r="B83" s="664"/>
      <c r="C83" s="664"/>
      <c r="D83" s="664">
        <v>1160405004</v>
      </c>
      <c r="E83" s="664">
        <v>32265</v>
      </c>
      <c r="F83" s="664">
        <v>349</v>
      </c>
      <c r="G83" s="665">
        <v>41793</v>
      </c>
      <c r="H83" s="665">
        <v>42889</v>
      </c>
      <c r="I83" s="664">
        <v>2369</v>
      </c>
      <c r="J83" s="666">
        <v>15066000</v>
      </c>
      <c r="K83" s="666">
        <v>2020937</v>
      </c>
      <c r="L83" s="666">
        <v>0</v>
      </c>
      <c r="M83" s="664" t="s">
        <v>495</v>
      </c>
      <c r="N83" s="666">
        <v>15066000</v>
      </c>
      <c r="O83" s="666">
        <v>2020937</v>
      </c>
      <c r="P83" s="666">
        <v>17845677</v>
      </c>
      <c r="Q83" s="664">
        <v>2</v>
      </c>
      <c r="R83" s="664" t="s">
        <v>496</v>
      </c>
      <c r="S83" s="664">
        <v>100</v>
      </c>
      <c r="T83" s="666">
        <v>15066000</v>
      </c>
      <c r="U83" s="666">
        <v>2020937</v>
      </c>
      <c r="V83" s="664">
        <v>200</v>
      </c>
      <c r="W83" s="666">
        <v>14007113</v>
      </c>
      <c r="X83" s="664">
        <v>5</v>
      </c>
      <c r="Y83" s="664">
        <v>1160902009</v>
      </c>
      <c r="Z83" s="664">
        <v>2023</v>
      </c>
      <c r="AA83" s="664">
        <v>12</v>
      </c>
      <c r="AB83" s="664">
        <v>5026003002</v>
      </c>
      <c r="AC83" s="664">
        <v>1160903005</v>
      </c>
      <c r="AD83" s="664">
        <v>0</v>
      </c>
      <c r="AE83" s="664">
        <v>0</v>
      </c>
      <c r="AF83" s="664">
        <v>1</v>
      </c>
      <c r="AG83" s="664">
        <v>1160605001</v>
      </c>
      <c r="AH83" s="664">
        <v>2433</v>
      </c>
      <c r="AI83" s="664" t="s">
        <v>497</v>
      </c>
      <c r="AJ83" s="667">
        <v>0.01</v>
      </c>
      <c r="AK83" s="668">
        <f t="shared" si="10"/>
        <v>150660</v>
      </c>
      <c r="AL83" s="668">
        <f t="shared" si="11"/>
        <v>150660</v>
      </c>
      <c r="AM83" s="668">
        <f t="shared" si="11"/>
        <v>150660</v>
      </c>
      <c r="AN83" s="668"/>
      <c r="AO83" s="668"/>
      <c r="AP83" s="668">
        <f t="shared" si="12"/>
        <v>10104.684999999999</v>
      </c>
      <c r="AQ83" s="668">
        <f t="shared" si="13"/>
        <v>10104.684999999999</v>
      </c>
      <c r="AR83" s="668">
        <f t="shared" si="13"/>
        <v>10104.684999999999</v>
      </c>
      <c r="AS83" s="668"/>
      <c r="AT83" s="668"/>
      <c r="AV83" s="670">
        <f t="shared" si="14"/>
        <v>14614020</v>
      </c>
      <c r="AW83" s="670">
        <f t="shared" si="15"/>
        <v>1990622.9449999998</v>
      </c>
      <c r="AX83" s="671">
        <f t="shared" si="9"/>
        <v>0</v>
      </c>
    </row>
    <row r="84" spans="1:51">
      <c r="A84" s="664" t="s">
        <v>494</v>
      </c>
      <c r="B84" s="664"/>
      <c r="C84" s="664"/>
      <c r="D84" s="664">
        <v>1160505001</v>
      </c>
      <c r="E84" s="664">
        <v>0</v>
      </c>
      <c r="F84" s="664">
        <v>46374</v>
      </c>
      <c r="G84" s="665">
        <v>43540</v>
      </c>
      <c r="H84" s="665">
        <v>43906</v>
      </c>
      <c r="I84" s="664">
        <v>1366</v>
      </c>
      <c r="J84" s="666">
        <v>15500000</v>
      </c>
      <c r="K84" s="666">
        <v>0</v>
      </c>
      <c r="L84" s="666">
        <v>0</v>
      </c>
      <c r="M84" s="664" t="s">
        <v>495</v>
      </c>
      <c r="N84" s="666">
        <v>15500000</v>
      </c>
      <c r="O84" s="666">
        <v>0</v>
      </c>
      <c r="P84" s="666">
        <v>10586500</v>
      </c>
      <c r="Q84" s="664">
        <v>1</v>
      </c>
      <c r="R84" s="664" t="s">
        <v>496</v>
      </c>
      <c r="S84" s="664">
        <v>100</v>
      </c>
      <c r="T84" s="666">
        <v>15500000</v>
      </c>
      <c r="U84" s="666">
        <v>0</v>
      </c>
      <c r="V84" s="664">
        <v>100</v>
      </c>
      <c r="W84" s="666">
        <v>11326357.359999999</v>
      </c>
      <c r="X84" s="664">
        <v>2</v>
      </c>
      <c r="Y84" s="664">
        <v>1160902010</v>
      </c>
      <c r="Z84" s="664">
        <v>2023</v>
      </c>
      <c r="AA84" s="664">
        <v>12</v>
      </c>
      <c r="AB84" s="664">
        <v>5026003002</v>
      </c>
      <c r="AC84" s="664">
        <v>1160903005</v>
      </c>
      <c r="AD84" s="664">
        <v>0</v>
      </c>
      <c r="AE84" s="664">
        <v>0</v>
      </c>
      <c r="AF84" s="664">
        <v>0</v>
      </c>
      <c r="AG84" s="664">
        <v>1160605001</v>
      </c>
      <c r="AH84" s="664">
        <v>1366</v>
      </c>
      <c r="AI84" s="664" t="s">
        <v>497</v>
      </c>
      <c r="AJ84" s="667">
        <v>0.01</v>
      </c>
      <c r="AK84" s="668">
        <f t="shared" si="10"/>
        <v>155000</v>
      </c>
      <c r="AL84" s="668">
        <f t="shared" si="11"/>
        <v>155000</v>
      </c>
      <c r="AM84" s="668">
        <f t="shared" si="11"/>
        <v>155000</v>
      </c>
      <c r="AN84" s="668"/>
      <c r="AO84" s="668"/>
      <c r="AP84" s="668">
        <f t="shared" si="12"/>
        <v>0</v>
      </c>
      <c r="AQ84" s="668">
        <f t="shared" si="13"/>
        <v>0</v>
      </c>
      <c r="AR84" s="668">
        <f t="shared" si="13"/>
        <v>0</v>
      </c>
      <c r="AS84" s="668"/>
      <c r="AT84" s="668"/>
      <c r="AV84" s="670">
        <f t="shared" si="14"/>
        <v>15035000</v>
      </c>
      <c r="AW84" s="670">
        <f t="shared" si="15"/>
        <v>0</v>
      </c>
      <c r="AX84" s="671">
        <f t="shared" si="9"/>
        <v>0</v>
      </c>
    </row>
    <row r="85" spans="1:51">
      <c r="A85" s="664" t="s">
        <v>494</v>
      </c>
      <c r="B85" s="664"/>
      <c r="C85" s="664"/>
      <c r="D85" s="664">
        <v>1160505001</v>
      </c>
      <c r="E85" s="664">
        <v>0</v>
      </c>
      <c r="F85" s="664">
        <v>46588</v>
      </c>
      <c r="G85" s="665">
        <v>43570</v>
      </c>
      <c r="H85" s="665">
        <v>44666</v>
      </c>
      <c r="I85" s="664">
        <v>617</v>
      </c>
      <c r="J85" s="666">
        <v>3958174</v>
      </c>
      <c r="K85" s="666">
        <v>65970</v>
      </c>
      <c r="L85" s="666">
        <v>0</v>
      </c>
      <c r="M85" s="664" t="s">
        <v>495</v>
      </c>
      <c r="N85" s="666">
        <v>3958174</v>
      </c>
      <c r="O85" s="666">
        <v>65970</v>
      </c>
      <c r="P85" s="666">
        <v>1221097</v>
      </c>
      <c r="Q85" s="664">
        <v>1</v>
      </c>
      <c r="R85" s="664" t="s">
        <v>496</v>
      </c>
      <c r="S85" s="664">
        <v>100</v>
      </c>
      <c r="T85" s="666">
        <v>3958174</v>
      </c>
      <c r="U85" s="666">
        <v>65970</v>
      </c>
      <c r="V85" s="664">
        <v>300</v>
      </c>
      <c r="W85" s="666">
        <v>3174403</v>
      </c>
      <c r="X85" s="664">
        <v>2</v>
      </c>
      <c r="Y85" s="664">
        <v>1160902010</v>
      </c>
      <c r="Z85" s="664">
        <v>2023</v>
      </c>
      <c r="AA85" s="664">
        <v>12</v>
      </c>
      <c r="AB85" s="664">
        <v>5026003002</v>
      </c>
      <c r="AC85" s="664">
        <v>1160903005</v>
      </c>
      <c r="AD85" s="664">
        <v>0</v>
      </c>
      <c r="AE85" s="664">
        <v>0</v>
      </c>
      <c r="AF85" s="664">
        <v>0</v>
      </c>
      <c r="AG85" s="664">
        <v>1160605001</v>
      </c>
      <c r="AH85" s="664">
        <v>617</v>
      </c>
      <c r="AI85" s="664" t="s">
        <v>498</v>
      </c>
      <c r="AJ85" s="667">
        <v>0.1</v>
      </c>
      <c r="AK85" s="668">
        <f t="shared" si="10"/>
        <v>395817.4</v>
      </c>
      <c r="AL85" s="668">
        <f t="shared" si="11"/>
        <v>395817.4</v>
      </c>
      <c r="AM85" s="668">
        <f t="shared" si="11"/>
        <v>395817.4</v>
      </c>
      <c r="AN85" s="668"/>
      <c r="AO85" s="668"/>
      <c r="AP85" s="668">
        <f t="shared" si="12"/>
        <v>3298.5</v>
      </c>
      <c r="AQ85" s="668">
        <f t="shared" si="13"/>
        <v>3298.5</v>
      </c>
      <c r="AR85" s="668">
        <f t="shared" si="13"/>
        <v>3298.5</v>
      </c>
      <c r="AS85" s="668"/>
      <c r="AT85" s="668"/>
      <c r="AV85" s="670">
        <f t="shared" si="14"/>
        <v>2770721.8000000003</v>
      </c>
      <c r="AW85" s="670">
        <f t="shared" si="15"/>
        <v>56074.5</v>
      </c>
      <c r="AX85" s="671">
        <f t="shared" si="9"/>
        <v>0</v>
      </c>
    </row>
    <row r="86" spans="1:51">
      <c r="A86" s="664" t="s">
        <v>494</v>
      </c>
      <c r="B86" s="664"/>
      <c r="C86" s="664"/>
      <c r="D86" s="664">
        <v>1160505001</v>
      </c>
      <c r="E86" s="664">
        <v>0</v>
      </c>
      <c r="F86" s="664">
        <v>43159</v>
      </c>
      <c r="G86" s="665">
        <v>43086</v>
      </c>
      <c r="H86" s="665">
        <v>43816</v>
      </c>
      <c r="I86" s="664">
        <v>1455</v>
      </c>
      <c r="J86" s="666">
        <v>12500000</v>
      </c>
      <c r="K86" s="666">
        <v>0</v>
      </c>
      <c r="L86" s="666">
        <v>0</v>
      </c>
      <c r="M86" s="664" t="s">
        <v>495</v>
      </c>
      <c r="N86" s="666">
        <v>12500000</v>
      </c>
      <c r="O86" s="666">
        <v>0</v>
      </c>
      <c r="P86" s="666">
        <v>9093750</v>
      </c>
      <c r="Q86" s="664">
        <v>1</v>
      </c>
      <c r="R86" s="664" t="s">
        <v>496</v>
      </c>
      <c r="S86" s="664">
        <v>100</v>
      </c>
      <c r="T86" s="666">
        <v>12500000</v>
      </c>
      <c r="U86" s="666">
        <v>0</v>
      </c>
      <c r="V86" s="664">
        <v>100</v>
      </c>
      <c r="W86" s="666">
        <v>10356496</v>
      </c>
      <c r="X86" s="664">
        <v>2</v>
      </c>
      <c r="Y86" s="664">
        <v>1160902010</v>
      </c>
      <c r="Z86" s="664">
        <v>2023</v>
      </c>
      <c r="AA86" s="664">
        <v>12</v>
      </c>
      <c r="AB86" s="664">
        <v>5026003002</v>
      </c>
      <c r="AC86" s="664">
        <v>1160903005</v>
      </c>
      <c r="AD86" s="664">
        <v>0</v>
      </c>
      <c r="AE86" s="664">
        <v>0</v>
      </c>
      <c r="AF86" s="664">
        <v>0</v>
      </c>
      <c r="AG86" s="664">
        <v>1160605001</v>
      </c>
      <c r="AH86" s="664">
        <v>1455</v>
      </c>
      <c r="AI86" s="664" t="s">
        <v>497</v>
      </c>
      <c r="AJ86" s="667">
        <v>0.01</v>
      </c>
      <c r="AK86" s="668">
        <f t="shared" si="10"/>
        <v>125000</v>
      </c>
      <c r="AL86" s="668">
        <f t="shared" si="11"/>
        <v>125000</v>
      </c>
      <c r="AM86" s="668">
        <f t="shared" si="11"/>
        <v>125000</v>
      </c>
      <c r="AN86" s="668"/>
      <c r="AO86" s="668"/>
      <c r="AP86" s="668">
        <f t="shared" si="12"/>
        <v>0</v>
      </c>
      <c r="AQ86" s="668">
        <f t="shared" si="13"/>
        <v>0</v>
      </c>
      <c r="AR86" s="668">
        <f t="shared" si="13"/>
        <v>0</v>
      </c>
      <c r="AS86" s="668"/>
      <c r="AT86" s="668"/>
      <c r="AV86" s="670">
        <f t="shared" si="14"/>
        <v>12125000</v>
      </c>
      <c r="AW86" s="670">
        <f t="shared" si="15"/>
        <v>0</v>
      </c>
      <c r="AX86" s="671">
        <f t="shared" si="9"/>
        <v>0</v>
      </c>
    </row>
    <row r="87" spans="1:51">
      <c r="A87" s="664" t="s">
        <v>494</v>
      </c>
      <c r="B87" s="664"/>
      <c r="C87" s="664"/>
      <c r="D87" s="664">
        <v>1160405001</v>
      </c>
      <c r="E87" s="664">
        <v>0</v>
      </c>
      <c r="F87" s="664">
        <v>44305</v>
      </c>
      <c r="G87" s="665">
        <v>43210</v>
      </c>
      <c r="H87" s="665">
        <v>44306</v>
      </c>
      <c r="I87" s="664">
        <v>972</v>
      </c>
      <c r="J87" s="666">
        <v>75000000</v>
      </c>
      <c r="K87" s="666">
        <v>8238379</v>
      </c>
      <c r="L87" s="666">
        <v>0</v>
      </c>
      <c r="M87" s="664" t="s">
        <v>495</v>
      </c>
      <c r="N87" s="666">
        <v>75000000</v>
      </c>
      <c r="O87" s="666">
        <v>8238379</v>
      </c>
      <c r="P87" s="666">
        <v>36450000</v>
      </c>
      <c r="Q87" s="664">
        <v>2</v>
      </c>
      <c r="R87" s="664" t="s">
        <v>496</v>
      </c>
      <c r="S87" s="664">
        <v>100</v>
      </c>
      <c r="T87" s="666">
        <v>75000000</v>
      </c>
      <c r="U87" s="666">
        <v>8238379</v>
      </c>
      <c r="V87" s="664">
        <v>100</v>
      </c>
      <c r="W87" s="666">
        <v>10356496</v>
      </c>
      <c r="X87" s="664">
        <v>2</v>
      </c>
      <c r="Y87" s="664">
        <v>1160902009</v>
      </c>
      <c r="Z87" s="664">
        <v>2023</v>
      </c>
      <c r="AA87" s="664">
        <v>12</v>
      </c>
      <c r="AB87" s="664">
        <v>5026003002</v>
      </c>
      <c r="AC87" s="664">
        <v>1160903005</v>
      </c>
      <c r="AD87" s="664">
        <v>0</v>
      </c>
      <c r="AE87" s="664">
        <v>0</v>
      </c>
      <c r="AF87" s="664">
        <v>1</v>
      </c>
      <c r="AG87" s="664">
        <v>1160605001</v>
      </c>
      <c r="AH87" s="664">
        <v>1455</v>
      </c>
      <c r="AI87" s="664" t="s">
        <v>497</v>
      </c>
      <c r="AJ87" s="667">
        <v>0.01</v>
      </c>
      <c r="AK87" s="668">
        <f t="shared" si="10"/>
        <v>750000</v>
      </c>
      <c r="AL87" s="668">
        <f t="shared" si="11"/>
        <v>750000</v>
      </c>
      <c r="AM87" s="668">
        <f t="shared" si="11"/>
        <v>750000</v>
      </c>
      <c r="AN87" s="668"/>
      <c r="AO87" s="668"/>
      <c r="AP87" s="668">
        <f t="shared" si="12"/>
        <v>41191.895000000004</v>
      </c>
      <c r="AQ87" s="668">
        <f t="shared" si="13"/>
        <v>41191.895000000004</v>
      </c>
      <c r="AR87" s="668">
        <f t="shared" si="13"/>
        <v>41191.895000000004</v>
      </c>
      <c r="AS87" s="668"/>
      <c r="AT87" s="668"/>
      <c r="AV87" s="670">
        <f t="shared" si="14"/>
        <v>72750000</v>
      </c>
      <c r="AW87" s="670">
        <f t="shared" si="15"/>
        <v>8114803.3150000013</v>
      </c>
      <c r="AX87" s="671">
        <f t="shared" si="9"/>
        <v>0</v>
      </c>
    </row>
    <row r="88" spans="1:51">
      <c r="A88" s="664" t="s">
        <v>494</v>
      </c>
      <c r="B88" s="664"/>
      <c r="C88" s="664"/>
      <c r="D88" s="664">
        <v>1160505001</v>
      </c>
      <c r="E88" s="664">
        <v>0</v>
      </c>
      <c r="F88" s="664">
        <v>45751</v>
      </c>
      <c r="G88" s="665">
        <v>43478</v>
      </c>
      <c r="H88" s="665">
        <v>43843</v>
      </c>
      <c r="I88" s="664">
        <v>1429</v>
      </c>
      <c r="J88" s="666">
        <v>12500000</v>
      </c>
      <c r="K88" s="666">
        <v>0</v>
      </c>
      <c r="L88" s="666">
        <v>0</v>
      </c>
      <c r="M88" s="664" t="s">
        <v>495</v>
      </c>
      <c r="N88" s="666">
        <v>12500000</v>
      </c>
      <c r="O88" s="666">
        <v>0</v>
      </c>
      <c r="P88" s="666">
        <v>8931250</v>
      </c>
      <c r="Q88" s="664">
        <v>1</v>
      </c>
      <c r="R88" s="664" t="s">
        <v>496</v>
      </c>
      <c r="S88" s="664">
        <v>100</v>
      </c>
      <c r="T88" s="666">
        <v>12500000</v>
      </c>
      <c r="U88" s="666">
        <v>0</v>
      </c>
      <c r="V88" s="664">
        <v>100</v>
      </c>
      <c r="W88" s="666">
        <v>10356496</v>
      </c>
      <c r="X88" s="664">
        <v>2</v>
      </c>
      <c r="Y88" s="664">
        <v>1160902010</v>
      </c>
      <c r="Z88" s="664">
        <v>2023</v>
      </c>
      <c r="AA88" s="664">
        <v>12</v>
      </c>
      <c r="AB88" s="664">
        <v>5026003002</v>
      </c>
      <c r="AC88" s="664">
        <v>1160903005</v>
      </c>
      <c r="AD88" s="664">
        <v>0</v>
      </c>
      <c r="AE88" s="664">
        <v>0</v>
      </c>
      <c r="AF88" s="664">
        <v>0</v>
      </c>
      <c r="AG88" s="664">
        <v>1160605001</v>
      </c>
      <c r="AH88" s="664">
        <v>1455</v>
      </c>
      <c r="AI88" s="664" t="s">
        <v>497</v>
      </c>
      <c r="AJ88" s="667">
        <v>0.01</v>
      </c>
      <c r="AK88" s="668">
        <f t="shared" si="10"/>
        <v>125000</v>
      </c>
      <c r="AL88" s="668">
        <f t="shared" si="11"/>
        <v>125000</v>
      </c>
      <c r="AM88" s="668">
        <f t="shared" si="11"/>
        <v>125000</v>
      </c>
      <c r="AN88" s="668"/>
      <c r="AO88" s="668"/>
      <c r="AP88" s="668">
        <f t="shared" si="12"/>
        <v>0</v>
      </c>
      <c r="AQ88" s="668">
        <f t="shared" si="13"/>
        <v>0</v>
      </c>
      <c r="AR88" s="668">
        <f t="shared" si="13"/>
        <v>0</v>
      </c>
      <c r="AS88" s="668"/>
      <c r="AT88" s="668"/>
      <c r="AV88" s="670">
        <f t="shared" si="14"/>
        <v>12125000</v>
      </c>
      <c r="AW88" s="670">
        <f t="shared" si="15"/>
        <v>0</v>
      </c>
      <c r="AX88" s="671">
        <f t="shared" si="9"/>
        <v>0</v>
      </c>
    </row>
    <row r="89" spans="1:51">
      <c r="A89" s="664" t="s">
        <v>494</v>
      </c>
      <c r="B89" s="664"/>
      <c r="C89" s="664"/>
      <c r="D89" s="664">
        <v>1160505001</v>
      </c>
      <c r="E89" s="664">
        <v>0</v>
      </c>
      <c r="F89" s="664">
        <v>41327</v>
      </c>
      <c r="G89" s="665">
        <v>42771</v>
      </c>
      <c r="H89" s="665">
        <v>43501</v>
      </c>
      <c r="I89" s="664">
        <v>1767</v>
      </c>
      <c r="J89" s="666">
        <v>6200000</v>
      </c>
      <c r="K89" s="666">
        <v>1240008</v>
      </c>
      <c r="L89" s="666">
        <v>0</v>
      </c>
      <c r="M89" s="664" t="s">
        <v>495</v>
      </c>
      <c r="N89" s="666">
        <v>6200000</v>
      </c>
      <c r="O89" s="666">
        <v>1240008</v>
      </c>
      <c r="P89" s="666">
        <v>5477700</v>
      </c>
      <c r="Q89" s="664">
        <v>1</v>
      </c>
      <c r="R89" s="664" t="s">
        <v>496</v>
      </c>
      <c r="S89" s="664">
        <v>100</v>
      </c>
      <c r="T89" s="666">
        <v>6200000</v>
      </c>
      <c r="U89" s="666">
        <v>1240008</v>
      </c>
      <c r="V89" s="664">
        <v>100</v>
      </c>
      <c r="W89" s="666">
        <v>1427264</v>
      </c>
      <c r="X89" s="664">
        <v>2</v>
      </c>
      <c r="Y89" s="664">
        <v>1160902010</v>
      </c>
      <c r="Z89" s="664">
        <v>2023</v>
      </c>
      <c r="AA89" s="664">
        <v>12</v>
      </c>
      <c r="AB89" s="664">
        <v>5026003002</v>
      </c>
      <c r="AC89" s="664">
        <v>1160903005</v>
      </c>
      <c r="AD89" s="664">
        <v>0</v>
      </c>
      <c r="AE89" s="664">
        <v>0</v>
      </c>
      <c r="AF89" s="664">
        <v>0</v>
      </c>
      <c r="AG89" s="664">
        <v>1160605001</v>
      </c>
      <c r="AH89" s="664">
        <v>1767</v>
      </c>
      <c r="AI89" s="664" t="s">
        <v>497</v>
      </c>
      <c r="AJ89" s="667">
        <v>0.01</v>
      </c>
      <c r="AK89" s="668">
        <f t="shared" si="10"/>
        <v>62000</v>
      </c>
      <c r="AL89" s="668">
        <f t="shared" si="11"/>
        <v>62000</v>
      </c>
      <c r="AM89" s="668">
        <f t="shared" si="11"/>
        <v>62000</v>
      </c>
      <c r="AN89" s="668"/>
      <c r="AO89" s="668"/>
      <c r="AP89" s="668">
        <f t="shared" si="12"/>
        <v>6200.04</v>
      </c>
      <c r="AQ89" s="668">
        <f t="shared" si="13"/>
        <v>6200.04</v>
      </c>
      <c r="AR89" s="668">
        <f t="shared" si="13"/>
        <v>6200.04</v>
      </c>
      <c r="AS89" s="668"/>
      <c r="AT89" s="668"/>
      <c r="AV89" s="670">
        <f t="shared" si="14"/>
        <v>6014000</v>
      </c>
      <c r="AW89" s="670">
        <f t="shared" si="15"/>
        <v>1221407.8799999999</v>
      </c>
      <c r="AX89" s="671">
        <f t="shared" si="9"/>
        <v>0</v>
      </c>
    </row>
    <row r="90" spans="1:51">
      <c r="A90" s="664" t="s">
        <v>494</v>
      </c>
      <c r="B90" s="664"/>
      <c r="C90" s="664"/>
      <c r="D90" s="664">
        <v>1160501001</v>
      </c>
      <c r="E90" s="664">
        <v>0</v>
      </c>
      <c r="F90" s="664">
        <v>46543</v>
      </c>
      <c r="G90" s="665">
        <v>43562</v>
      </c>
      <c r="H90" s="665">
        <v>45389</v>
      </c>
      <c r="I90" s="664">
        <v>0</v>
      </c>
      <c r="J90" s="666">
        <v>12500000</v>
      </c>
      <c r="K90" s="666">
        <v>3089375</v>
      </c>
      <c r="L90" s="666">
        <v>0</v>
      </c>
      <c r="M90" s="664" t="s">
        <v>495</v>
      </c>
      <c r="N90" s="666">
        <v>0</v>
      </c>
      <c r="O90" s="666">
        <v>0</v>
      </c>
      <c r="P90" s="666">
        <v>0</v>
      </c>
      <c r="Q90" s="664">
        <v>1</v>
      </c>
      <c r="R90" s="664" t="s">
        <v>502</v>
      </c>
      <c r="S90" s="664">
        <v>0</v>
      </c>
      <c r="T90" s="666">
        <v>0</v>
      </c>
      <c r="U90" s="666">
        <v>0</v>
      </c>
      <c r="V90" s="664">
        <v>100</v>
      </c>
      <c r="W90" s="666">
        <v>5576243</v>
      </c>
      <c r="X90" s="664">
        <v>2</v>
      </c>
      <c r="Y90" s="664">
        <v>1160902002</v>
      </c>
      <c r="Z90" s="664">
        <v>2023</v>
      </c>
      <c r="AA90" s="664">
        <v>12</v>
      </c>
      <c r="AB90" s="664">
        <v>5026003002</v>
      </c>
      <c r="AC90" s="664">
        <v>1160903001</v>
      </c>
      <c r="AD90" s="664">
        <v>0</v>
      </c>
      <c r="AE90" s="664">
        <v>0</v>
      </c>
      <c r="AF90" s="664">
        <v>0</v>
      </c>
      <c r="AG90" s="664">
        <v>1160601004</v>
      </c>
      <c r="AH90" s="664">
        <v>0</v>
      </c>
      <c r="AI90" s="664" t="s">
        <v>500</v>
      </c>
      <c r="AJ90" s="667">
        <v>0.3</v>
      </c>
      <c r="AK90" s="668">
        <f t="shared" si="10"/>
        <v>3750000</v>
      </c>
      <c r="AL90" s="668">
        <f t="shared" si="11"/>
        <v>3750000</v>
      </c>
      <c r="AM90" s="668">
        <f t="shared" si="11"/>
        <v>3750000</v>
      </c>
      <c r="AN90" s="668"/>
      <c r="AO90" s="668"/>
      <c r="AP90" s="668">
        <f t="shared" si="12"/>
        <v>463406.25</v>
      </c>
      <c r="AQ90" s="668">
        <f t="shared" si="13"/>
        <v>463406.25</v>
      </c>
      <c r="AR90" s="668">
        <f t="shared" si="13"/>
        <v>463406.25</v>
      </c>
      <c r="AS90" s="668"/>
      <c r="AT90" s="668"/>
      <c r="AV90" s="670">
        <f t="shared" si="14"/>
        <v>1250000</v>
      </c>
      <c r="AW90" s="670">
        <f t="shared" si="15"/>
        <v>1699156.25</v>
      </c>
      <c r="AX90" s="671">
        <f t="shared" si="9"/>
        <v>12500000</v>
      </c>
      <c r="AY90" s="671">
        <f>+AX90-L90</f>
        <v>12500000</v>
      </c>
    </row>
    <row r="91" spans="1:51">
      <c r="A91" s="664" t="s">
        <v>494</v>
      </c>
      <c r="B91" s="664"/>
      <c r="C91" s="664"/>
      <c r="D91" s="664">
        <v>1160505002</v>
      </c>
      <c r="E91" s="664">
        <v>0</v>
      </c>
      <c r="F91" s="664">
        <v>46156</v>
      </c>
      <c r="G91" s="665">
        <v>43514</v>
      </c>
      <c r="H91" s="665">
        <v>43879</v>
      </c>
      <c r="I91" s="664">
        <v>1394</v>
      </c>
      <c r="J91" s="666">
        <v>1396338</v>
      </c>
      <c r="K91" s="666">
        <v>0</v>
      </c>
      <c r="L91" s="666">
        <v>0</v>
      </c>
      <c r="M91" s="664" t="s">
        <v>495</v>
      </c>
      <c r="N91" s="666">
        <v>1396338</v>
      </c>
      <c r="O91" s="666">
        <v>0</v>
      </c>
      <c r="P91" s="666">
        <v>973248</v>
      </c>
      <c r="Q91" s="664">
        <v>1</v>
      </c>
      <c r="R91" s="664" t="s">
        <v>496</v>
      </c>
      <c r="S91" s="664">
        <v>100</v>
      </c>
      <c r="T91" s="666">
        <v>1396338</v>
      </c>
      <c r="U91" s="666">
        <v>0</v>
      </c>
      <c r="V91" s="664">
        <v>300</v>
      </c>
      <c r="W91" s="666">
        <v>6301164</v>
      </c>
      <c r="X91" s="664">
        <v>6</v>
      </c>
      <c r="Y91" s="664">
        <v>1160902010</v>
      </c>
      <c r="Z91" s="664">
        <v>2023</v>
      </c>
      <c r="AA91" s="664">
        <v>12</v>
      </c>
      <c r="AB91" s="664">
        <v>5026003002</v>
      </c>
      <c r="AC91" s="664">
        <v>1160903005</v>
      </c>
      <c r="AD91" s="664">
        <v>0</v>
      </c>
      <c r="AE91" s="664">
        <v>0</v>
      </c>
      <c r="AF91" s="664">
        <v>0</v>
      </c>
      <c r="AG91" s="664">
        <v>1160605001</v>
      </c>
      <c r="AH91" s="664">
        <v>1394</v>
      </c>
      <c r="AI91" s="664" t="s">
        <v>497</v>
      </c>
      <c r="AJ91" s="667">
        <v>0.01</v>
      </c>
      <c r="AK91" s="668">
        <f t="shared" si="10"/>
        <v>13963.380000000001</v>
      </c>
      <c r="AL91" s="668">
        <f t="shared" si="11"/>
        <v>13963.380000000001</v>
      </c>
      <c r="AM91" s="668">
        <f t="shared" si="11"/>
        <v>13963.380000000001</v>
      </c>
      <c r="AN91" s="668"/>
      <c r="AO91" s="668"/>
      <c r="AP91" s="668">
        <f t="shared" si="12"/>
        <v>0</v>
      </c>
      <c r="AQ91" s="668">
        <f t="shared" si="13"/>
        <v>0</v>
      </c>
      <c r="AR91" s="668">
        <f t="shared" si="13"/>
        <v>0</v>
      </c>
      <c r="AS91" s="668"/>
      <c r="AT91" s="668"/>
      <c r="AV91" s="670">
        <f t="shared" si="14"/>
        <v>1354447.8600000003</v>
      </c>
      <c r="AW91" s="670">
        <f t="shared" si="15"/>
        <v>0</v>
      </c>
      <c r="AX91" s="671">
        <f t="shared" si="9"/>
        <v>0</v>
      </c>
    </row>
    <row r="92" spans="1:51">
      <c r="A92" s="664" t="s">
        <v>494</v>
      </c>
      <c r="B92" s="664"/>
      <c r="C92" s="664"/>
      <c r="D92" s="664">
        <v>1160505001</v>
      </c>
      <c r="E92" s="664">
        <v>0</v>
      </c>
      <c r="F92" s="664">
        <v>46939</v>
      </c>
      <c r="G92" s="665">
        <v>43633</v>
      </c>
      <c r="H92" s="665">
        <v>44364</v>
      </c>
      <c r="I92" s="664">
        <v>915</v>
      </c>
      <c r="J92" s="666">
        <v>1855111</v>
      </c>
      <c r="K92" s="666">
        <v>0</v>
      </c>
      <c r="L92" s="666">
        <v>0</v>
      </c>
      <c r="M92" s="664" t="s">
        <v>495</v>
      </c>
      <c r="N92" s="666">
        <v>1855111</v>
      </c>
      <c r="O92" s="666">
        <v>0</v>
      </c>
      <c r="P92" s="666">
        <v>848713</v>
      </c>
      <c r="Q92" s="664">
        <v>1</v>
      </c>
      <c r="R92" s="664" t="s">
        <v>496</v>
      </c>
      <c r="S92" s="664">
        <v>100</v>
      </c>
      <c r="T92" s="666">
        <v>1855111</v>
      </c>
      <c r="U92" s="666">
        <v>0</v>
      </c>
      <c r="V92" s="664">
        <v>200</v>
      </c>
      <c r="W92" s="666">
        <v>2920795</v>
      </c>
      <c r="X92" s="664">
        <v>2</v>
      </c>
      <c r="Y92" s="664">
        <v>1160902010</v>
      </c>
      <c r="Z92" s="664">
        <v>2023</v>
      </c>
      <c r="AA92" s="664">
        <v>12</v>
      </c>
      <c r="AB92" s="664">
        <v>5026003002</v>
      </c>
      <c r="AC92" s="664">
        <v>1160903005</v>
      </c>
      <c r="AD92" s="664">
        <v>0</v>
      </c>
      <c r="AE92" s="664">
        <v>0</v>
      </c>
      <c r="AF92" s="664">
        <v>0</v>
      </c>
      <c r="AG92" s="664">
        <v>1160605001</v>
      </c>
      <c r="AH92" s="664">
        <v>915</v>
      </c>
      <c r="AI92" s="664" t="s">
        <v>499</v>
      </c>
      <c r="AJ92" s="667">
        <v>0.05</v>
      </c>
      <c r="AK92" s="668">
        <f t="shared" si="10"/>
        <v>92755.55</v>
      </c>
      <c r="AL92" s="668">
        <f t="shared" si="11"/>
        <v>92755.55</v>
      </c>
      <c r="AM92" s="668">
        <f t="shared" si="11"/>
        <v>92755.55</v>
      </c>
      <c r="AN92" s="668"/>
      <c r="AO92" s="668"/>
      <c r="AP92" s="668">
        <f t="shared" si="12"/>
        <v>0</v>
      </c>
      <c r="AQ92" s="668">
        <f t="shared" si="13"/>
        <v>0</v>
      </c>
      <c r="AR92" s="668">
        <f t="shared" si="13"/>
        <v>0</v>
      </c>
      <c r="AS92" s="668"/>
      <c r="AT92" s="668"/>
      <c r="AV92" s="670">
        <f t="shared" si="14"/>
        <v>1576844.3499999999</v>
      </c>
      <c r="AW92" s="670">
        <f t="shared" si="15"/>
        <v>0</v>
      </c>
      <c r="AX92" s="671">
        <f t="shared" si="9"/>
        <v>0</v>
      </c>
    </row>
    <row r="93" spans="1:51">
      <c r="A93" s="664" t="s">
        <v>494</v>
      </c>
      <c r="B93" s="664"/>
      <c r="C93" s="664"/>
      <c r="D93" s="664">
        <v>1160505004</v>
      </c>
      <c r="E93" s="664">
        <v>46205</v>
      </c>
      <c r="F93" s="664">
        <v>46206</v>
      </c>
      <c r="G93" s="665">
        <v>43521</v>
      </c>
      <c r="H93" s="665">
        <v>44617</v>
      </c>
      <c r="I93" s="664">
        <v>667</v>
      </c>
      <c r="J93" s="666">
        <v>5096403</v>
      </c>
      <c r="K93" s="666">
        <v>0</v>
      </c>
      <c r="L93" s="666">
        <v>0</v>
      </c>
      <c r="M93" s="664" t="s">
        <v>495</v>
      </c>
      <c r="N93" s="666">
        <v>5096403</v>
      </c>
      <c r="O93" s="666">
        <v>0</v>
      </c>
      <c r="P93" s="666">
        <v>1699650</v>
      </c>
      <c r="Q93" s="664">
        <v>1</v>
      </c>
      <c r="R93" s="664" t="s">
        <v>496</v>
      </c>
      <c r="S93" s="664">
        <v>100</v>
      </c>
      <c r="T93" s="666">
        <v>5096403</v>
      </c>
      <c r="U93" s="666">
        <v>0</v>
      </c>
      <c r="V93" s="664">
        <v>100</v>
      </c>
      <c r="W93" s="666">
        <v>7900362</v>
      </c>
      <c r="X93" s="664">
        <v>5</v>
      </c>
      <c r="Y93" s="664">
        <v>1160902010</v>
      </c>
      <c r="Z93" s="664">
        <v>2023</v>
      </c>
      <c r="AA93" s="664">
        <v>12</v>
      </c>
      <c r="AB93" s="664">
        <v>5026003002</v>
      </c>
      <c r="AC93" s="664">
        <v>1160903005</v>
      </c>
      <c r="AD93" s="664">
        <v>0</v>
      </c>
      <c r="AE93" s="664">
        <v>0</v>
      </c>
      <c r="AF93" s="664">
        <v>0</v>
      </c>
      <c r="AG93" s="664">
        <v>1160605001</v>
      </c>
      <c r="AH93" s="664">
        <v>667</v>
      </c>
      <c r="AI93" s="664" t="s">
        <v>498</v>
      </c>
      <c r="AJ93" s="667">
        <v>0.1</v>
      </c>
      <c r="AK93" s="668">
        <f t="shared" si="10"/>
        <v>509640.30000000005</v>
      </c>
      <c r="AL93" s="668">
        <f t="shared" si="11"/>
        <v>509640.30000000005</v>
      </c>
      <c r="AM93" s="668">
        <f t="shared" si="11"/>
        <v>509640.30000000005</v>
      </c>
      <c r="AN93" s="668"/>
      <c r="AO93" s="668"/>
      <c r="AP93" s="668">
        <f t="shared" si="12"/>
        <v>0</v>
      </c>
      <c r="AQ93" s="668">
        <f t="shared" si="13"/>
        <v>0</v>
      </c>
      <c r="AR93" s="668">
        <f t="shared" si="13"/>
        <v>0</v>
      </c>
      <c r="AS93" s="668"/>
      <c r="AT93" s="668"/>
      <c r="AV93" s="670">
        <f t="shared" si="14"/>
        <v>3567482.1000000006</v>
      </c>
      <c r="AW93" s="670">
        <f t="shared" si="15"/>
        <v>0</v>
      </c>
      <c r="AX93" s="671">
        <f t="shared" si="9"/>
        <v>0</v>
      </c>
    </row>
    <row r="94" spans="1:51">
      <c r="A94" s="664" t="s">
        <v>494</v>
      </c>
      <c r="B94" s="664"/>
      <c r="C94" s="664"/>
      <c r="D94" s="664">
        <v>1160505004</v>
      </c>
      <c r="E94" s="664">
        <v>0</v>
      </c>
      <c r="F94" s="664">
        <v>44927</v>
      </c>
      <c r="G94" s="665">
        <v>43521</v>
      </c>
      <c r="H94" s="665">
        <v>44617</v>
      </c>
      <c r="I94" s="664">
        <v>667</v>
      </c>
      <c r="J94" s="666">
        <v>0</v>
      </c>
      <c r="K94" s="666">
        <v>1022460</v>
      </c>
      <c r="L94" s="666">
        <v>0</v>
      </c>
      <c r="M94" s="664" t="s">
        <v>495</v>
      </c>
      <c r="N94" s="666">
        <v>0</v>
      </c>
      <c r="O94" s="666">
        <v>1022460</v>
      </c>
      <c r="P94" s="666">
        <v>0</v>
      </c>
      <c r="Q94" s="664">
        <v>1</v>
      </c>
      <c r="R94" s="664" t="s">
        <v>496</v>
      </c>
      <c r="S94" s="664">
        <v>100</v>
      </c>
      <c r="T94" s="666">
        <v>0</v>
      </c>
      <c r="U94" s="666">
        <v>1022460</v>
      </c>
      <c r="V94" s="664">
        <v>100</v>
      </c>
      <c r="W94" s="666">
        <v>7900362</v>
      </c>
      <c r="X94" s="664">
        <v>5</v>
      </c>
      <c r="Y94" s="664">
        <v>1160902010</v>
      </c>
      <c r="Z94" s="664">
        <v>2023</v>
      </c>
      <c r="AA94" s="664">
        <v>12</v>
      </c>
      <c r="AB94" s="664">
        <v>5026003002</v>
      </c>
      <c r="AC94" s="664">
        <v>1160903005</v>
      </c>
      <c r="AD94" s="664">
        <v>0</v>
      </c>
      <c r="AE94" s="664">
        <v>0</v>
      </c>
      <c r="AF94" s="664">
        <v>0</v>
      </c>
      <c r="AG94" s="664">
        <v>1160605001</v>
      </c>
      <c r="AH94" s="664">
        <v>667</v>
      </c>
      <c r="AI94" s="664" t="s">
        <v>498</v>
      </c>
      <c r="AJ94" s="667">
        <v>0.1</v>
      </c>
      <c r="AK94" s="668">
        <f t="shared" si="10"/>
        <v>0</v>
      </c>
      <c r="AL94" s="668">
        <f t="shared" si="11"/>
        <v>0</v>
      </c>
      <c r="AM94" s="668">
        <f t="shared" si="11"/>
        <v>0</v>
      </c>
      <c r="AN94" s="668"/>
      <c r="AO94" s="668"/>
      <c r="AP94" s="668">
        <f t="shared" si="12"/>
        <v>51123</v>
      </c>
      <c r="AQ94" s="668">
        <f t="shared" si="13"/>
        <v>51123</v>
      </c>
      <c r="AR94" s="668">
        <f t="shared" si="13"/>
        <v>51123</v>
      </c>
      <c r="AS94" s="668"/>
      <c r="AT94" s="668"/>
      <c r="AV94" s="670">
        <f t="shared" si="14"/>
        <v>0</v>
      </c>
      <c r="AW94" s="670">
        <f t="shared" si="15"/>
        <v>869091</v>
      </c>
      <c r="AX94" s="671">
        <f t="shared" si="9"/>
        <v>0</v>
      </c>
    </row>
    <row r="95" spans="1:51">
      <c r="A95" s="664" t="s">
        <v>494</v>
      </c>
      <c r="B95" s="664"/>
      <c r="C95" s="664"/>
      <c r="D95" s="664">
        <v>1160505004</v>
      </c>
      <c r="E95" s="664">
        <v>33422</v>
      </c>
      <c r="F95" s="664">
        <v>38657</v>
      </c>
      <c r="G95" s="665">
        <v>42288</v>
      </c>
      <c r="H95" s="665">
        <v>43384</v>
      </c>
      <c r="I95" s="664">
        <v>1881</v>
      </c>
      <c r="J95" s="666">
        <v>635982</v>
      </c>
      <c r="K95" s="666">
        <v>0</v>
      </c>
      <c r="L95" s="666">
        <v>0</v>
      </c>
      <c r="M95" s="664" t="s">
        <v>495</v>
      </c>
      <c r="N95" s="666">
        <v>635982</v>
      </c>
      <c r="O95" s="666">
        <v>0</v>
      </c>
      <c r="P95" s="666">
        <v>598141</v>
      </c>
      <c r="Q95" s="664">
        <v>1</v>
      </c>
      <c r="R95" s="664" t="s">
        <v>496</v>
      </c>
      <c r="S95" s="664">
        <v>100</v>
      </c>
      <c r="T95" s="666">
        <v>635982</v>
      </c>
      <c r="U95" s="666">
        <v>0</v>
      </c>
      <c r="V95" s="664">
        <v>100</v>
      </c>
      <c r="W95" s="666">
        <v>2397046</v>
      </c>
      <c r="X95" s="664">
        <v>5</v>
      </c>
      <c r="Y95" s="664">
        <v>1160902010</v>
      </c>
      <c r="Z95" s="664">
        <v>2023</v>
      </c>
      <c r="AA95" s="664">
        <v>12</v>
      </c>
      <c r="AB95" s="664">
        <v>5026003002</v>
      </c>
      <c r="AC95" s="664">
        <v>1160903005</v>
      </c>
      <c r="AD95" s="664">
        <v>0</v>
      </c>
      <c r="AE95" s="664">
        <v>0</v>
      </c>
      <c r="AF95" s="664">
        <v>0</v>
      </c>
      <c r="AG95" s="664">
        <v>1160605001</v>
      </c>
      <c r="AH95" s="664">
        <v>1881</v>
      </c>
      <c r="AI95" s="664" t="s">
        <v>497</v>
      </c>
      <c r="AJ95" s="667">
        <v>0.01</v>
      </c>
      <c r="AK95" s="668">
        <f t="shared" si="10"/>
        <v>6359.82</v>
      </c>
      <c r="AL95" s="668">
        <f t="shared" si="11"/>
        <v>6359.82</v>
      </c>
      <c r="AM95" s="668">
        <f t="shared" si="11"/>
        <v>6359.82</v>
      </c>
      <c r="AN95" s="668"/>
      <c r="AO95" s="668"/>
      <c r="AP95" s="668">
        <f t="shared" si="12"/>
        <v>0</v>
      </c>
      <c r="AQ95" s="668">
        <f t="shared" si="13"/>
        <v>0</v>
      </c>
      <c r="AR95" s="668">
        <f t="shared" si="13"/>
        <v>0</v>
      </c>
      <c r="AS95" s="668"/>
      <c r="AT95" s="668"/>
      <c r="AV95" s="670">
        <f t="shared" si="14"/>
        <v>616902.54000000015</v>
      </c>
      <c r="AW95" s="670">
        <f t="shared" si="15"/>
        <v>0</v>
      </c>
      <c r="AX95" s="671">
        <f t="shared" si="9"/>
        <v>0</v>
      </c>
    </row>
    <row r="96" spans="1:51">
      <c r="A96" s="664" t="s">
        <v>494</v>
      </c>
      <c r="B96" s="664"/>
      <c r="C96" s="664"/>
      <c r="D96" s="664">
        <v>1160504001</v>
      </c>
      <c r="E96" s="664">
        <v>0</v>
      </c>
      <c r="F96" s="664">
        <v>43424</v>
      </c>
      <c r="G96" s="665">
        <v>43128</v>
      </c>
      <c r="H96" s="665">
        <v>44954</v>
      </c>
      <c r="I96" s="664">
        <v>334</v>
      </c>
      <c r="J96" s="666">
        <v>799901</v>
      </c>
      <c r="K96" s="666">
        <v>258307</v>
      </c>
      <c r="L96" s="666">
        <v>0</v>
      </c>
      <c r="M96" s="664" t="s">
        <v>495</v>
      </c>
      <c r="N96" s="666">
        <v>799901</v>
      </c>
      <c r="O96" s="666">
        <v>258307</v>
      </c>
      <c r="P96" s="666">
        <v>133583</v>
      </c>
      <c r="Q96" s="664">
        <v>1</v>
      </c>
      <c r="R96" s="664" t="s">
        <v>501</v>
      </c>
      <c r="S96" s="664">
        <v>100</v>
      </c>
      <c r="T96" s="666">
        <v>799901</v>
      </c>
      <c r="U96" s="666">
        <v>258307</v>
      </c>
      <c r="V96" s="664">
        <v>100</v>
      </c>
      <c r="W96" s="666">
        <v>3142148</v>
      </c>
      <c r="X96" s="664">
        <v>14</v>
      </c>
      <c r="Y96" s="664">
        <v>1160902008</v>
      </c>
      <c r="Z96" s="664">
        <v>2023</v>
      </c>
      <c r="AA96" s="664">
        <v>12</v>
      </c>
      <c r="AB96" s="664">
        <v>5026003002</v>
      </c>
      <c r="AC96" s="664">
        <v>1160903004</v>
      </c>
      <c r="AD96" s="664">
        <v>0</v>
      </c>
      <c r="AE96" s="664">
        <v>0</v>
      </c>
      <c r="AF96" s="664">
        <v>0</v>
      </c>
      <c r="AG96" s="664">
        <v>1160604001</v>
      </c>
      <c r="AH96" s="664">
        <v>334</v>
      </c>
      <c r="AI96" s="664" t="s">
        <v>500</v>
      </c>
      <c r="AJ96" s="667">
        <v>0.3</v>
      </c>
      <c r="AK96" s="668">
        <f t="shared" si="10"/>
        <v>239970.3</v>
      </c>
      <c r="AL96" s="668">
        <f t="shared" si="11"/>
        <v>239970.3</v>
      </c>
      <c r="AM96" s="668">
        <f t="shared" si="11"/>
        <v>239970.3</v>
      </c>
      <c r="AN96" s="668"/>
      <c r="AO96" s="668"/>
      <c r="AP96" s="668">
        <f t="shared" si="12"/>
        <v>38746.049999999996</v>
      </c>
      <c r="AQ96" s="668">
        <f t="shared" si="13"/>
        <v>38746.049999999996</v>
      </c>
      <c r="AR96" s="668">
        <f t="shared" si="13"/>
        <v>38746.049999999996</v>
      </c>
      <c r="AS96" s="668"/>
      <c r="AT96" s="668"/>
      <c r="AV96" s="670">
        <f t="shared" si="14"/>
        <v>79990.099999999977</v>
      </c>
      <c r="AW96" s="670">
        <f t="shared" si="15"/>
        <v>142068.85000000003</v>
      </c>
      <c r="AX96" s="671">
        <f t="shared" si="9"/>
        <v>0</v>
      </c>
    </row>
    <row r="97" spans="1:51">
      <c r="A97" s="664" t="s">
        <v>494</v>
      </c>
      <c r="B97" s="664"/>
      <c r="C97" s="664"/>
      <c r="D97" s="664">
        <v>1160505004</v>
      </c>
      <c r="E97" s="664">
        <v>44236</v>
      </c>
      <c r="F97" s="664">
        <v>46674</v>
      </c>
      <c r="G97" s="665">
        <v>43589</v>
      </c>
      <c r="H97" s="665">
        <v>44685</v>
      </c>
      <c r="I97" s="664">
        <v>598</v>
      </c>
      <c r="J97" s="666">
        <v>27187663</v>
      </c>
      <c r="K97" s="666">
        <v>0</v>
      </c>
      <c r="L97" s="666">
        <v>0</v>
      </c>
      <c r="M97" s="664" t="s">
        <v>495</v>
      </c>
      <c r="N97" s="666">
        <v>27187663</v>
      </c>
      <c r="O97" s="666">
        <v>0</v>
      </c>
      <c r="P97" s="666">
        <v>8129111</v>
      </c>
      <c r="Q97" s="664">
        <v>1</v>
      </c>
      <c r="R97" s="664" t="s">
        <v>496</v>
      </c>
      <c r="S97" s="664">
        <v>100</v>
      </c>
      <c r="T97" s="666">
        <v>27187663</v>
      </c>
      <c r="U97" s="666">
        <v>0</v>
      </c>
      <c r="V97" s="664">
        <v>100</v>
      </c>
      <c r="W97" s="666">
        <v>13043202.720000001</v>
      </c>
      <c r="X97" s="664">
        <v>5</v>
      </c>
      <c r="Y97" s="664">
        <v>1160902010</v>
      </c>
      <c r="Z97" s="664">
        <v>2023</v>
      </c>
      <c r="AA97" s="664">
        <v>12</v>
      </c>
      <c r="AB97" s="664">
        <v>5026003002</v>
      </c>
      <c r="AC97" s="664">
        <v>1160903005</v>
      </c>
      <c r="AD97" s="664">
        <v>0</v>
      </c>
      <c r="AE97" s="664">
        <v>0</v>
      </c>
      <c r="AF97" s="664">
        <v>0</v>
      </c>
      <c r="AG97" s="664">
        <v>1160605001</v>
      </c>
      <c r="AH97" s="664">
        <v>598</v>
      </c>
      <c r="AI97" s="664" t="s">
        <v>498</v>
      </c>
      <c r="AJ97" s="667">
        <v>0.1</v>
      </c>
      <c r="AK97" s="668">
        <f t="shared" si="10"/>
        <v>2718766.3000000003</v>
      </c>
      <c r="AL97" s="668">
        <f t="shared" si="11"/>
        <v>2718766.3000000003</v>
      </c>
      <c r="AM97" s="668">
        <f t="shared" si="11"/>
        <v>2718766.3000000003</v>
      </c>
      <c r="AN97" s="668"/>
      <c r="AO97" s="668"/>
      <c r="AP97" s="668">
        <f t="shared" si="12"/>
        <v>0</v>
      </c>
      <c r="AQ97" s="668">
        <f t="shared" si="13"/>
        <v>0</v>
      </c>
      <c r="AR97" s="668">
        <f t="shared" si="13"/>
        <v>0</v>
      </c>
      <c r="AS97" s="668"/>
      <c r="AT97" s="668"/>
      <c r="AV97" s="670">
        <f t="shared" si="14"/>
        <v>19031364.099999998</v>
      </c>
      <c r="AW97" s="670">
        <f t="shared" si="15"/>
        <v>0</v>
      </c>
      <c r="AX97" s="671">
        <f t="shared" si="9"/>
        <v>0</v>
      </c>
    </row>
    <row r="98" spans="1:51">
      <c r="A98" s="664" t="s">
        <v>494</v>
      </c>
      <c r="B98" s="664"/>
      <c r="C98" s="664"/>
      <c r="D98" s="664">
        <v>1160505004</v>
      </c>
      <c r="E98" s="664">
        <v>0</v>
      </c>
      <c r="F98" s="664">
        <v>43480</v>
      </c>
      <c r="G98" s="665">
        <v>43589</v>
      </c>
      <c r="H98" s="665">
        <v>44685</v>
      </c>
      <c r="I98" s="664">
        <v>598</v>
      </c>
      <c r="J98" s="666">
        <v>0</v>
      </c>
      <c r="K98" s="666">
        <v>5213562</v>
      </c>
      <c r="L98" s="666">
        <v>0</v>
      </c>
      <c r="M98" s="664" t="s">
        <v>495</v>
      </c>
      <c r="N98" s="666">
        <v>0</v>
      </c>
      <c r="O98" s="666">
        <v>5213562</v>
      </c>
      <c r="P98" s="666">
        <v>0</v>
      </c>
      <c r="Q98" s="664">
        <v>1</v>
      </c>
      <c r="R98" s="664" t="s">
        <v>496</v>
      </c>
      <c r="S98" s="664">
        <v>100</v>
      </c>
      <c r="T98" s="666">
        <v>0</v>
      </c>
      <c r="U98" s="666">
        <v>5213562</v>
      </c>
      <c r="V98" s="664">
        <v>100</v>
      </c>
      <c r="W98" s="666">
        <v>13043202.720000001</v>
      </c>
      <c r="X98" s="664">
        <v>5</v>
      </c>
      <c r="Y98" s="664">
        <v>1160902010</v>
      </c>
      <c r="Z98" s="664">
        <v>2023</v>
      </c>
      <c r="AA98" s="664">
        <v>12</v>
      </c>
      <c r="AB98" s="664">
        <v>5026003002</v>
      </c>
      <c r="AC98" s="664">
        <v>1160903005</v>
      </c>
      <c r="AD98" s="664">
        <v>0</v>
      </c>
      <c r="AE98" s="664">
        <v>0</v>
      </c>
      <c r="AF98" s="664">
        <v>0</v>
      </c>
      <c r="AG98" s="664">
        <v>1160605001</v>
      </c>
      <c r="AH98" s="664">
        <v>598</v>
      </c>
      <c r="AI98" s="664" t="s">
        <v>498</v>
      </c>
      <c r="AJ98" s="667">
        <v>0.1</v>
      </c>
      <c r="AK98" s="668">
        <f t="shared" si="10"/>
        <v>0</v>
      </c>
      <c r="AL98" s="668">
        <f t="shared" si="11"/>
        <v>0</v>
      </c>
      <c r="AM98" s="668">
        <f t="shared" si="11"/>
        <v>0</v>
      </c>
      <c r="AN98" s="668"/>
      <c r="AO98" s="668"/>
      <c r="AP98" s="668">
        <f t="shared" si="12"/>
        <v>260678.1</v>
      </c>
      <c r="AQ98" s="668">
        <f t="shared" si="13"/>
        <v>260678.1</v>
      </c>
      <c r="AR98" s="668">
        <f t="shared" si="13"/>
        <v>260678.1</v>
      </c>
      <c r="AS98" s="668"/>
      <c r="AT98" s="668"/>
      <c r="AV98" s="670">
        <f t="shared" si="14"/>
        <v>0</v>
      </c>
      <c r="AW98" s="670">
        <f t="shared" si="15"/>
        <v>4431527.7000000011</v>
      </c>
      <c r="AX98" s="671">
        <f t="shared" si="9"/>
        <v>0</v>
      </c>
    </row>
    <row r="99" spans="1:51">
      <c r="A99" s="664" t="s">
        <v>494</v>
      </c>
      <c r="B99" s="664"/>
      <c r="C99" s="664"/>
      <c r="D99" s="664">
        <v>1160505001</v>
      </c>
      <c r="E99" s="664">
        <v>0</v>
      </c>
      <c r="F99" s="664">
        <v>46859</v>
      </c>
      <c r="G99" s="665">
        <v>43623</v>
      </c>
      <c r="H99" s="665">
        <v>44354</v>
      </c>
      <c r="I99" s="664">
        <v>925</v>
      </c>
      <c r="J99" s="666">
        <v>350000</v>
      </c>
      <c r="K99" s="666">
        <v>14788</v>
      </c>
      <c r="L99" s="666">
        <v>0</v>
      </c>
      <c r="M99" s="664" t="s">
        <v>495</v>
      </c>
      <c r="N99" s="666">
        <v>350000</v>
      </c>
      <c r="O99" s="666">
        <v>14788</v>
      </c>
      <c r="P99" s="666">
        <v>161875</v>
      </c>
      <c r="Q99" s="664">
        <v>1</v>
      </c>
      <c r="R99" s="664" t="s">
        <v>496</v>
      </c>
      <c r="S99" s="664">
        <v>100</v>
      </c>
      <c r="T99" s="666">
        <v>350000</v>
      </c>
      <c r="U99" s="666">
        <v>14788</v>
      </c>
      <c r="V99" s="664">
        <v>100</v>
      </c>
      <c r="W99" s="666">
        <v>5349908</v>
      </c>
      <c r="X99" s="664">
        <v>2</v>
      </c>
      <c r="Y99" s="664">
        <v>1160902010</v>
      </c>
      <c r="Z99" s="664">
        <v>2023</v>
      </c>
      <c r="AA99" s="664">
        <v>12</v>
      </c>
      <c r="AB99" s="664">
        <v>5026003002</v>
      </c>
      <c r="AC99" s="664">
        <v>1160903005</v>
      </c>
      <c r="AD99" s="664">
        <v>0</v>
      </c>
      <c r="AE99" s="664">
        <v>0</v>
      </c>
      <c r="AF99" s="664">
        <v>0</v>
      </c>
      <c r="AG99" s="664">
        <v>1160605001</v>
      </c>
      <c r="AH99" s="664">
        <v>925</v>
      </c>
      <c r="AI99" s="664" t="s">
        <v>499</v>
      </c>
      <c r="AJ99" s="667">
        <v>0.05</v>
      </c>
      <c r="AK99" s="668">
        <f t="shared" si="10"/>
        <v>17500</v>
      </c>
      <c r="AL99" s="668">
        <f t="shared" si="11"/>
        <v>17500</v>
      </c>
      <c r="AM99" s="668">
        <f t="shared" si="11"/>
        <v>17500</v>
      </c>
      <c r="AN99" s="668"/>
      <c r="AO99" s="668"/>
      <c r="AP99" s="668">
        <f t="shared" si="12"/>
        <v>369.70000000000005</v>
      </c>
      <c r="AQ99" s="668">
        <f t="shared" si="13"/>
        <v>369.70000000000005</v>
      </c>
      <c r="AR99" s="668">
        <f t="shared" si="13"/>
        <v>369.70000000000005</v>
      </c>
      <c r="AS99" s="668"/>
      <c r="AT99" s="668"/>
      <c r="AV99" s="670">
        <f t="shared" si="14"/>
        <v>297500</v>
      </c>
      <c r="AW99" s="670">
        <f t="shared" si="15"/>
        <v>13678.899999999998</v>
      </c>
      <c r="AX99" s="671">
        <f t="shared" si="9"/>
        <v>0</v>
      </c>
    </row>
    <row r="100" spans="1:51">
      <c r="A100" s="664" t="s">
        <v>494</v>
      </c>
      <c r="B100" s="664"/>
      <c r="C100" s="664"/>
      <c r="D100" s="664">
        <v>1160505001</v>
      </c>
      <c r="E100" s="664">
        <v>0</v>
      </c>
      <c r="F100" s="664">
        <v>46906</v>
      </c>
      <c r="G100" s="665">
        <v>43629</v>
      </c>
      <c r="H100" s="665">
        <v>44360</v>
      </c>
      <c r="I100" s="664">
        <v>919</v>
      </c>
      <c r="J100" s="666">
        <v>100000</v>
      </c>
      <c r="K100" s="666">
        <v>4525</v>
      </c>
      <c r="L100" s="666">
        <v>0</v>
      </c>
      <c r="M100" s="664" t="s">
        <v>495</v>
      </c>
      <c r="N100" s="666">
        <v>100000</v>
      </c>
      <c r="O100" s="666">
        <v>4525</v>
      </c>
      <c r="P100" s="666">
        <v>45950</v>
      </c>
      <c r="Q100" s="664">
        <v>1</v>
      </c>
      <c r="R100" s="664" t="s">
        <v>496</v>
      </c>
      <c r="S100" s="664">
        <v>100</v>
      </c>
      <c r="T100" s="666">
        <v>100000</v>
      </c>
      <c r="U100" s="666">
        <v>4525</v>
      </c>
      <c r="V100" s="664">
        <v>100</v>
      </c>
      <c r="W100" s="666">
        <v>5349908</v>
      </c>
      <c r="X100" s="664">
        <v>2</v>
      </c>
      <c r="Y100" s="664">
        <v>1160902010</v>
      </c>
      <c r="Z100" s="664">
        <v>2023</v>
      </c>
      <c r="AA100" s="664">
        <v>12</v>
      </c>
      <c r="AB100" s="664">
        <v>5026003002</v>
      </c>
      <c r="AC100" s="664">
        <v>1160903005</v>
      </c>
      <c r="AD100" s="664">
        <v>0</v>
      </c>
      <c r="AE100" s="664">
        <v>0</v>
      </c>
      <c r="AF100" s="664">
        <v>0</v>
      </c>
      <c r="AG100" s="664">
        <v>1160605001</v>
      </c>
      <c r="AH100" s="664">
        <v>925</v>
      </c>
      <c r="AI100" s="664" t="s">
        <v>499</v>
      </c>
      <c r="AJ100" s="667">
        <v>0.05</v>
      </c>
      <c r="AK100" s="668">
        <f t="shared" si="10"/>
        <v>5000</v>
      </c>
      <c r="AL100" s="668">
        <f t="shared" si="11"/>
        <v>5000</v>
      </c>
      <c r="AM100" s="668">
        <f t="shared" si="11"/>
        <v>5000</v>
      </c>
      <c r="AN100" s="668"/>
      <c r="AO100" s="668"/>
      <c r="AP100" s="668">
        <f t="shared" si="12"/>
        <v>113.125</v>
      </c>
      <c r="AQ100" s="668">
        <f t="shared" si="13"/>
        <v>113.125</v>
      </c>
      <c r="AR100" s="668">
        <f t="shared" si="13"/>
        <v>113.125</v>
      </c>
      <c r="AS100" s="668"/>
      <c r="AT100" s="668"/>
      <c r="AV100" s="670">
        <f t="shared" si="14"/>
        <v>85000</v>
      </c>
      <c r="AW100" s="670">
        <f t="shared" si="15"/>
        <v>4185.625</v>
      </c>
      <c r="AX100" s="671">
        <f t="shared" si="9"/>
        <v>0</v>
      </c>
    </row>
    <row r="101" spans="1:51">
      <c r="A101" s="664" t="s">
        <v>494</v>
      </c>
      <c r="B101" s="664"/>
      <c r="C101" s="664"/>
      <c r="D101" s="664">
        <v>1160505001</v>
      </c>
      <c r="E101" s="664">
        <v>0</v>
      </c>
      <c r="F101" s="664">
        <v>41390</v>
      </c>
      <c r="G101" s="665">
        <v>42778</v>
      </c>
      <c r="H101" s="665">
        <v>44604</v>
      </c>
      <c r="I101" s="664">
        <v>680</v>
      </c>
      <c r="J101" s="666">
        <v>11000000</v>
      </c>
      <c r="K101" s="666">
        <v>0</v>
      </c>
      <c r="L101" s="666">
        <v>0</v>
      </c>
      <c r="M101" s="664" t="s">
        <v>495</v>
      </c>
      <c r="N101" s="666">
        <v>11000000</v>
      </c>
      <c r="O101" s="666">
        <v>0</v>
      </c>
      <c r="P101" s="666">
        <v>3740000</v>
      </c>
      <c r="Q101" s="664">
        <v>1</v>
      </c>
      <c r="R101" s="664" t="s">
        <v>496</v>
      </c>
      <c r="S101" s="664">
        <v>100</v>
      </c>
      <c r="T101" s="666">
        <v>11000000</v>
      </c>
      <c r="U101" s="666">
        <v>0</v>
      </c>
      <c r="V101" s="664">
        <v>100</v>
      </c>
      <c r="W101" s="666">
        <v>5213891</v>
      </c>
      <c r="X101" s="664">
        <v>14</v>
      </c>
      <c r="Y101" s="664">
        <v>1160902010</v>
      </c>
      <c r="Z101" s="664">
        <v>2023</v>
      </c>
      <c r="AA101" s="664">
        <v>12</v>
      </c>
      <c r="AB101" s="664">
        <v>5026003002</v>
      </c>
      <c r="AC101" s="664">
        <v>1160903005</v>
      </c>
      <c r="AD101" s="664">
        <v>0</v>
      </c>
      <c r="AE101" s="664">
        <v>0</v>
      </c>
      <c r="AF101" s="664">
        <v>0</v>
      </c>
      <c r="AG101" s="664">
        <v>1160605001</v>
      </c>
      <c r="AH101" s="664">
        <v>680</v>
      </c>
      <c r="AI101" s="664" t="s">
        <v>498</v>
      </c>
      <c r="AJ101" s="667">
        <v>0.1</v>
      </c>
      <c r="AK101" s="668">
        <f t="shared" si="10"/>
        <v>1100000</v>
      </c>
      <c r="AL101" s="668">
        <f t="shared" si="11"/>
        <v>1100000</v>
      </c>
      <c r="AM101" s="668">
        <f t="shared" si="11"/>
        <v>1100000</v>
      </c>
      <c r="AN101" s="668"/>
      <c r="AO101" s="668"/>
      <c r="AP101" s="668">
        <f t="shared" si="12"/>
        <v>0</v>
      </c>
      <c r="AQ101" s="668">
        <f t="shared" si="13"/>
        <v>0</v>
      </c>
      <c r="AR101" s="668">
        <f t="shared" si="13"/>
        <v>0</v>
      </c>
      <c r="AS101" s="668"/>
      <c r="AT101" s="668"/>
      <c r="AV101" s="670">
        <f t="shared" si="14"/>
        <v>7700000</v>
      </c>
      <c r="AW101" s="670">
        <f t="shared" si="15"/>
        <v>0</v>
      </c>
      <c r="AX101" s="671">
        <f t="shared" si="9"/>
        <v>0</v>
      </c>
    </row>
    <row r="102" spans="1:51">
      <c r="A102" s="664" t="s">
        <v>494</v>
      </c>
      <c r="B102" s="664"/>
      <c r="C102" s="664"/>
      <c r="D102" s="664">
        <v>1160401001</v>
      </c>
      <c r="E102" s="664">
        <v>0</v>
      </c>
      <c r="F102" s="664">
        <v>46530</v>
      </c>
      <c r="G102" s="665">
        <v>43559</v>
      </c>
      <c r="H102" s="665">
        <v>45386</v>
      </c>
      <c r="I102" s="664">
        <v>0</v>
      </c>
      <c r="J102" s="666">
        <v>7000000</v>
      </c>
      <c r="K102" s="666">
        <v>714000</v>
      </c>
      <c r="L102" s="666">
        <v>71400000</v>
      </c>
      <c r="M102" s="664" t="s">
        <v>495</v>
      </c>
      <c r="N102" s="666">
        <v>0</v>
      </c>
      <c r="O102" s="666">
        <v>0</v>
      </c>
      <c r="P102" s="666">
        <v>0</v>
      </c>
      <c r="Q102" s="664">
        <v>2</v>
      </c>
      <c r="R102" s="664" t="s">
        <v>502</v>
      </c>
      <c r="S102" s="664">
        <v>0</v>
      </c>
      <c r="T102" s="666">
        <v>0</v>
      </c>
      <c r="U102" s="666">
        <v>0</v>
      </c>
      <c r="V102" s="664">
        <v>100</v>
      </c>
      <c r="W102" s="666">
        <v>11346011</v>
      </c>
      <c r="X102" s="664">
        <v>2</v>
      </c>
      <c r="Y102" s="664">
        <v>1160902001</v>
      </c>
      <c r="Z102" s="664">
        <v>2023</v>
      </c>
      <c r="AA102" s="664">
        <v>12</v>
      </c>
      <c r="AB102" s="664">
        <v>5026003002</v>
      </c>
      <c r="AC102" s="664">
        <v>1160903001</v>
      </c>
      <c r="AD102" s="664">
        <v>0</v>
      </c>
      <c r="AE102" s="664">
        <v>0</v>
      </c>
      <c r="AF102" s="664">
        <v>1</v>
      </c>
      <c r="AG102" s="664">
        <v>1160601004</v>
      </c>
      <c r="AH102" s="664">
        <v>0</v>
      </c>
      <c r="AI102" s="664" t="s">
        <v>500</v>
      </c>
      <c r="AJ102" s="667">
        <v>0.3</v>
      </c>
      <c r="AK102" s="668">
        <f t="shared" si="10"/>
        <v>2100000</v>
      </c>
      <c r="AL102" s="668">
        <f t="shared" si="11"/>
        <v>2100000</v>
      </c>
      <c r="AM102" s="668">
        <f t="shared" si="11"/>
        <v>2100000</v>
      </c>
      <c r="AN102" s="668"/>
      <c r="AO102" s="668"/>
      <c r="AP102" s="668">
        <f t="shared" si="12"/>
        <v>107100</v>
      </c>
      <c r="AQ102" s="668">
        <f t="shared" si="13"/>
        <v>107100</v>
      </c>
      <c r="AR102" s="668">
        <f t="shared" si="13"/>
        <v>107100</v>
      </c>
      <c r="AS102" s="668"/>
      <c r="AT102" s="668"/>
      <c r="AV102" s="670">
        <f t="shared" si="14"/>
        <v>700000</v>
      </c>
      <c r="AW102" s="670">
        <f t="shared" si="15"/>
        <v>392700</v>
      </c>
      <c r="AX102" s="671">
        <f t="shared" si="9"/>
        <v>7000000</v>
      </c>
      <c r="AY102" s="671">
        <f>+AX102-L102</f>
        <v>-64400000</v>
      </c>
    </row>
    <row r="103" spans="1:51">
      <c r="A103" s="664" t="s">
        <v>494</v>
      </c>
      <c r="B103" s="664"/>
      <c r="C103" s="664"/>
      <c r="D103" s="664">
        <v>1160505001</v>
      </c>
      <c r="E103" s="664">
        <v>0</v>
      </c>
      <c r="F103" s="664">
        <v>46765</v>
      </c>
      <c r="G103" s="665">
        <v>43605</v>
      </c>
      <c r="H103" s="665">
        <v>43971</v>
      </c>
      <c r="I103" s="664">
        <v>1302</v>
      </c>
      <c r="J103" s="666">
        <v>4000000</v>
      </c>
      <c r="K103" s="666">
        <v>360000</v>
      </c>
      <c r="L103" s="666">
        <v>0</v>
      </c>
      <c r="M103" s="664" t="s">
        <v>495</v>
      </c>
      <c r="N103" s="666">
        <v>4000000</v>
      </c>
      <c r="O103" s="666">
        <v>360000</v>
      </c>
      <c r="P103" s="666">
        <v>2604000</v>
      </c>
      <c r="Q103" s="664">
        <v>1</v>
      </c>
      <c r="R103" s="664" t="s">
        <v>496</v>
      </c>
      <c r="S103" s="664">
        <v>100</v>
      </c>
      <c r="T103" s="666">
        <v>4000000</v>
      </c>
      <c r="U103" s="666">
        <v>360000</v>
      </c>
      <c r="V103" s="664">
        <v>100</v>
      </c>
      <c r="W103" s="666">
        <v>6757842</v>
      </c>
      <c r="X103" s="664">
        <v>2</v>
      </c>
      <c r="Y103" s="664">
        <v>1160902010</v>
      </c>
      <c r="Z103" s="664">
        <v>2023</v>
      </c>
      <c r="AA103" s="664">
        <v>12</v>
      </c>
      <c r="AB103" s="664">
        <v>5026003002</v>
      </c>
      <c r="AC103" s="664">
        <v>1160903005</v>
      </c>
      <c r="AD103" s="664">
        <v>0</v>
      </c>
      <c r="AE103" s="664">
        <v>0</v>
      </c>
      <c r="AF103" s="664">
        <v>0</v>
      </c>
      <c r="AG103" s="664">
        <v>1160605001</v>
      </c>
      <c r="AH103" s="664">
        <v>1302</v>
      </c>
      <c r="AI103" s="664" t="s">
        <v>497</v>
      </c>
      <c r="AJ103" s="667">
        <v>0.01</v>
      </c>
      <c r="AK103" s="668">
        <f t="shared" si="10"/>
        <v>40000</v>
      </c>
      <c r="AL103" s="668">
        <f t="shared" si="11"/>
        <v>40000</v>
      </c>
      <c r="AM103" s="668">
        <f t="shared" si="11"/>
        <v>40000</v>
      </c>
      <c r="AN103" s="668"/>
      <c r="AO103" s="668"/>
      <c r="AP103" s="668">
        <f t="shared" si="12"/>
        <v>1800</v>
      </c>
      <c r="AQ103" s="668">
        <f t="shared" si="13"/>
        <v>1800</v>
      </c>
      <c r="AR103" s="668">
        <f t="shared" si="13"/>
        <v>1800</v>
      </c>
      <c r="AS103" s="668"/>
      <c r="AT103" s="668"/>
      <c r="AV103" s="670">
        <f t="shared" si="14"/>
        <v>3880000</v>
      </c>
      <c r="AW103" s="670">
        <f t="shared" si="15"/>
        <v>354600</v>
      </c>
      <c r="AX103" s="671">
        <f t="shared" si="9"/>
        <v>0</v>
      </c>
    </row>
    <row r="104" spans="1:51">
      <c r="A104" s="664" t="s">
        <v>494</v>
      </c>
      <c r="B104" s="664"/>
      <c r="C104" s="664"/>
      <c r="D104" s="664">
        <v>1160505001</v>
      </c>
      <c r="E104" s="664">
        <v>0</v>
      </c>
      <c r="F104" s="664">
        <v>44424</v>
      </c>
      <c r="G104" s="665">
        <v>43226</v>
      </c>
      <c r="H104" s="665">
        <v>45052</v>
      </c>
      <c r="I104" s="664">
        <v>236</v>
      </c>
      <c r="J104" s="666">
        <v>6000000</v>
      </c>
      <c r="K104" s="666">
        <v>2700000</v>
      </c>
      <c r="L104" s="666">
        <v>0</v>
      </c>
      <c r="M104" s="664" t="s">
        <v>495</v>
      </c>
      <c r="N104" s="666">
        <v>6000000</v>
      </c>
      <c r="O104" s="666">
        <v>2700000</v>
      </c>
      <c r="P104" s="666">
        <v>708000</v>
      </c>
      <c r="Q104" s="664">
        <v>1</v>
      </c>
      <c r="R104" s="664" t="s">
        <v>496</v>
      </c>
      <c r="S104" s="664">
        <v>100</v>
      </c>
      <c r="T104" s="666">
        <v>6000000</v>
      </c>
      <c r="U104" s="666">
        <v>2700000</v>
      </c>
      <c r="V104" s="664">
        <v>100</v>
      </c>
      <c r="W104" s="666">
        <v>2253984</v>
      </c>
      <c r="X104" s="664">
        <v>14</v>
      </c>
      <c r="Y104" s="664">
        <v>1160902010</v>
      </c>
      <c r="Z104" s="664">
        <v>2023</v>
      </c>
      <c r="AA104" s="664">
        <v>12</v>
      </c>
      <c r="AB104" s="664">
        <v>5026003002</v>
      </c>
      <c r="AC104" s="664">
        <v>1160903005</v>
      </c>
      <c r="AD104" s="664">
        <v>0</v>
      </c>
      <c r="AE104" s="664">
        <v>0</v>
      </c>
      <c r="AF104" s="664">
        <v>0</v>
      </c>
      <c r="AG104" s="664">
        <v>1160605001</v>
      </c>
      <c r="AH104" s="664">
        <v>1627</v>
      </c>
      <c r="AI104" s="664" t="s">
        <v>497</v>
      </c>
      <c r="AJ104" s="667">
        <v>0.01</v>
      </c>
      <c r="AK104" s="668">
        <f t="shared" si="10"/>
        <v>60000</v>
      </c>
      <c r="AL104" s="668">
        <f t="shared" si="11"/>
        <v>60000</v>
      </c>
      <c r="AM104" s="668">
        <f t="shared" si="11"/>
        <v>60000</v>
      </c>
      <c r="AN104" s="668"/>
      <c r="AO104" s="668"/>
      <c r="AP104" s="668">
        <f t="shared" si="12"/>
        <v>13500</v>
      </c>
      <c r="AQ104" s="668">
        <f t="shared" si="13"/>
        <v>13500</v>
      </c>
      <c r="AR104" s="668">
        <f t="shared" si="13"/>
        <v>13500</v>
      </c>
      <c r="AS104" s="668"/>
      <c r="AT104" s="668"/>
      <c r="AV104" s="670">
        <f t="shared" si="14"/>
        <v>5820000</v>
      </c>
      <c r="AW104" s="670">
        <f t="shared" si="15"/>
        <v>2659500</v>
      </c>
      <c r="AX104" s="671">
        <f t="shared" si="9"/>
        <v>0</v>
      </c>
    </row>
    <row r="105" spans="1:51">
      <c r="A105" s="664" t="s">
        <v>494</v>
      </c>
      <c r="B105" s="664"/>
      <c r="C105" s="664"/>
      <c r="D105" s="664">
        <v>1160505001</v>
      </c>
      <c r="E105" s="664">
        <v>0</v>
      </c>
      <c r="F105" s="664">
        <v>44820</v>
      </c>
      <c r="G105" s="665">
        <v>43276</v>
      </c>
      <c r="H105" s="665">
        <v>43641</v>
      </c>
      <c r="I105" s="664">
        <v>1627</v>
      </c>
      <c r="J105" s="666">
        <v>2000000</v>
      </c>
      <c r="K105" s="666">
        <v>180000</v>
      </c>
      <c r="L105" s="666">
        <v>0</v>
      </c>
      <c r="M105" s="664" t="s">
        <v>495</v>
      </c>
      <c r="N105" s="666">
        <v>2000000</v>
      </c>
      <c r="O105" s="666">
        <v>180000</v>
      </c>
      <c r="P105" s="666">
        <v>1627000</v>
      </c>
      <c r="Q105" s="664">
        <v>1</v>
      </c>
      <c r="R105" s="664" t="s">
        <v>496</v>
      </c>
      <c r="S105" s="664">
        <v>100</v>
      </c>
      <c r="T105" s="666">
        <v>2000000</v>
      </c>
      <c r="U105" s="666">
        <v>180000</v>
      </c>
      <c r="V105" s="664">
        <v>100</v>
      </c>
      <c r="W105" s="666">
        <v>2253984</v>
      </c>
      <c r="X105" s="664">
        <v>15</v>
      </c>
      <c r="Y105" s="664">
        <v>1160902010</v>
      </c>
      <c r="Z105" s="664">
        <v>2023</v>
      </c>
      <c r="AA105" s="664">
        <v>12</v>
      </c>
      <c r="AB105" s="664">
        <v>5026003002</v>
      </c>
      <c r="AC105" s="664">
        <v>1160903005</v>
      </c>
      <c r="AD105" s="664">
        <v>0</v>
      </c>
      <c r="AE105" s="664">
        <v>0</v>
      </c>
      <c r="AF105" s="664">
        <v>0</v>
      </c>
      <c r="AG105" s="664">
        <v>1160605001</v>
      </c>
      <c r="AH105" s="664">
        <v>1627</v>
      </c>
      <c r="AI105" s="664" t="s">
        <v>497</v>
      </c>
      <c r="AJ105" s="667">
        <v>0.01</v>
      </c>
      <c r="AK105" s="668">
        <f t="shared" si="10"/>
        <v>20000</v>
      </c>
      <c r="AL105" s="668">
        <f t="shared" si="11"/>
        <v>20000</v>
      </c>
      <c r="AM105" s="668">
        <f t="shared" si="11"/>
        <v>20000</v>
      </c>
      <c r="AN105" s="668"/>
      <c r="AO105" s="668"/>
      <c r="AP105" s="668">
        <f t="shared" si="12"/>
        <v>900</v>
      </c>
      <c r="AQ105" s="668">
        <f t="shared" si="13"/>
        <v>900</v>
      </c>
      <c r="AR105" s="668">
        <f t="shared" si="13"/>
        <v>900</v>
      </c>
      <c r="AS105" s="668"/>
      <c r="AT105" s="668"/>
      <c r="AV105" s="670">
        <f t="shared" si="14"/>
        <v>1940000</v>
      </c>
      <c r="AW105" s="670">
        <f t="shared" si="15"/>
        <v>177300</v>
      </c>
      <c r="AX105" s="671">
        <f t="shared" si="9"/>
        <v>0</v>
      </c>
    </row>
    <row r="106" spans="1:51">
      <c r="A106" s="664" t="s">
        <v>494</v>
      </c>
      <c r="B106" s="664"/>
      <c r="C106" s="664"/>
      <c r="D106" s="664">
        <v>1160505001</v>
      </c>
      <c r="E106" s="664">
        <v>0</v>
      </c>
      <c r="F106" s="664">
        <v>44772</v>
      </c>
      <c r="G106" s="665">
        <v>43272</v>
      </c>
      <c r="H106" s="665">
        <v>44003</v>
      </c>
      <c r="I106" s="664">
        <v>1271</v>
      </c>
      <c r="J106" s="666">
        <v>5894587</v>
      </c>
      <c r="K106" s="666">
        <v>33403</v>
      </c>
      <c r="L106" s="666">
        <v>0</v>
      </c>
      <c r="M106" s="664" t="s">
        <v>495</v>
      </c>
      <c r="N106" s="666">
        <v>5894587</v>
      </c>
      <c r="O106" s="666">
        <v>33403</v>
      </c>
      <c r="P106" s="666">
        <v>3746010</v>
      </c>
      <c r="Q106" s="664">
        <v>1</v>
      </c>
      <c r="R106" s="664" t="s">
        <v>496</v>
      </c>
      <c r="S106" s="664">
        <v>100</v>
      </c>
      <c r="T106" s="666">
        <v>5894587</v>
      </c>
      <c r="U106" s="666">
        <v>33403</v>
      </c>
      <c r="V106" s="664">
        <v>100</v>
      </c>
      <c r="W106" s="666">
        <v>6165285</v>
      </c>
      <c r="X106" s="664">
        <v>15</v>
      </c>
      <c r="Y106" s="664">
        <v>1160902010</v>
      </c>
      <c r="Z106" s="664">
        <v>2023</v>
      </c>
      <c r="AA106" s="664">
        <v>12</v>
      </c>
      <c r="AB106" s="664">
        <v>5026003002</v>
      </c>
      <c r="AC106" s="664">
        <v>1160903005</v>
      </c>
      <c r="AD106" s="664">
        <v>0</v>
      </c>
      <c r="AE106" s="664">
        <v>0</v>
      </c>
      <c r="AF106" s="664">
        <v>0</v>
      </c>
      <c r="AG106" s="664">
        <v>1160605001</v>
      </c>
      <c r="AH106" s="664">
        <v>1271</v>
      </c>
      <c r="AI106" s="664" t="s">
        <v>497</v>
      </c>
      <c r="AJ106" s="667">
        <v>0.01</v>
      </c>
      <c r="AK106" s="668">
        <f t="shared" si="10"/>
        <v>58945.87</v>
      </c>
      <c r="AL106" s="668">
        <f t="shared" si="11"/>
        <v>58945.87</v>
      </c>
      <c r="AM106" s="668">
        <f t="shared" si="11"/>
        <v>58945.87</v>
      </c>
      <c r="AN106" s="668"/>
      <c r="AO106" s="668"/>
      <c r="AP106" s="668">
        <f t="shared" si="12"/>
        <v>167.01500000000001</v>
      </c>
      <c r="AQ106" s="668">
        <f t="shared" si="13"/>
        <v>167.01500000000001</v>
      </c>
      <c r="AR106" s="668">
        <f t="shared" si="13"/>
        <v>167.01500000000001</v>
      </c>
      <c r="AS106" s="668"/>
      <c r="AT106" s="668"/>
      <c r="AV106" s="670">
        <f t="shared" si="14"/>
        <v>5717749.3899999997</v>
      </c>
      <c r="AW106" s="670">
        <f t="shared" si="15"/>
        <v>32901.955000000002</v>
      </c>
      <c r="AX106" s="671">
        <f t="shared" si="9"/>
        <v>0</v>
      </c>
    </row>
    <row r="107" spans="1:51">
      <c r="A107" s="664" t="s">
        <v>494</v>
      </c>
      <c r="B107" s="664"/>
      <c r="C107" s="664"/>
      <c r="D107" s="664">
        <v>1160505001</v>
      </c>
      <c r="E107" s="664">
        <v>0</v>
      </c>
      <c r="F107" s="664">
        <v>45690</v>
      </c>
      <c r="G107" s="665">
        <v>43478</v>
      </c>
      <c r="H107" s="665">
        <v>44209</v>
      </c>
      <c r="I107" s="664">
        <v>1069</v>
      </c>
      <c r="J107" s="666">
        <v>5000000</v>
      </c>
      <c r="K107" s="666">
        <v>82500</v>
      </c>
      <c r="L107" s="666">
        <v>0</v>
      </c>
      <c r="M107" s="664" t="s">
        <v>495</v>
      </c>
      <c r="N107" s="666">
        <v>5000000</v>
      </c>
      <c r="O107" s="666">
        <v>82500</v>
      </c>
      <c r="P107" s="666">
        <v>2672500</v>
      </c>
      <c r="Q107" s="664">
        <v>1</v>
      </c>
      <c r="R107" s="664" t="s">
        <v>496</v>
      </c>
      <c r="S107" s="664">
        <v>100</v>
      </c>
      <c r="T107" s="666">
        <v>5000000</v>
      </c>
      <c r="U107" s="666">
        <v>82500</v>
      </c>
      <c r="V107" s="664">
        <v>100</v>
      </c>
      <c r="W107" s="666">
        <v>1756132</v>
      </c>
      <c r="X107" s="664">
        <v>2</v>
      </c>
      <c r="Y107" s="664">
        <v>1160902010</v>
      </c>
      <c r="Z107" s="664">
        <v>2023</v>
      </c>
      <c r="AA107" s="664">
        <v>12</v>
      </c>
      <c r="AB107" s="664">
        <v>5026003002</v>
      </c>
      <c r="AC107" s="664">
        <v>1160903005</v>
      </c>
      <c r="AD107" s="664">
        <v>0</v>
      </c>
      <c r="AE107" s="664">
        <v>0</v>
      </c>
      <c r="AF107" s="664">
        <v>0</v>
      </c>
      <c r="AG107" s="664">
        <v>1160605001</v>
      </c>
      <c r="AH107" s="664">
        <v>1409</v>
      </c>
      <c r="AI107" s="664" t="s">
        <v>497</v>
      </c>
      <c r="AJ107" s="667">
        <v>0.01</v>
      </c>
      <c r="AK107" s="668">
        <f t="shared" si="10"/>
        <v>50000</v>
      </c>
      <c r="AL107" s="668">
        <f t="shared" si="11"/>
        <v>50000</v>
      </c>
      <c r="AM107" s="668">
        <f t="shared" si="11"/>
        <v>50000</v>
      </c>
      <c r="AN107" s="668"/>
      <c r="AO107" s="668"/>
      <c r="AP107" s="668">
        <f t="shared" si="12"/>
        <v>412.5</v>
      </c>
      <c r="AQ107" s="668">
        <f t="shared" si="13"/>
        <v>412.5</v>
      </c>
      <c r="AR107" s="668">
        <f t="shared" si="13"/>
        <v>412.5</v>
      </c>
      <c r="AS107" s="668"/>
      <c r="AT107" s="668"/>
      <c r="AV107" s="670">
        <f t="shared" si="14"/>
        <v>4850000</v>
      </c>
      <c r="AW107" s="670">
        <f t="shared" si="15"/>
        <v>81262.5</v>
      </c>
      <c r="AX107" s="671">
        <f t="shared" si="9"/>
        <v>0</v>
      </c>
    </row>
    <row r="108" spans="1:51">
      <c r="A108" s="664" t="s">
        <v>494</v>
      </c>
      <c r="B108" s="664"/>
      <c r="C108" s="664"/>
      <c r="D108" s="664">
        <v>1160505001</v>
      </c>
      <c r="E108" s="664">
        <v>0</v>
      </c>
      <c r="F108" s="664">
        <v>45899</v>
      </c>
      <c r="G108" s="665">
        <v>43499</v>
      </c>
      <c r="H108" s="665">
        <v>43864</v>
      </c>
      <c r="I108" s="664">
        <v>1409</v>
      </c>
      <c r="J108" s="666">
        <v>1000000</v>
      </c>
      <c r="K108" s="666">
        <v>0</v>
      </c>
      <c r="L108" s="666">
        <v>0</v>
      </c>
      <c r="M108" s="664" t="s">
        <v>495</v>
      </c>
      <c r="N108" s="666">
        <v>1000000</v>
      </c>
      <c r="O108" s="666">
        <v>0</v>
      </c>
      <c r="P108" s="666">
        <v>704500</v>
      </c>
      <c r="Q108" s="664">
        <v>1</v>
      </c>
      <c r="R108" s="664" t="s">
        <v>496</v>
      </c>
      <c r="S108" s="664">
        <v>100</v>
      </c>
      <c r="T108" s="666">
        <v>1000000</v>
      </c>
      <c r="U108" s="666">
        <v>0</v>
      </c>
      <c r="V108" s="664">
        <v>100</v>
      </c>
      <c r="W108" s="666">
        <v>1756132</v>
      </c>
      <c r="X108" s="664">
        <v>2</v>
      </c>
      <c r="Y108" s="664">
        <v>1160902010</v>
      </c>
      <c r="Z108" s="664">
        <v>2023</v>
      </c>
      <c r="AA108" s="664">
        <v>12</v>
      </c>
      <c r="AB108" s="664">
        <v>5026003002</v>
      </c>
      <c r="AC108" s="664">
        <v>1160903005</v>
      </c>
      <c r="AD108" s="664">
        <v>0</v>
      </c>
      <c r="AE108" s="664">
        <v>0</v>
      </c>
      <c r="AF108" s="664">
        <v>0</v>
      </c>
      <c r="AG108" s="664">
        <v>1160605001</v>
      </c>
      <c r="AH108" s="664">
        <v>1409</v>
      </c>
      <c r="AI108" s="664" t="s">
        <v>497</v>
      </c>
      <c r="AJ108" s="667">
        <v>0.01</v>
      </c>
      <c r="AK108" s="668">
        <f t="shared" si="10"/>
        <v>10000</v>
      </c>
      <c r="AL108" s="668">
        <f t="shared" si="11"/>
        <v>10000</v>
      </c>
      <c r="AM108" s="668">
        <f t="shared" si="11"/>
        <v>10000</v>
      </c>
      <c r="AN108" s="668"/>
      <c r="AO108" s="668"/>
      <c r="AP108" s="668">
        <f t="shared" si="12"/>
        <v>0</v>
      </c>
      <c r="AQ108" s="668">
        <f t="shared" si="13"/>
        <v>0</v>
      </c>
      <c r="AR108" s="668">
        <f t="shared" si="13"/>
        <v>0</v>
      </c>
      <c r="AS108" s="668"/>
      <c r="AT108" s="668"/>
      <c r="AV108" s="670">
        <f t="shared" si="14"/>
        <v>970000</v>
      </c>
      <c r="AW108" s="670">
        <f t="shared" si="15"/>
        <v>0</v>
      </c>
      <c r="AX108" s="671">
        <f t="shared" si="9"/>
        <v>0</v>
      </c>
    </row>
    <row r="109" spans="1:51">
      <c r="A109" s="664" t="s">
        <v>494</v>
      </c>
      <c r="B109" s="664"/>
      <c r="C109" s="664"/>
      <c r="D109" s="664">
        <v>1160505004</v>
      </c>
      <c r="E109" s="664">
        <v>30623</v>
      </c>
      <c r="F109" s="664">
        <v>36930</v>
      </c>
      <c r="G109" s="665">
        <v>42008</v>
      </c>
      <c r="H109" s="665">
        <v>43104</v>
      </c>
      <c r="I109" s="664">
        <v>2158</v>
      </c>
      <c r="J109" s="666">
        <v>3000000</v>
      </c>
      <c r="K109" s="666">
        <v>623334</v>
      </c>
      <c r="L109" s="666">
        <v>0</v>
      </c>
      <c r="M109" s="664" t="s">
        <v>495</v>
      </c>
      <c r="N109" s="666">
        <v>3000000</v>
      </c>
      <c r="O109" s="666">
        <v>623334</v>
      </c>
      <c r="P109" s="666">
        <v>3237000</v>
      </c>
      <c r="Q109" s="664">
        <v>1</v>
      </c>
      <c r="R109" s="664" t="s">
        <v>496</v>
      </c>
      <c r="S109" s="664">
        <v>100</v>
      </c>
      <c r="T109" s="666">
        <v>3000000</v>
      </c>
      <c r="U109" s="666">
        <v>623334</v>
      </c>
      <c r="V109" s="664">
        <v>100</v>
      </c>
      <c r="W109" s="666">
        <v>2553773</v>
      </c>
      <c r="X109" s="664">
        <v>5</v>
      </c>
      <c r="Y109" s="664">
        <v>1160902010</v>
      </c>
      <c r="Z109" s="664">
        <v>2023</v>
      </c>
      <c r="AA109" s="664">
        <v>12</v>
      </c>
      <c r="AB109" s="664">
        <v>5026003002</v>
      </c>
      <c r="AC109" s="664">
        <v>1160903005</v>
      </c>
      <c r="AD109" s="664">
        <v>0</v>
      </c>
      <c r="AE109" s="664">
        <v>0</v>
      </c>
      <c r="AF109" s="664">
        <v>0</v>
      </c>
      <c r="AG109" s="664">
        <v>1160605001</v>
      </c>
      <c r="AH109" s="664">
        <v>2158</v>
      </c>
      <c r="AI109" s="664" t="s">
        <v>497</v>
      </c>
      <c r="AJ109" s="667">
        <v>0.01</v>
      </c>
      <c r="AK109" s="668">
        <f t="shared" si="10"/>
        <v>30000</v>
      </c>
      <c r="AL109" s="668">
        <f t="shared" si="11"/>
        <v>30000</v>
      </c>
      <c r="AM109" s="668">
        <f t="shared" si="11"/>
        <v>30000</v>
      </c>
      <c r="AN109" s="668"/>
      <c r="AO109" s="668"/>
      <c r="AP109" s="668">
        <f t="shared" si="12"/>
        <v>3116.67</v>
      </c>
      <c r="AQ109" s="668">
        <f t="shared" si="13"/>
        <v>3116.67</v>
      </c>
      <c r="AR109" s="668">
        <f t="shared" si="13"/>
        <v>3116.67</v>
      </c>
      <c r="AS109" s="668"/>
      <c r="AT109" s="668"/>
      <c r="AV109" s="670">
        <f t="shared" si="14"/>
        <v>2910000</v>
      </c>
      <c r="AW109" s="670">
        <f t="shared" si="15"/>
        <v>613983.98999999987</v>
      </c>
      <c r="AX109" s="671">
        <f t="shared" si="9"/>
        <v>0</v>
      </c>
    </row>
    <row r="110" spans="1:51">
      <c r="A110" s="664" t="s">
        <v>494</v>
      </c>
      <c r="B110" s="664"/>
      <c r="C110" s="664"/>
      <c r="D110" s="664">
        <v>1160505004</v>
      </c>
      <c r="E110" s="664">
        <v>30577</v>
      </c>
      <c r="F110" s="664">
        <v>36931</v>
      </c>
      <c r="G110" s="665">
        <v>42008</v>
      </c>
      <c r="H110" s="665">
        <v>43104</v>
      </c>
      <c r="I110" s="664">
        <v>2158</v>
      </c>
      <c r="J110" s="666">
        <v>643000</v>
      </c>
      <c r="K110" s="666">
        <v>133598</v>
      </c>
      <c r="L110" s="666">
        <v>0</v>
      </c>
      <c r="M110" s="664" t="s">
        <v>495</v>
      </c>
      <c r="N110" s="666">
        <v>643000</v>
      </c>
      <c r="O110" s="666">
        <v>133598</v>
      </c>
      <c r="P110" s="666">
        <v>693797</v>
      </c>
      <c r="Q110" s="664">
        <v>1</v>
      </c>
      <c r="R110" s="664" t="s">
        <v>496</v>
      </c>
      <c r="S110" s="664">
        <v>100</v>
      </c>
      <c r="T110" s="666">
        <v>643000</v>
      </c>
      <c r="U110" s="666">
        <v>133598</v>
      </c>
      <c r="V110" s="664">
        <v>100</v>
      </c>
      <c r="W110" s="666">
        <v>2553773</v>
      </c>
      <c r="X110" s="664">
        <v>5</v>
      </c>
      <c r="Y110" s="664">
        <v>1160902010</v>
      </c>
      <c r="Z110" s="664">
        <v>2023</v>
      </c>
      <c r="AA110" s="664">
        <v>12</v>
      </c>
      <c r="AB110" s="664">
        <v>5026003002</v>
      </c>
      <c r="AC110" s="664">
        <v>1160903005</v>
      </c>
      <c r="AD110" s="664">
        <v>0</v>
      </c>
      <c r="AE110" s="664">
        <v>0</v>
      </c>
      <c r="AF110" s="664">
        <v>0</v>
      </c>
      <c r="AG110" s="664">
        <v>1160605001</v>
      </c>
      <c r="AH110" s="664">
        <v>2158</v>
      </c>
      <c r="AI110" s="664" t="s">
        <v>497</v>
      </c>
      <c r="AJ110" s="667">
        <v>0.01</v>
      </c>
      <c r="AK110" s="668">
        <f t="shared" si="10"/>
        <v>6430</v>
      </c>
      <c r="AL110" s="668">
        <f t="shared" si="11"/>
        <v>6430</v>
      </c>
      <c r="AM110" s="668">
        <f t="shared" si="11"/>
        <v>6430</v>
      </c>
      <c r="AN110" s="668"/>
      <c r="AO110" s="668"/>
      <c r="AP110" s="668">
        <f t="shared" si="12"/>
        <v>667.99</v>
      </c>
      <c r="AQ110" s="668">
        <f t="shared" si="13"/>
        <v>667.99</v>
      </c>
      <c r="AR110" s="668">
        <f t="shared" si="13"/>
        <v>667.99</v>
      </c>
      <c r="AS110" s="668"/>
      <c r="AT110" s="668"/>
      <c r="AV110" s="670">
        <f t="shared" si="14"/>
        <v>623710</v>
      </c>
      <c r="AW110" s="670">
        <f t="shared" si="15"/>
        <v>131594.03000000003</v>
      </c>
      <c r="AX110" s="671">
        <f t="shared" si="9"/>
        <v>0</v>
      </c>
    </row>
    <row r="111" spans="1:51">
      <c r="A111" s="664" t="s">
        <v>494</v>
      </c>
      <c r="B111" s="664"/>
      <c r="C111" s="664"/>
      <c r="D111" s="664">
        <v>1160505004</v>
      </c>
      <c r="E111" s="664">
        <v>30576</v>
      </c>
      <c r="F111" s="664">
        <v>39208</v>
      </c>
      <c r="G111" s="665">
        <v>42415</v>
      </c>
      <c r="H111" s="665">
        <v>43511</v>
      </c>
      <c r="I111" s="664">
        <v>1757</v>
      </c>
      <c r="J111" s="666">
        <v>1008300</v>
      </c>
      <c r="K111" s="666">
        <v>332747</v>
      </c>
      <c r="L111" s="666">
        <v>0</v>
      </c>
      <c r="M111" s="664" t="s">
        <v>495</v>
      </c>
      <c r="N111" s="666">
        <v>1008300</v>
      </c>
      <c r="O111" s="666">
        <v>332747</v>
      </c>
      <c r="P111" s="666">
        <v>885792</v>
      </c>
      <c r="Q111" s="664">
        <v>1</v>
      </c>
      <c r="R111" s="664" t="s">
        <v>496</v>
      </c>
      <c r="S111" s="664">
        <v>100</v>
      </c>
      <c r="T111" s="666">
        <v>1008300</v>
      </c>
      <c r="U111" s="666">
        <v>332747</v>
      </c>
      <c r="V111" s="664">
        <v>100</v>
      </c>
      <c r="W111" s="666">
        <v>2553773</v>
      </c>
      <c r="X111" s="664">
        <v>5</v>
      </c>
      <c r="Y111" s="664">
        <v>1160902010</v>
      </c>
      <c r="Z111" s="664">
        <v>2023</v>
      </c>
      <c r="AA111" s="664">
        <v>12</v>
      </c>
      <c r="AB111" s="664">
        <v>5026003002</v>
      </c>
      <c r="AC111" s="664">
        <v>1160903005</v>
      </c>
      <c r="AD111" s="664">
        <v>0</v>
      </c>
      <c r="AE111" s="664">
        <v>0</v>
      </c>
      <c r="AF111" s="664">
        <v>0</v>
      </c>
      <c r="AG111" s="664">
        <v>1160605001</v>
      </c>
      <c r="AH111" s="664">
        <v>2158</v>
      </c>
      <c r="AI111" s="664" t="s">
        <v>497</v>
      </c>
      <c r="AJ111" s="667">
        <v>0.01</v>
      </c>
      <c r="AK111" s="668">
        <f t="shared" si="10"/>
        <v>10083</v>
      </c>
      <c r="AL111" s="668">
        <f t="shared" si="11"/>
        <v>10083</v>
      </c>
      <c r="AM111" s="668">
        <f t="shared" si="11"/>
        <v>10083</v>
      </c>
      <c r="AN111" s="668"/>
      <c r="AO111" s="668"/>
      <c r="AP111" s="668">
        <f t="shared" si="12"/>
        <v>1663.7350000000001</v>
      </c>
      <c r="AQ111" s="668">
        <f t="shared" si="13"/>
        <v>1663.7350000000001</v>
      </c>
      <c r="AR111" s="668">
        <f t="shared" si="13"/>
        <v>1663.7350000000001</v>
      </c>
      <c r="AS111" s="668"/>
      <c r="AT111" s="668"/>
      <c r="AV111" s="670">
        <f t="shared" si="14"/>
        <v>978051</v>
      </c>
      <c r="AW111" s="670">
        <f t="shared" si="15"/>
        <v>327755.79500000004</v>
      </c>
      <c r="AX111" s="671">
        <f t="shared" si="9"/>
        <v>0</v>
      </c>
    </row>
    <row r="112" spans="1:51">
      <c r="A112" s="664" t="s">
        <v>494</v>
      </c>
      <c r="B112" s="664"/>
      <c r="C112" s="664"/>
      <c r="D112" s="664">
        <v>1160505001</v>
      </c>
      <c r="E112" s="664">
        <v>0</v>
      </c>
      <c r="F112" s="664">
        <v>46760</v>
      </c>
      <c r="G112" s="665">
        <v>43605</v>
      </c>
      <c r="H112" s="665">
        <v>43971</v>
      </c>
      <c r="I112" s="664">
        <v>1302</v>
      </c>
      <c r="J112" s="666">
        <v>1500000</v>
      </c>
      <c r="K112" s="666">
        <v>180000</v>
      </c>
      <c r="L112" s="666">
        <v>0</v>
      </c>
      <c r="M112" s="664" t="s">
        <v>495</v>
      </c>
      <c r="N112" s="666">
        <v>1500000</v>
      </c>
      <c r="O112" s="666">
        <v>180000</v>
      </c>
      <c r="P112" s="666">
        <v>976500</v>
      </c>
      <c r="Q112" s="664">
        <v>1</v>
      </c>
      <c r="R112" s="664" t="s">
        <v>496</v>
      </c>
      <c r="S112" s="664">
        <v>100</v>
      </c>
      <c r="T112" s="666">
        <v>1500000</v>
      </c>
      <c r="U112" s="666">
        <v>180000</v>
      </c>
      <c r="V112" s="664">
        <v>100</v>
      </c>
      <c r="W112" s="666">
        <v>7719607</v>
      </c>
      <c r="X112" s="664">
        <v>2</v>
      </c>
      <c r="Y112" s="664">
        <v>1160902010</v>
      </c>
      <c r="Z112" s="664">
        <v>2023</v>
      </c>
      <c r="AA112" s="664">
        <v>12</v>
      </c>
      <c r="AB112" s="664">
        <v>5026003002</v>
      </c>
      <c r="AC112" s="664">
        <v>1160903005</v>
      </c>
      <c r="AD112" s="664">
        <v>0</v>
      </c>
      <c r="AE112" s="664">
        <v>0</v>
      </c>
      <c r="AF112" s="664">
        <v>0</v>
      </c>
      <c r="AG112" s="664">
        <v>1160605001</v>
      </c>
      <c r="AH112" s="664">
        <v>1442</v>
      </c>
      <c r="AI112" s="664" t="s">
        <v>497</v>
      </c>
      <c r="AJ112" s="667">
        <v>0.01</v>
      </c>
      <c r="AK112" s="668">
        <f t="shared" si="10"/>
        <v>15000</v>
      </c>
      <c r="AL112" s="668">
        <f t="shared" si="11"/>
        <v>15000</v>
      </c>
      <c r="AM112" s="668">
        <f t="shared" si="11"/>
        <v>15000</v>
      </c>
      <c r="AN112" s="668"/>
      <c r="AO112" s="668"/>
      <c r="AP112" s="668">
        <f t="shared" si="12"/>
        <v>900</v>
      </c>
      <c r="AQ112" s="668">
        <f t="shared" si="13"/>
        <v>900</v>
      </c>
      <c r="AR112" s="668">
        <f t="shared" si="13"/>
        <v>900</v>
      </c>
      <c r="AS112" s="668"/>
      <c r="AT112" s="668"/>
      <c r="AV112" s="670">
        <f t="shared" si="14"/>
        <v>1455000</v>
      </c>
      <c r="AW112" s="670">
        <f t="shared" si="15"/>
        <v>177300</v>
      </c>
      <c r="AX112" s="671">
        <f t="shared" si="9"/>
        <v>0</v>
      </c>
    </row>
    <row r="113" spans="1:51">
      <c r="A113" s="664" t="s">
        <v>494</v>
      </c>
      <c r="B113" s="664"/>
      <c r="C113" s="664"/>
      <c r="D113" s="664">
        <v>1160505005</v>
      </c>
      <c r="E113" s="664">
        <v>0</v>
      </c>
      <c r="F113" s="664">
        <v>46764</v>
      </c>
      <c r="G113" s="665">
        <v>43605</v>
      </c>
      <c r="H113" s="665">
        <v>43830</v>
      </c>
      <c r="I113" s="664">
        <v>1442</v>
      </c>
      <c r="J113" s="666">
        <v>120037</v>
      </c>
      <c r="K113" s="666">
        <v>0</v>
      </c>
      <c r="L113" s="666">
        <v>0</v>
      </c>
      <c r="M113" s="664" t="s">
        <v>495</v>
      </c>
      <c r="N113" s="666">
        <v>120037</v>
      </c>
      <c r="O113" s="666">
        <v>0</v>
      </c>
      <c r="P113" s="666">
        <v>86547</v>
      </c>
      <c r="Q113" s="664">
        <v>1</v>
      </c>
      <c r="R113" s="664" t="s">
        <v>496</v>
      </c>
      <c r="S113" s="664">
        <v>100</v>
      </c>
      <c r="T113" s="666">
        <v>120037</v>
      </c>
      <c r="U113" s="666">
        <v>0</v>
      </c>
      <c r="V113" s="664">
        <v>100</v>
      </c>
      <c r="W113" s="666">
        <v>7719607</v>
      </c>
      <c r="X113" s="664">
        <v>13</v>
      </c>
      <c r="Y113" s="664">
        <v>1160902010</v>
      </c>
      <c r="Z113" s="664">
        <v>2023</v>
      </c>
      <c r="AA113" s="664">
        <v>12</v>
      </c>
      <c r="AB113" s="664">
        <v>5026003002</v>
      </c>
      <c r="AC113" s="664">
        <v>1160903005</v>
      </c>
      <c r="AD113" s="664">
        <v>0</v>
      </c>
      <c r="AE113" s="664">
        <v>0</v>
      </c>
      <c r="AF113" s="664">
        <v>0</v>
      </c>
      <c r="AG113" s="664">
        <v>1160605001</v>
      </c>
      <c r="AH113" s="664">
        <v>1442</v>
      </c>
      <c r="AI113" s="664" t="s">
        <v>497</v>
      </c>
      <c r="AJ113" s="667">
        <v>0.01</v>
      </c>
      <c r="AK113" s="668">
        <f t="shared" si="10"/>
        <v>1200.3700000000001</v>
      </c>
      <c r="AL113" s="668">
        <f t="shared" si="11"/>
        <v>1200.3700000000001</v>
      </c>
      <c r="AM113" s="668">
        <f t="shared" si="11"/>
        <v>1200.3700000000001</v>
      </c>
      <c r="AN113" s="668"/>
      <c r="AO113" s="668"/>
      <c r="AP113" s="668">
        <f t="shared" si="12"/>
        <v>0</v>
      </c>
      <c r="AQ113" s="668">
        <f t="shared" si="13"/>
        <v>0</v>
      </c>
      <c r="AR113" s="668">
        <f t="shared" si="13"/>
        <v>0</v>
      </c>
      <c r="AS113" s="668"/>
      <c r="AT113" s="668"/>
      <c r="AV113" s="670">
        <f t="shared" si="14"/>
        <v>116435.89000000001</v>
      </c>
      <c r="AW113" s="670">
        <f t="shared" si="15"/>
        <v>0</v>
      </c>
      <c r="AX113" s="671">
        <f t="shared" si="9"/>
        <v>0</v>
      </c>
    </row>
    <row r="114" spans="1:51">
      <c r="A114" s="664" t="s">
        <v>494</v>
      </c>
      <c r="B114" s="664"/>
      <c r="C114" s="664"/>
      <c r="D114" s="664">
        <v>1160505001</v>
      </c>
      <c r="E114" s="664">
        <v>0</v>
      </c>
      <c r="F114" s="664">
        <v>46908</v>
      </c>
      <c r="G114" s="665">
        <v>43629</v>
      </c>
      <c r="H114" s="665">
        <v>43995</v>
      </c>
      <c r="I114" s="664">
        <v>1279</v>
      </c>
      <c r="J114" s="666">
        <v>5400000</v>
      </c>
      <c r="K114" s="666">
        <v>0</v>
      </c>
      <c r="L114" s="666">
        <v>0</v>
      </c>
      <c r="M114" s="664" t="s">
        <v>495</v>
      </c>
      <c r="N114" s="666">
        <v>5400000</v>
      </c>
      <c r="O114" s="666">
        <v>0</v>
      </c>
      <c r="P114" s="666">
        <v>3453300</v>
      </c>
      <c r="Q114" s="664">
        <v>1</v>
      </c>
      <c r="R114" s="664" t="s">
        <v>496</v>
      </c>
      <c r="S114" s="664">
        <v>100</v>
      </c>
      <c r="T114" s="666">
        <v>5400000</v>
      </c>
      <c r="U114" s="666">
        <v>0</v>
      </c>
      <c r="V114" s="664">
        <v>100</v>
      </c>
      <c r="W114" s="666">
        <v>9730251</v>
      </c>
      <c r="X114" s="664">
        <v>2</v>
      </c>
      <c r="Y114" s="664">
        <v>1160902010</v>
      </c>
      <c r="Z114" s="664">
        <v>2023</v>
      </c>
      <c r="AA114" s="664">
        <v>12</v>
      </c>
      <c r="AB114" s="664">
        <v>5026003002</v>
      </c>
      <c r="AC114" s="664">
        <v>1160903005</v>
      </c>
      <c r="AD114" s="664">
        <v>0</v>
      </c>
      <c r="AE114" s="664">
        <v>0</v>
      </c>
      <c r="AF114" s="664">
        <v>0</v>
      </c>
      <c r="AG114" s="664">
        <v>1160605001</v>
      </c>
      <c r="AH114" s="664">
        <v>1279</v>
      </c>
      <c r="AI114" s="664" t="s">
        <v>497</v>
      </c>
      <c r="AJ114" s="667">
        <v>0.01</v>
      </c>
      <c r="AK114" s="668">
        <f t="shared" si="10"/>
        <v>54000</v>
      </c>
      <c r="AL114" s="668">
        <f t="shared" si="11"/>
        <v>54000</v>
      </c>
      <c r="AM114" s="668">
        <f t="shared" si="11"/>
        <v>54000</v>
      </c>
      <c r="AN114" s="668"/>
      <c r="AO114" s="668"/>
      <c r="AP114" s="668">
        <f t="shared" si="12"/>
        <v>0</v>
      </c>
      <c r="AQ114" s="668">
        <f t="shared" si="13"/>
        <v>0</v>
      </c>
      <c r="AR114" s="668">
        <f t="shared" si="13"/>
        <v>0</v>
      </c>
      <c r="AS114" s="668"/>
      <c r="AT114" s="668"/>
      <c r="AV114" s="670">
        <f t="shared" si="14"/>
        <v>5238000</v>
      </c>
      <c r="AW114" s="670">
        <f t="shared" si="15"/>
        <v>0</v>
      </c>
      <c r="AX114" s="671">
        <f t="shared" si="9"/>
        <v>0</v>
      </c>
    </row>
    <row r="115" spans="1:51">
      <c r="A115" s="664" t="s">
        <v>494</v>
      </c>
      <c r="B115" s="664"/>
      <c r="C115" s="664"/>
      <c r="D115" s="664">
        <v>1160505004</v>
      </c>
      <c r="E115" s="664">
        <v>44553</v>
      </c>
      <c r="F115" s="664">
        <v>45839</v>
      </c>
      <c r="G115" s="665">
        <v>43492</v>
      </c>
      <c r="H115" s="665">
        <v>44588</v>
      </c>
      <c r="I115" s="664">
        <v>695</v>
      </c>
      <c r="J115" s="666">
        <v>3020000</v>
      </c>
      <c r="K115" s="666">
        <v>0</v>
      </c>
      <c r="L115" s="666">
        <v>0</v>
      </c>
      <c r="M115" s="664" t="s">
        <v>495</v>
      </c>
      <c r="N115" s="666">
        <v>3020000</v>
      </c>
      <c r="O115" s="666">
        <v>0</v>
      </c>
      <c r="P115" s="666">
        <v>1049450</v>
      </c>
      <c r="Q115" s="664">
        <v>1</v>
      </c>
      <c r="R115" s="664" t="s">
        <v>496</v>
      </c>
      <c r="S115" s="664">
        <v>100</v>
      </c>
      <c r="T115" s="666">
        <v>3020000</v>
      </c>
      <c r="U115" s="666">
        <v>0</v>
      </c>
      <c r="V115" s="664">
        <v>100</v>
      </c>
      <c r="W115" s="666">
        <v>7081812</v>
      </c>
      <c r="X115" s="664">
        <v>5</v>
      </c>
      <c r="Y115" s="664">
        <v>1160902010</v>
      </c>
      <c r="Z115" s="664">
        <v>2023</v>
      </c>
      <c r="AA115" s="664">
        <v>12</v>
      </c>
      <c r="AB115" s="664">
        <v>5026003002</v>
      </c>
      <c r="AC115" s="664">
        <v>1160903005</v>
      </c>
      <c r="AD115" s="664">
        <v>0</v>
      </c>
      <c r="AE115" s="664">
        <v>0</v>
      </c>
      <c r="AF115" s="664">
        <v>0</v>
      </c>
      <c r="AG115" s="664">
        <v>1160605001</v>
      </c>
      <c r="AH115" s="664">
        <v>695</v>
      </c>
      <c r="AI115" s="664" t="s">
        <v>498</v>
      </c>
      <c r="AJ115" s="667">
        <v>0.1</v>
      </c>
      <c r="AK115" s="668">
        <f t="shared" si="10"/>
        <v>302000</v>
      </c>
      <c r="AL115" s="668">
        <f t="shared" si="11"/>
        <v>302000</v>
      </c>
      <c r="AM115" s="668">
        <f t="shared" si="11"/>
        <v>302000</v>
      </c>
      <c r="AN115" s="668"/>
      <c r="AO115" s="668"/>
      <c r="AP115" s="668">
        <f t="shared" si="12"/>
        <v>0</v>
      </c>
      <c r="AQ115" s="668">
        <f t="shared" si="13"/>
        <v>0</v>
      </c>
      <c r="AR115" s="668">
        <f t="shared" si="13"/>
        <v>0</v>
      </c>
      <c r="AS115" s="668"/>
      <c r="AT115" s="668"/>
      <c r="AV115" s="670">
        <f t="shared" si="14"/>
        <v>2114000</v>
      </c>
      <c r="AW115" s="670">
        <f t="shared" si="15"/>
        <v>0</v>
      </c>
      <c r="AX115" s="671">
        <f t="shared" si="9"/>
        <v>0</v>
      </c>
    </row>
    <row r="116" spans="1:51">
      <c r="A116" s="664" t="s">
        <v>494</v>
      </c>
      <c r="B116" s="664"/>
      <c r="C116" s="664"/>
      <c r="D116" s="664">
        <v>1160505001</v>
      </c>
      <c r="E116" s="664">
        <v>0</v>
      </c>
      <c r="F116" s="664">
        <v>45641</v>
      </c>
      <c r="G116" s="665">
        <v>43468</v>
      </c>
      <c r="H116" s="665">
        <v>43833</v>
      </c>
      <c r="I116" s="664">
        <v>1439</v>
      </c>
      <c r="J116" s="666">
        <v>33692165</v>
      </c>
      <c r="K116" s="666">
        <v>0</v>
      </c>
      <c r="L116" s="666">
        <v>0</v>
      </c>
      <c r="M116" s="664" t="s">
        <v>495</v>
      </c>
      <c r="N116" s="666">
        <v>33692165</v>
      </c>
      <c r="O116" s="666">
        <v>0</v>
      </c>
      <c r="P116" s="666">
        <v>24241513</v>
      </c>
      <c r="Q116" s="664">
        <v>1</v>
      </c>
      <c r="R116" s="664" t="s">
        <v>496</v>
      </c>
      <c r="S116" s="664">
        <v>100</v>
      </c>
      <c r="T116" s="666">
        <v>33692165</v>
      </c>
      <c r="U116" s="666">
        <v>0</v>
      </c>
      <c r="V116" s="664">
        <v>100</v>
      </c>
      <c r="W116" s="666">
        <v>14315042</v>
      </c>
      <c r="X116" s="664">
        <v>2</v>
      </c>
      <c r="Y116" s="664">
        <v>1160902010</v>
      </c>
      <c r="Z116" s="664">
        <v>2023</v>
      </c>
      <c r="AA116" s="664">
        <v>12</v>
      </c>
      <c r="AB116" s="664">
        <v>5026003002</v>
      </c>
      <c r="AC116" s="664">
        <v>1160903005</v>
      </c>
      <c r="AD116" s="664">
        <v>0</v>
      </c>
      <c r="AE116" s="664">
        <v>0</v>
      </c>
      <c r="AF116" s="664">
        <v>0</v>
      </c>
      <c r="AG116" s="664">
        <v>1160605001</v>
      </c>
      <c r="AH116" s="664">
        <v>1439</v>
      </c>
      <c r="AI116" s="664" t="s">
        <v>497</v>
      </c>
      <c r="AJ116" s="667">
        <v>0.01</v>
      </c>
      <c r="AK116" s="668">
        <f t="shared" si="10"/>
        <v>336921.65</v>
      </c>
      <c r="AL116" s="668">
        <f t="shared" si="11"/>
        <v>336921.65</v>
      </c>
      <c r="AM116" s="668">
        <f t="shared" si="11"/>
        <v>336921.65</v>
      </c>
      <c r="AN116" s="668"/>
      <c r="AO116" s="668"/>
      <c r="AP116" s="668">
        <f t="shared" si="12"/>
        <v>0</v>
      </c>
      <c r="AQ116" s="668">
        <f t="shared" si="13"/>
        <v>0</v>
      </c>
      <c r="AR116" s="668">
        <f t="shared" si="13"/>
        <v>0</v>
      </c>
      <c r="AS116" s="668"/>
      <c r="AT116" s="668"/>
      <c r="AV116" s="670">
        <f t="shared" si="14"/>
        <v>32681400.050000004</v>
      </c>
      <c r="AW116" s="670">
        <f t="shared" si="15"/>
        <v>0</v>
      </c>
      <c r="AX116" s="671">
        <f t="shared" si="9"/>
        <v>0</v>
      </c>
    </row>
    <row r="117" spans="1:51">
      <c r="A117" s="664" t="s">
        <v>494</v>
      </c>
      <c r="B117" s="664"/>
      <c r="C117" s="664"/>
      <c r="D117" s="664">
        <v>1160505001</v>
      </c>
      <c r="E117" s="664">
        <v>0</v>
      </c>
      <c r="F117" s="664">
        <v>45455</v>
      </c>
      <c r="G117" s="665">
        <v>43423</v>
      </c>
      <c r="H117" s="665">
        <v>43788</v>
      </c>
      <c r="I117" s="664">
        <v>1483</v>
      </c>
      <c r="J117" s="666">
        <v>8000000</v>
      </c>
      <c r="K117" s="666">
        <v>720000</v>
      </c>
      <c r="L117" s="666">
        <v>0</v>
      </c>
      <c r="M117" s="664" t="s">
        <v>495</v>
      </c>
      <c r="N117" s="666">
        <v>8000000</v>
      </c>
      <c r="O117" s="666">
        <v>720000</v>
      </c>
      <c r="P117" s="666">
        <v>5932000</v>
      </c>
      <c r="Q117" s="664">
        <v>1</v>
      </c>
      <c r="R117" s="664" t="s">
        <v>496</v>
      </c>
      <c r="S117" s="664">
        <v>100</v>
      </c>
      <c r="T117" s="666">
        <v>8000000</v>
      </c>
      <c r="U117" s="666">
        <v>720000</v>
      </c>
      <c r="V117" s="664">
        <v>100</v>
      </c>
      <c r="W117" s="666">
        <v>6440512</v>
      </c>
      <c r="X117" s="664">
        <v>2</v>
      </c>
      <c r="Y117" s="664">
        <v>1160902010</v>
      </c>
      <c r="Z117" s="664">
        <v>2023</v>
      </c>
      <c r="AA117" s="664">
        <v>12</v>
      </c>
      <c r="AB117" s="664">
        <v>5026003002</v>
      </c>
      <c r="AC117" s="664">
        <v>1160903005</v>
      </c>
      <c r="AD117" s="664">
        <v>0</v>
      </c>
      <c r="AE117" s="664">
        <v>0</v>
      </c>
      <c r="AF117" s="664">
        <v>0</v>
      </c>
      <c r="AG117" s="664">
        <v>1160605001</v>
      </c>
      <c r="AH117" s="664">
        <v>1483</v>
      </c>
      <c r="AI117" s="664" t="s">
        <v>497</v>
      </c>
      <c r="AJ117" s="667">
        <v>0.01</v>
      </c>
      <c r="AK117" s="668">
        <f t="shared" si="10"/>
        <v>80000</v>
      </c>
      <c r="AL117" s="668">
        <f t="shared" si="11"/>
        <v>80000</v>
      </c>
      <c r="AM117" s="668">
        <f t="shared" si="11"/>
        <v>80000</v>
      </c>
      <c r="AN117" s="668"/>
      <c r="AO117" s="668"/>
      <c r="AP117" s="668">
        <f t="shared" si="12"/>
        <v>3600</v>
      </c>
      <c r="AQ117" s="668">
        <f t="shared" si="13"/>
        <v>3600</v>
      </c>
      <c r="AR117" s="668">
        <f t="shared" si="13"/>
        <v>3600</v>
      </c>
      <c r="AS117" s="668"/>
      <c r="AT117" s="668"/>
      <c r="AV117" s="670">
        <f t="shared" si="14"/>
        <v>7760000</v>
      </c>
      <c r="AW117" s="670">
        <f t="shared" si="15"/>
        <v>709200</v>
      </c>
      <c r="AX117" s="671">
        <f t="shared" si="9"/>
        <v>0</v>
      </c>
    </row>
    <row r="118" spans="1:51">
      <c r="A118" s="664" t="s">
        <v>494</v>
      </c>
      <c r="B118" s="664"/>
      <c r="C118" s="664"/>
      <c r="D118" s="664">
        <v>1160505001</v>
      </c>
      <c r="E118" s="664">
        <v>0</v>
      </c>
      <c r="F118" s="664">
        <v>47089</v>
      </c>
      <c r="G118" s="665">
        <v>43653</v>
      </c>
      <c r="H118" s="665">
        <v>43837</v>
      </c>
      <c r="I118" s="664">
        <v>1435</v>
      </c>
      <c r="J118" s="666">
        <v>7000000</v>
      </c>
      <c r="K118" s="666">
        <v>315000</v>
      </c>
      <c r="L118" s="666">
        <v>0</v>
      </c>
      <c r="M118" s="664" t="s">
        <v>495</v>
      </c>
      <c r="N118" s="666">
        <v>7000000</v>
      </c>
      <c r="O118" s="666">
        <v>315000</v>
      </c>
      <c r="P118" s="666">
        <v>5022500</v>
      </c>
      <c r="Q118" s="664">
        <v>1</v>
      </c>
      <c r="R118" s="664" t="s">
        <v>496</v>
      </c>
      <c r="S118" s="664">
        <v>100</v>
      </c>
      <c r="T118" s="666">
        <v>7000000</v>
      </c>
      <c r="U118" s="666">
        <v>315000</v>
      </c>
      <c r="V118" s="664">
        <v>100</v>
      </c>
      <c r="W118" s="666">
        <v>6440512</v>
      </c>
      <c r="X118" s="664">
        <v>2</v>
      </c>
      <c r="Y118" s="664">
        <v>1160902010</v>
      </c>
      <c r="Z118" s="664">
        <v>2023</v>
      </c>
      <c r="AA118" s="664">
        <v>12</v>
      </c>
      <c r="AB118" s="664">
        <v>5026003002</v>
      </c>
      <c r="AC118" s="664">
        <v>1160903005</v>
      </c>
      <c r="AD118" s="664">
        <v>0</v>
      </c>
      <c r="AE118" s="664">
        <v>0</v>
      </c>
      <c r="AF118" s="664">
        <v>0</v>
      </c>
      <c r="AG118" s="664">
        <v>1160605001</v>
      </c>
      <c r="AH118" s="664">
        <v>1483</v>
      </c>
      <c r="AI118" s="664" t="s">
        <v>497</v>
      </c>
      <c r="AJ118" s="667">
        <v>0.01</v>
      </c>
      <c r="AK118" s="668">
        <f t="shared" si="10"/>
        <v>70000</v>
      </c>
      <c r="AL118" s="668">
        <f t="shared" si="11"/>
        <v>70000</v>
      </c>
      <c r="AM118" s="668">
        <f t="shared" si="11"/>
        <v>70000</v>
      </c>
      <c r="AN118" s="668"/>
      <c r="AO118" s="668"/>
      <c r="AP118" s="668">
        <f t="shared" si="12"/>
        <v>1575</v>
      </c>
      <c r="AQ118" s="668">
        <f t="shared" si="13"/>
        <v>1575</v>
      </c>
      <c r="AR118" s="668">
        <f t="shared" si="13"/>
        <v>1575</v>
      </c>
      <c r="AS118" s="668"/>
      <c r="AT118" s="668"/>
      <c r="AV118" s="670">
        <f t="shared" si="14"/>
        <v>6790000</v>
      </c>
      <c r="AW118" s="670">
        <f t="shared" si="15"/>
        <v>310275</v>
      </c>
      <c r="AX118" s="671">
        <f t="shared" si="9"/>
        <v>0</v>
      </c>
    </row>
    <row r="119" spans="1:51">
      <c r="A119" s="664" t="s">
        <v>494</v>
      </c>
      <c r="B119" s="664"/>
      <c r="C119" s="664"/>
      <c r="D119" s="664">
        <v>1160505002</v>
      </c>
      <c r="E119" s="664">
        <v>0</v>
      </c>
      <c r="F119" s="664">
        <v>45456</v>
      </c>
      <c r="G119" s="665">
        <v>43423</v>
      </c>
      <c r="H119" s="665">
        <v>43788</v>
      </c>
      <c r="I119" s="664">
        <v>1483</v>
      </c>
      <c r="J119" s="666">
        <v>3522000</v>
      </c>
      <c r="K119" s="666">
        <v>316981</v>
      </c>
      <c r="L119" s="666">
        <v>0</v>
      </c>
      <c r="M119" s="664" t="s">
        <v>495</v>
      </c>
      <c r="N119" s="666">
        <v>3522000</v>
      </c>
      <c r="O119" s="666">
        <v>316981</v>
      </c>
      <c r="P119" s="666">
        <v>2611563</v>
      </c>
      <c r="Q119" s="664">
        <v>1</v>
      </c>
      <c r="R119" s="664" t="s">
        <v>496</v>
      </c>
      <c r="S119" s="664">
        <v>100</v>
      </c>
      <c r="T119" s="666">
        <v>3522000</v>
      </c>
      <c r="U119" s="666">
        <v>316981</v>
      </c>
      <c r="V119" s="664">
        <v>100</v>
      </c>
      <c r="W119" s="666">
        <v>6440512</v>
      </c>
      <c r="X119" s="664">
        <v>6</v>
      </c>
      <c r="Y119" s="664">
        <v>1160902010</v>
      </c>
      <c r="Z119" s="664">
        <v>2023</v>
      </c>
      <c r="AA119" s="664">
        <v>12</v>
      </c>
      <c r="AB119" s="664">
        <v>5026003002</v>
      </c>
      <c r="AC119" s="664">
        <v>1160903005</v>
      </c>
      <c r="AD119" s="664">
        <v>0</v>
      </c>
      <c r="AE119" s="664">
        <v>0</v>
      </c>
      <c r="AF119" s="664">
        <v>0</v>
      </c>
      <c r="AG119" s="664">
        <v>1160605001</v>
      </c>
      <c r="AH119" s="664">
        <v>1483</v>
      </c>
      <c r="AI119" s="664" t="s">
        <v>497</v>
      </c>
      <c r="AJ119" s="667">
        <v>0.01</v>
      </c>
      <c r="AK119" s="668">
        <f t="shared" si="10"/>
        <v>35220</v>
      </c>
      <c r="AL119" s="668">
        <f t="shared" si="11"/>
        <v>35220</v>
      </c>
      <c r="AM119" s="668">
        <f t="shared" si="11"/>
        <v>35220</v>
      </c>
      <c r="AN119" s="668"/>
      <c r="AO119" s="668"/>
      <c r="AP119" s="668">
        <f t="shared" si="12"/>
        <v>1584.905</v>
      </c>
      <c r="AQ119" s="668">
        <f t="shared" si="13"/>
        <v>1584.905</v>
      </c>
      <c r="AR119" s="668">
        <f t="shared" si="13"/>
        <v>1584.905</v>
      </c>
      <c r="AS119" s="668"/>
      <c r="AT119" s="668"/>
      <c r="AV119" s="670">
        <f t="shared" si="14"/>
        <v>3416340</v>
      </c>
      <c r="AW119" s="670">
        <f t="shared" si="15"/>
        <v>312226.28499999992</v>
      </c>
      <c r="AX119" s="671">
        <f t="shared" si="9"/>
        <v>0</v>
      </c>
    </row>
    <row r="120" spans="1:51">
      <c r="A120" s="664" t="s">
        <v>494</v>
      </c>
      <c r="B120" s="664"/>
      <c r="C120" s="664"/>
      <c r="D120" s="664">
        <v>1160505001</v>
      </c>
      <c r="E120" s="664">
        <v>0</v>
      </c>
      <c r="F120" s="664">
        <v>44440</v>
      </c>
      <c r="G120" s="665">
        <v>43227</v>
      </c>
      <c r="H120" s="665">
        <v>43958</v>
      </c>
      <c r="I120" s="664">
        <v>1315</v>
      </c>
      <c r="J120" s="666">
        <v>7000000</v>
      </c>
      <c r="K120" s="666">
        <v>525000</v>
      </c>
      <c r="L120" s="666">
        <v>0</v>
      </c>
      <c r="M120" s="664" t="s">
        <v>495</v>
      </c>
      <c r="N120" s="666">
        <v>7000000</v>
      </c>
      <c r="O120" s="666">
        <v>525000</v>
      </c>
      <c r="P120" s="666">
        <v>4602500</v>
      </c>
      <c r="Q120" s="664">
        <v>1</v>
      </c>
      <c r="R120" s="664" t="s">
        <v>496</v>
      </c>
      <c r="S120" s="664">
        <v>100</v>
      </c>
      <c r="T120" s="666">
        <v>7000000</v>
      </c>
      <c r="U120" s="666">
        <v>525000</v>
      </c>
      <c r="V120" s="664">
        <v>100</v>
      </c>
      <c r="W120" s="666">
        <v>6440512</v>
      </c>
      <c r="X120" s="664">
        <v>14</v>
      </c>
      <c r="Y120" s="664">
        <v>1160902010</v>
      </c>
      <c r="Z120" s="664">
        <v>2023</v>
      </c>
      <c r="AA120" s="664">
        <v>12</v>
      </c>
      <c r="AB120" s="664">
        <v>5026003002</v>
      </c>
      <c r="AC120" s="664">
        <v>1160903005</v>
      </c>
      <c r="AD120" s="664">
        <v>0</v>
      </c>
      <c r="AE120" s="664">
        <v>0</v>
      </c>
      <c r="AF120" s="664">
        <v>0</v>
      </c>
      <c r="AG120" s="664">
        <v>1160605001</v>
      </c>
      <c r="AH120" s="664">
        <v>1483</v>
      </c>
      <c r="AI120" s="664" t="s">
        <v>497</v>
      </c>
      <c r="AJ120" s="667">
        <v>0.01</v>
      </c>
      <c r="AK120" s="668">
        <f t="shared" si="10"/>
        <v>70000</v>
      </c>
      <c r="AL120" s="668">
        <f t="shared" si="11"/>
        <v>70000</v>
      </c>
      <c r="AM120" s="668">
        <f t="shared" si="11"/>
        <v>70000</v>
      </c>
      <c r="AN120" s="668"/>
      <c r="AO120" s="668"/>
      <c r="AP120" s="668">
        <f t="shared" si="12"/>
        <v>2625</v>
      </c>
      <c r="AQ120" s="668">
        <f t="shared" si="13"/>
        <v>2625</v>
      </c>
      <c r="AR120" s="668">
        <f t="shared" si="13"/>
        <v>2625</v>
      </c>
      <c r="AS120" s="668"/>
      <c r="AT120" s="668"/>
      <c r="AV120" s="670">
        <f t="shared" si="14"/>
        <v>6790000</v>
      </c>
      <c r="AW120" s="670">
        <f t="shared" si="15"/>
        <v>517125</v>
      </c>
      <c r="AX120" s="671">
        <f t="shared" si="9"/>
        <v>0</v>
      </c>
    </row>
    <row r="121" spans="1:51">
      <c r="A121" s="664" t="s">
        <v>494</v>
      </c>
      <c r="B121" s="664"/>
      <c r="C121" s="664"/>
      <c r="D121" s="664">
        <v>1160405001</v>
      </c>
      <c r="E121" s="664">
        <v>0</v>
      </c>
      <c r="F121" s="664">
        <v>43599</v>
      </c>
      <c r="G121" s="665">
        <v>43141</v>
      </c>
      <c r="H121" s="665">
        <v>44237</v>
      </c>
      <c r="I121" s="664">
        <v>1042</v>
      </c>
      <c r="J121" s="666">
        <v>115000000</v>
      </c>
      <c r="K121" s="666">
        <v>38243738</v>
      </c>
      <c r="L121" s="666">
        <v>81727973</v>
      </c>
      <c r="M121" s="664" t="s">
        <v>495</v>
      </c>
      <c r="N121" s="666">
        <v>33272027</v>
      </c>
      <c r="O121" s="666">
        <v>38243738</v>
      </c>
      <c r="P121" s="666">
        <v>59915000</v>
      </c>
      <c r="Q121" s="664">
        <v>2</v>
      </c>
      <c r="R121" s="664" t="s">
        <v>496</v>
      </c>
      <c r="S121" s="664">
        <v>100</v>
      </c>
      <c r="T121" s="666">
        <v>33272027</v>
      </c>
      <c r="U121" s="666">
        <v>38243738</v>
      </c>
      <c r="V121" s="664">
        <v>100</v>
      </c>
      <c r="W121" s="666">
        <v>27131232</v>
      </c>
      <c r="X121" s="664">
        <v>2</v>
      </c>
      <c r="Y121" s="664">
        <v>1160902009</v>
      </c>
      <c r="Z121" s="664">
        <v>2023</v>
      </c>
      <c r="AA121" s="664">
        <v>12</v>
      </c>
      <c r="AB121" s="664">
        <v>5026003002</v>
      </c>
      <c r="AC121" s="664">
        <v>1160903005</v>
      </c>
      <c r="AD121" s="664">
        <v>0</v>
      </c>
      <c r="AE121" s="664">
        <v>0</v>
      </c>
      <c r="AF121" s="664">
        <v>1</v>
      </c>
      <c r="AG121" s="664">
        <v>1160605001</v>
      </c>
      <c r="AH121" s="664">
        <v>1042</v>
      </c>
      <c r="AI121" s="664" t="s">
        <v>503</v>
      </c>
      <c r="AJ121" s="667">
        <v>0</v>
      </c>
      <c r="AK121" s="668">
        <f t="shared" si="10"/>
        <v>0</v>
      </c>
      <c r="AL121" s="668">
        <f t="shared" si="11"/>
        <v>0</v>
      </c>
      <c r="AM121" s="668">
        <f t="shared" si="11"/>
        <v>0</v>
      </c>
      <c r="AN121" s="668"/>
      <c r="AO121" s="668"/>
      <c r="AP121" s="668">
        <f t="shared" si="12"/>
        <v>0</v>
      </c>
      <c r="AQ121" s="668">
        <f t="shared" si="13"/>
        <v>0</v>
      </c>
      <c r="AR121" s="668">
        <f t="shared" si="13"/>
        <v>0</v>
      </c>
      <c r="AS121" s="668"/>
      <c r="AT121" s="668"/>
      <c r="AV121" s="670">
        <f t="shared" si="14"/>
        <v>115000000</v>
      </c>
      <c r="AW121" s="670">
        <f t="shared" si="15"/>
        <v>38243738</v>
      </c>
      <c r="AX121" s="671">
        <f t="shared" si="9"/>
        <v>81727973</v>
      </c>
      <c r="AY121" s="671">
        <f>+AX121-L121</f>
        <v>0</v>
      </c>
    </row>
    <row r="122" spans="1:51">
      <c r="A122" s="664" t="s">
        <v>494</v>
      </c>
      <c r="B122" s="664"/>
      <c r="C122" s="664"/>
      <c r="D122" s="664">
        <v>1160505001</v>
      </c>
      <c r="E122" s="664">
        <v>0</v>
      </c>
      <c r="F122" s="664">
        <v>45914</v>
      </c>
      <c r="G122" s="665">
        <v>43499</v>
      </c>
      <c r="H122" s="665">
        <v>43864</v>
      </c>
      <c r="I122" s="664">
        <v>1409</v>
      </c>
      <c r="J122" s="666">
        <v>9000000</v>
      </c>
      <c r="K122" s="666">
        <v>810000</v>
      </c>
      <c r="L122" s="666">
        <v>0</v>
      </c>
      <c r="M122" s="664" t="s">
        <v>495</v>
      </c>
      <c r="N122" s="666">
        <v>9000000</v>
      </c>
      <c r="O122" s="666">
        <v>810000</v>
      </c>
      <c r="P122" s="666">
        <v>6340500</v>
      </c>
      <c r="Q122" s="664">
        <v>1</v>
      </c>
      <c r="R122" s="664" t="s">
        <v>496</v>
      </c>
      <c r="S122" s="664">
        <v>100</v>
      </c>
      <c r="T122" s="666">
        <v>9000000</v>
      </c>
      <c r="U122" s="666">
        <v>810000</v>
      </c>
      <c r="V122" s="664">
        <v>100</v>
      </c>
      <c r="W122" s="666">
        <v>3711791</v>
      </c>
      <c r="X122" s="664">
        <v>15</v>
      </c>
      <c r="Y122" s="664">
        <v>1160902010</v>
      </c>
      <c r="Z122" s="664">
        <v>2023</v>
      </c>
      <c r="AA122" s="664">
        <v>12</v>
      </c>
      <c r="AB122" s="664">
        <v>5026003002</v>
      </c>
      <c r="AC122" s="664">
        <v>1160903005</v>
      </c>
      <c r="AD122" s="664">
        <v>0</v>
      </c>
      <c r="AE122" s="664">
        <v>0</v>
      </c>
      <c r="AF122" s="664">
        <v>0</v>
      </c>
      <c r="AG122" s="664">
        <v>1160605001</v>
      </c>
      <c r="AH122" s="664">
        <v>1409</v>
      </c>
      <c r="AI122" s="664" t="s">
        <v>497</v>
      </c>
      <c r="AJ122" s="667">
        <v>0.01</v>
      </c>
      <c r="AK122" s="668">
        <f t="shared" si="10"/>
        <v>90000</v>
      </c>
      <c r="AL122" s="668">
        <f t="shared" si="11"/>
        <v>90000</v>
      </c>
      <c r="AM122" s="668">
        <f t="shared" si="11"/>
        <v>90000</v>
      </c>
      <c r="AN122" s="668"/>
      <c r="AO122" s="668"/>
      <c r="AP122" s="668">
        <f t="shared" si="12"/>
        <v>4050</v>
      </c>
      <c r="AQ122" s="668">
        <f t="shared" si="13"/>
        <v>4050</v>
      </c>
      <c r="AR122" s="668">
        <f t="shared" si="13"/>
        <v>4050</v>
      </c>
      <c r="AS122" s="668"/>
      <c r="AT122" s="668"/>
      <c r="AV122" s="670">
        <f t="shared" si="14"/>
        <v>8730000</v>
      </c>
      <c r="AW122" s="670">
        <f t="shared" si="15"/>
        <v>797850</v>
      </c>
      <c r="AX122" s="671">
        <f t="shared" si="9"/>
        <v>0</v>
      </c>
    </row>
    <row r="123" spans="1:51">
      <c r="A123" s="664" t="s">
        <v>494</v>
      </c>
      <c r="B123" s="664"/>
      <c r="C123" s="664"/>
      <c r="D123" s="664">
        <v>1160505002</v>
      </c>
      <c r="E123" s="664">
        <v>0</v>
      </c>
      <c r="F123" s="664">
        <v>46429</v>
      </c>
      <c r="G123" s="665">
        <v>43546</v>
      </c>
      <c r="H123" s="665">
        <v>43912</v>
      </c>
      <c r="I123" s="664">
        <v>1360</v>
      </c>
      <c r="J123" s="666">
        <v>3990750</v>
      </c>
      <c r="K123" s="666">
        <v>359172</v>
      </c>
      <c r="L123" s="666">
        <v>0</v>
      </c>
      <c r="M123" s="664" t="s">
        <v>495</v>
      </c>
      <c r="N123" s="666">
        <v>3990750</v>
      </c>
      <c r="O123" s="666">
        <v>359172</v>
      </c>
      <c r="P123" s="666">
        <v>2713710</v>
      </c>
      <c r="Q123" s="664">
        <v>1</v>
      </c>
      <c r="R123" s="664" t="s">
        <v>496</v>
      </c>
      <c r="S123" s="664">
        <v>100</v>
      </c>
      <c r="T123" s="666">
        <v>3990750</v>
      </c>
      <c r="U123" s="666">
        <v>359172</v>
      </c>
      <c r="V123" s="664">
        <v>100</v>
      </c>
      <c r="W123" s="666">
        <v>3711791</v>
      </c>
      <c r="X123" s="664">
        <v>17</v>
      </c>
      <c r="Y123" s="664">
        <v>1160902010</v>
      </c>
      <c r="Z123" s="664">
        <v>2023</v>
      </c>
      <c r="AA123" s="664">
        <v>12</v>
      </c>
      <c r="AB123" s="664">
        <v>5026003002</v>
      </c>
      <c r="AC123" s="664">
        <v>1160903005</v>
      </c>
      <c r="AD123" s="664">
        <v>0</v>
      </c>
      <c r="AE123" s="664">
        <v>0</v>
      </c>
      <c r="AF123" s="664">
        <v>0</v>
      </c>
      <c r="AG123" s="664">
        <v>1160605001</v>
      </c>
      <c r="AH123" s="664">
        <v>1409</v>
      </c>
      <c r="AI123" s="664" t="s">
        <v>497</v>
      </c>
      <c r="AJ123" s="667">
        <v>0.01</v>
      </c>
      <c r="AK123" s="668">
        <f t="shared" si="10"/>
        <v>39907.5</v>
      </c>
      <c r="AL123" s="668">
        <f t="shared" si="11"/>
        <v>39907.5</v>
      </c>
      <c r="AM123" s="668">
        <f t="shared" si="11"/>
        <v>39907.5</v>
      </c>
      <c r="AN123" s="668"/>
      <c r="AO123" s="668"/>
      <c r="AP123" s="668">
        <f t="shared" si="12"/>
        <v>1795.8600000000001</v>
      </c>
      <c r="AQ123" s="668">
        <f t="shared" si="13"/>
        <v>1795.8600000000001</v>
      </c>
      <c r="AR123" s="668">
        <f t="shared" si="13"/>
        <v>1795.8600000000001</v>
      </c>
      <c r="AS123" s="668"/>
      <c r="AT123" s="668"/>
      <c r="AV123" s="670">
        <f t="shared" si="14"/>
        <v>3871027.5</v>
      </c>
      <c r="AW123" s="670">
        <f t="shared" si="15"/>
        <v>353784.42000000004</v>
      </c>
      <c r="AX123" s="671">
        <f t="shared" si="9"/>
        <v>0</v>
      </c>
    </row>
    <row r="124" spans="1:51">
      <c r="A124" s="664" t="s">
        <v>494</v>
      </c>
      <c r="B124" s="664"/>
      <c r="C124" s="664"/>
      <c r="D124" s="664">
        <v>1160505001</v>
      </c>
      <c r="E124" s="664">
        <v>0</v>
      </c>
      <c r="F124" s="664">
        <v>46979</v>
      </c>
      <c r="G124" s="665">
        <v>43639</v>
      </c>
      <c r="H124" s="665">
        <v>44696</v>
      </c>
      <c r="I124" s="664">
        <v>587</v>
      </c>
      <c r="J124" s="666">
        <v>4333086</v>
      </c>
      <c r="K124" s="666">
        <v>0</v>
      </c>
      <c r="L124" s="666">
        <v>0</v>
      </c>
      <c r="M124" s="664" t="s">
        <v>495</v>
      </c>
      <c r="N124" s="666">
        <v>4333086</v>
      </c>
      <c r="O124" s="666">
        <v>0</v>
      </c>
      <c r="P124" s="666">
        <v>1271761</v>
      </c>
      <c r="Q124" s="664">
        <v>1</v>
      </c>
      <c r="R124" s="664" t="s">
        <v>496</v>
      </c>
      <c r="S124" s="664">
        <v>100</v>
      </c>
      <c r="T124" s="666">
        <v>4333086</v>
      </c>
      <c r="U124" s="666">
        <v>0</v>
      </c>
      <c r="V124" s="664">
        <v>100</v>
      </c>
      <c r="W124" s="666">
        <v>15457368</v>
      </c>
      <c r="X124" s="664">
        <v>2</v>
      </c>
      <c r="Y124" s="664">
        <v>1160902010</v>
      </c>
      <c r="Z124" s="664">
        <v>2023</v>
      </c>
      <c r="AA124" s="664">
        <v>12</v>
      </c>
      <c r="AB124" s="664">
        <v>5026003002</v>
      </c>
      <c r="AC124" s="664">
        <v>1160903005</v>
      </c>
      <c r="AD124" s="664">
        <v>0</v>
      </c>
      <c r="AE124" s="664">
        <v>0</v>
      </c>
      <c r="AF124" s="664">
        <v>0</v>
      </c>
      <c r="AG124" s="664">
        <v>1160605001</v>
      </c>
      <c r="AH124" s="664">
        <v>587</v>
      </c>
      <c r="AI124" s="664" t="s">
        <v>498</v>
      </c>
      <c r="AJ124" s="667">
        <v>0.1</v>
      </c>
      <c r="AK124" s="668">
        <f t="shared" si="10"/>
        <v>433308.60000000003</v>
      </c>
      <c r="AL124" s="668">
        <f t="shared" si="11"/>
        <v>433308.60000000003</v>
      </c>
      <c r="AM124" s="668">
        <f t="shared" si="11"/>
        <v>433308.60000000003</v>
      </c>
      <c r="AN124" s="668"/>
      <c r="AO124" s="668"/>
      <c r="AP124" s="668">
        <f t="shared" si="12"/>
        <v>0</v>
      </c>
      <c r="AQ124" s="668">
        <f t="shared" si="13"/>
        <v>0</v>
      </c>
      <c r="AR124" s="668">
        <f t="shared" si="13"/>
        <v>0</v>
      </c>
      <c r="AS124" s="668"/>
      <c r="AT124" s="668"/>
      <c r="AV124" s="670">
        <f t="shared" si="14"/>
        <v>3033160.1999999997</v>
      </c>
      <c r="AW124" s="670">
        <f t="shared" si="15"/>
        <v>0</v>
      </c>
      <c r="AX124" s="671">
        <f t="shared" si="9"/>
        <v>0</v>
      </c>
    </row>
    <row r="125" spans="1:51">
      <c r="A125" s="664" t="s">
        <v>494</v>
      </c>
      <c r="B125" s="664"/>
      <c r="C125" s="664"/>
      <c r="D125" s="664">
        <v>1160405001</v>
      </c>
      <c r="E125" s="664">
        <v>0</v>
      </c>
      <c r="F125" s="664">
        <v>46264</v>
      </c>
      <c r="G125" s="665">
        <v>43527</v>
      </c>
      <c r="H125" s="665">
        <v>43893</v>
      </c>
      <c r="I125" s="664">
        <v>1379</v>
      </c>
      <c r="J125" s="666">
        <v>50962478</v>
      </c>
      <c r="K125" s="666">
        <v>3694784</v>
      </c>
      <c r="L125" s="666">
        <v>0</v>
      </c>
      <c r="M125" s="664" t="s">
        <v>495</v>
      </c>
      <c r="N125" s="666">
        <v>50962478</v>
      </c>
      <c r="O125" s="666">
        <v>3694784</v>
      </c>
      <c r="P125" s="666">
        <v>35138629</v>
      </c>
      <c r="Q125" s="664">
        <v>2</v>
      </c>
      <c r="R125" s="664" t="s">
        <v>496</v>
      </c>
      <c r="S125" s="664">
        <v>100</v>
      </c>
      <c r="T125" s="666">
        <v>50962478</v>
      </c>
      <c r="U125" s="666">
        <v>3694784</v>
      </c>
      <c r="V125" s="664">
        <v>100</v>
      </c>
      <c r="W125" s="666">
        <v>578980183</v>
      </c>
      <c r="X125" s="664">
        <v>2</v>
      </c>
      <c r="Y125" s="664">
        <v>1160902009</v>
      </c>
      <c r="Z125" s="664">
        <v>2023</v>
      </c>
      <c r="AA125" s="664">
        <v>12</v>
      </c>
      <c r="AB125" s="664">
        <v>5026003002</v>
      </c>
      <c r="AC125" s="664">
        <v>1160903005</v>
      </c>
      <c r="AD125" s="664">
        <v>0</v>
      </c>
      <c r="AE125" s="664">
        <v>0</v>
      </c>
      <c r="AF125" s="664">
        <v>1</v>
      </c>
      <c r="AG125" s="664">
        <v>1160605001</v>
      </c>
      <c r="AH125" s="664">
        <v>1379</v>
      </c>
      <c r="AI125" s="664" t="s">
        <v>503</v>
      </c>
      <c r="AJ125" s="667">
        <v>0</v>
      </c>
      <c r="AK125" s="668">
        <f t="shared" si="10"/>
        <v>0</v>
      </c>
      <c r="AL125" s="668">
        <f t="shared" si="11"/>
        <v>0</v>
      </c>
      <c r="AM125" s="668">
        <f t="shared" si="11"/>
        <v>0</v>
      </c>
      <c r="AN125" s="668"/>
      <c r="AO125" s="668"/>
      <c r="AP125" s="668">
        <f t="shared" si="12"/>
        <v>0</v>
      </c>
      <c r="AQ125" s="668">
        <f t="shared" si="13"/>
        <v>0</v>
      </c>
      <c r="AR125" s="668">
        <f t="shared" si="13"/>
        <v>0</v>
      </c>
      <c r="AS125" s="668"/>
      <c r="AT125" s="668"/>
      <c r="AV125" s="670">
        <f t="shared" si="14"/>
        <v>50962478</v>
      </c>
      <c r="AW125" s="670">
        <f t="shared" si="15"/>
        <v>3694784</v>
      </c>
      <c r="AX125" s="671">
        <f t="shared" si="9"/>
        <v>0</v>
      </c>
    </row>
    <row r="126" spans="1:51">
      <c r="A126" s="664" t="s">
        <v>494</v>
      </c>
      <c r="B126" s="664"/>
      <c r="C126" s="664"/>
      <c r="D126" s="664">
        <v>1160405001</v>
      </c>
      <c r="E126" s="664">
        <v>0</v>
      </c>
      <c r="F126" s="664">
        <v>46301</v>
      </c>
      <c r="G126" s="665">
        <v>43532</v>
      </c>
      <c r="H126" s="665">
        <v>43898</v>
      </c>
      <c r="I126" s="664">
        <v>1374</v>
      </c>
      <c r="J126" s="666">
        <v>380000000</v>
      </c>
      <c r="K126" s="666">
        <v>34200000</v>
      </c>
      <c r="L126" s="666">
        <v>0</v>
      </c>
      <c r="M126" s="664" t="s">
        <v>495</v>
      </c>
      <c r="N126" s="666">
        <v>380000000</v>
      </c>
      <c r="O126" s="666">
        <v>34200000</v>
      </c>
      <c r="P126" s="666">
        <v>261060000</v>
      </c>
      <c r="Q126" s="664">
        <v>2</v>
      </c>
      <c r="R126" s="664" t="s">
        <v>496</v>
      </c>
      <c r="S126" s="664">
        <v>100</v>
      </c>
      <c r="T126" s="666">
        <v>380000000</v>
      </c>
      <c r="U126" s="666">
        <v>34200000</v>
      </c>
      <c r="V126" s="664">
        <v>100</v>
      </c>
      <c r="W126" s="666">
        <v>578980183</v>
      </c>
      <c r="X126" s="664">
        <v>2</v>
      </c>
      <c r="Y126" s="664">
        <v>1160902009</v>
      </c>
      <c r="Z126" s="664">
        <v>2023</v>
      </c>
      <c r="AA126" s="664">
        <v>12</v>
      </c>
      <c r="AB126" s="664">
        <v>5026003002</v>
      </c>
      <c r="AC126" s="664">
        <v>1160903005</v>
      </c>
      <c r="AD126" s="664">
        <v>0</v>
      </c>
      <c r="AE126" s="664">
        <v>0</v>
      </c>
      <c r="AF126" s="664">
        <v>1</v>
      </c>
      <c r="AG126" s="664">
        <v>1160605001</v>
      </c>
      <c r="AH126" s="664">
        <v>1379</v>
      </c>
      <c r="AI126" s="664" t="s">
        <v>503</v>
      </c>
      <c r="AJ126" s="667">
        <v>0</v>
      </c>
      <c r="AK126" s="668">
        <f t="shared" si="10"/>
        <v>0</v>
      </c>
      <c r="AL126" s="668">
        <f t="shared" si="11"/>
        <v>0</v>
      </c>
      <c r="AM126" s="668">
        <f t="shared" si="11"/>
        <v>0</v>
      </c>
      <c r="AN126" s="668"/>
      <c r="AO126" s="668"/>
      <c r="AP126" s="668">
        <f t="shared" si="12"/>
        <v>0</v>
      </c>
      <c r="AQ126" s="668">
        <f t="shared" si="13"/>
        <v>0</v>
      </c>
      <c r="AR126" s="668">
        <f t="shared" si="13"/>
        <v>0</v>
      </c>
      <c r="AS126" s="668"/>
      <c r="AT126" s="668"/>
      <c r="AV126" s="670">
        <f t="shared" si="14"/>
        <v>380000000</v>
      </c>
      <c r="AW126" s="670">
        <f t="shared" si="15"/>
        <v>34200000</v>
      </c>
      <c r="AX126" s="671">
        <f t="shared" si="9"/>
        <v>0</v>
      </c>
    </row>
    <row r="127" spans="1:51">
      <c r="A127" s="664" t="s">
        <v>494</v>
      </c>
      <c r="B127" s="664"/>
      <c r="C127" s="664"/>
      <c r="D127" s="664">
        <v>1160405001</v>
      </c>
      <c r="E127" s="664">
        <v>0</v>
      </c>
      <c r="F127" s="664">
        <v>46320</v>
      </c>
      <c r="G127" s="665">
        <v>43533</v>
      </c>
      <c r="H127" s="665">
        <v>43899</v>
      </c>
      <c r="I127" s="664">
        <v>1373</v>
      </c>
      <c r="J127" s="666">
        <v>500000000</v>
      </c>
      <c r="K127" s="666">
        <v>45000000</v>
      </c>
      <c r="L127" s="666">
        <v>0</v>
      </c>
      <c r="M127" s="664" t="s">
        <v>495</v>
      </c>
      <c r="N127" s="666">
        <v>500000000</v>
      </c>
      <c r="O127" s="666">
        <v>45000000</v>
      </c>
      <c r="P127" s="666">
        <v>343250000</v>
      </c>
      <c r="Q127" s="664">
        <v>2</v>
      </c>
      <c r="R127" s="664" t="s">
        <v>496</v>
      </c>
      <c r="S127" s="664">
        <v>100</v>
      </c>
      <c r="T127" s="666">
        <v>500000000</v>
      </c>
      <c r="U127" s="666">
        <v>45000000</v>
      </c>
      <c r="V127" s="664">
        <v>100</v>
      </c>
      <c r="W127" s="666">
        <v>578980183</v>
      </c>
      <c r="X127" s="664">
        <v>2</v>
      </c>
      <c r="Y127" s="664">
        <v>1160902009</v>
      </c>
      <c r="Z127" s="664">
        <v>2023</v>
      </c>
      <c r="AA127" s="664">
        <v>12</v>
      </c>
      <c r="AB127" s="664">
        <v>5026003002</v>
      </c>
      <c r="AC127" s="664">
        <v>1160903005</v>
      </c>
      <c r="AD127" s="664">
        <v>0</v>
      </c>
      <c r="AE127" s="664">
        <v>0</v>
      </c>
      <c r="AF127" s="664">
        <v>1</v>
      </c>
      <c r="AG127" s="664">
        <v>1160605001</v>
      </c>
      <c r="AH127" s="664">
        <v>1379</v>
      </c>
      <c r="AI127" s="664" t="s">
        <v>503</v>
      </c>
      <c r="AJ127" s="667">
        <v>0</v>
      </c>
      <c r="AK127" s="668">
        <f t="shared" si="10"/>
        <v>0</v>
      </c>
      <c r="AL127" s="668">
        <f t="shared" si="11"/>
        <v>0</v>
      </c>
      <c r="AM127" s="668">
        <f t="shared" si="11"/>
        <v>0</v>
      </c>
      <c r="AN127" s="668"/>
      <c r="AO127" s="668"/>
      <c r="AP127" s="668">
        <f t="shared" si="12"/>
        <v>0</v>
      </c>
      <c r="AQ127" s="668">
        <f t="shared" si="13"/>
        <v>0</v>
      </c>
      <c r="AR127" s="668">
        <f t="shared" si="13"/>
        <v>0</v>
      </c>
      <c r="AS127" s="668"/>
      <c r="AT127" s="668"/>
      <c r="AV127" s="670">
        <f t="shared" si="14"/>
        <v>500000000</v>
      </c>
      <c r="AW127" s="670">
        <f t="shared" si="15"/>
        <v>45000000</v>
      </c>
      <c r="AX127" s="671">
        <f t="shared" si="9"/>
        <v>0</v>
      </c>
    </row>
    <row r="128" spans="1:51">
      <c r="A128" s="664" t="s">
        <v>494</v>
      </c>
      <c r="B128" s="664"/>
      <c r="C128" s="664"/>
      <c r="D128" s="664">
        <v>1160405001</v>
      </c>
      <c r="E128" s="664">
        <v>0</v>
      </c>
      <c r="F128" s="664">
        <v>46357</v>
      </c>
      <c r="G128" s="665">
        <v>43538</v>
      </c>
      <c r="H128" s="665">
        <v>43904</v>
      </c>
      <c r="I128" s="664">
        <v>1368</v>
      </c>
      <c r="J128" s="666">
        <v>380000000</v>
      </c>
      <c r="K128" s="666">
        <v>34200000</v>
      </c>
      <c r="L128" s="666">
        <v>0</v>
      </c>
      <c r="M128" s="664" t="s">
        <v>495</v>
      </c>
      <c r="N128" s="666">
        <v>380000000</v>
      </c>
      <c r="O128" s="666">
        <v>34200000</v>
      </c>
      <c r="P128" s="666">
        <v>259920000</v>
      </c>
      <c r="Q128" s="664">
        <v>2</v>
      </c>
      <c r="R128" s="664" t="s">
        <v>496</v>
      </c>
      <c r="S128" s="664">
        <v>100</v>
      </c>
      <c r="T128" s="666">
        <v>380000000</v>
      </c>
      <c r="U128" s="666">
        <v>34200000</v>
      </c>
      <c r="V128" s="664">
        <v>100</v>
      </c>
      <c r="W128" s="666">
        <v>578980183</v>
      </c>
      <c r="X128" s="664">
        <v>2</v>
      </c>
      <c r="Y128" s="664">
        <v>1160902009</v>
      </c>
      <c r="Z128" s="664">
        <v>2023</v>
      </c>
      <c r="AA128" s="664">
        <v>12</v>
      </c>
      <c r="AB128" s="664">
        <v>5026003002</v>
      </c>
      <c r="AC128" s="664">
        <v>1160903005</v>
      </c>
      <c r="AD128" s="664">
        <v>0</v>
      </c>
      <c r="AE128" s="664">
        <v>0</v>
      </c>
      <c r="AF128" s="664">
        <v>1</v>
      </c>
      <c r="AG128" s="664">
        <v>1160605001</v>
      </c>
      <c r="AH128" s="664">
        <v>1379</v>
      </c>
      <c r="AI128" s="664" t="s">
        <v>503</v>
      </c>
      <c r="AJ128" s="667">
        <v>0</v>
      </c>
      <c r="AK128" s="668">
        <f t="shared" si="10"/>
        <v>0</v>
      </c>
      <c r="AL128" s="668">
        <f t="shared" si="11"/>
        <v>0</v>
      </c>
      <c r="AM128" s="668">
        <f t="shared" si="11"/>
        <v>0</v>
      </c>
      <c r="AN128" s="668"/>
      <c r="AO128" s="668"/>
      <c r="AP128" s="668">
        <f t="shared" si="12"/>
        <v>0</v>
      </c>
      <c r="AQ128" s="668">
        <f t="shared" si="13"/>
        <v>0</v>
      </c>
      <c r="AR128" s="668">
        <f t="shared" si="13"/>
        <v>0</v>
      </c>
      <c r="AS128" s="668"/>
      <c r="AT128" s="668"/>
      <c r="AV128" s="670">
        <f t="shared" si="14"/>
        <v>380000000</v>
      </c>
      <c r="AW128" s="670">
        <f t="shared" si="15"/>
        <v>34200000</v>
      </c>
      <c r="AX128" s="671">
        <f t="shared" si="9"/>
        <v>0</v>
      </c>
    </row>
    <row r="129" spans="1:51">
      <c r="A129" s="664" t="s">
        <v>494</v>
      </c>
      <c r="B129" s="664"/>
      <c r="C129" s="664"/>
      <c r="D129" s="664">
        <v>1160405001</v>
      </c>
      <c r="E129" s="664">
        <v>0</v>
      </c>
      <c r="F129" s="664">
        <v>46481</v>
      </c>
      <c r="G129" s="665">
        <v>43553</v>
      </c>
      <c r="H129" s="665">
        <v>43919</v>
      </c>
      <c r="I129" s="664">
        <v>1353</v>
      </c>
      <c r="J129" s="666">
        <v>372000000</v>
      </c>
      <c r="K129" s="666">
        <v>33480000</v>
      </c>
      <c r="L129" s="666">
        <v>0</v>
      </c>
      <c r="M129" s="664" t="s">
        <v>495</v>
      </c>
      <c r="N129" s="666">
        <v>372000000</v>
      </c>
      <c r="O129" s="666">
        <v>33480000</v>
      </c>
      <c r="P129" s="666">
        <v>251658000</v>
      </c>
      <c r="Q129" s="664">
        <v>2</v>
      </c>
      <c r="R129" s="664" t="s">
        <v>496</v>
      </c>
      <c r="S129" s="664">
        <v>100</v>
      </c>
      <c r="T129" s="666">
        <v>372000000</v>
      </c>
      <c r="U129" s="666">
        <v>33480000</v>
      </c>
      <c r="V129" s="664">
        <v>100</v>
      </c>
      <c r="W129" s="666">
        <v>578980183</v>
      </c>
      <c r="X129" s="664">
        <v>2</v>
      </c>
      <c r="Y129" s="664">
        <v>1160902009</v>
      </c>
      <c r="Z129" s="664">
        <v>2023</v>
      </c>
      <c r="AA129" s="664">
        <v>12</v>
      </c>
      <c r="AB129" s="664">
        <v>5026003002</v>
      </c>
      <c r="AC129" s="664">
        <v>1160903005</v>
      </c>
      <c r="AD129" s="664">
        <v>0</v>
      </c>
      <c r="AE129" s="664">
        <v>0</v>
      </c>
      <c r="AF129" s="664">
        <v>1</v>
      </c>
      <c r="AG129" s="664">
        <v>1160605001</v>
      </c>
      <c r="AH129" s="664">
        <v>1379</v>
      </c>
      <c r="AI129" s="664" t="s">
        <v>503</v>
      </c>
      <c r="AJ129" s="667">
        <v>0</v>
      </c>
      <c r="AK129" s="668">
        <f t="shared" si="10"/>
        <v>0</v>
      </c>
      <c r="AL129" s="668">
        <f t="shared" si="11"/>
        <v>0</v>
      </c>
      <c r="AM129" s="668">
        <f t="shared" si="11"/>
        <v>0</v>
      </c>
      <c r="AN129" s="668"/>
      <c r="AO129" s="668"/>
      <c r="AP129" s="668">
        <f t="shared" si="12"/>
        <v>0</v>
      </c>
      <c r="AQ129" s="668">
        <f t="shared" si="13"/>
        <v>0</v>
      </c>
      <c r="AR129" s="668">
        <f t="shared" si="13"/>
        <v>0</v>
      </c>
      <c r="AS129" s="668"/>
      <c r="AT129" s="668"/>
      <c r="AV129" s="670">
        <f t="shared" si="14"/>
        <v>372000000</v>
      </c>
      <c r="AW129" s="670">
        <f t="shared" si="15"/>
        <v>33480000</v>
      </c>
      <c r="AX129" s="671">
        <f t="shared" si="9"/>
        <v>0</v>
      </c>
    </row>
    <row r="130" spans="1:51">
      <c r="A130" s="664" t="s">
        <v>494</v>
      </c>
      <c r="B130" s="664"/>
      <c r="C130" s="664"/>
      <c r="D130" s="664">
        <v>1160405001</v>
      </c>
      <c r="E130" s="664">
        <v>0</v>
      </c>
      <c r="F130" s="664">
        <v>46850</v>
      </c>
      <c r="G130" s="665">
        <v>43620</v>
      </c>
      <c r="H130" s="665">
        <v>43986</v>
      </c>
      <c r="I130" s="664">
        <v>1288</v>
      </c>
      <c r="J130" s="666">
        <v>387000000</v>
      </c>
      <c r="K130" s="666">
        <v>34830000</v>
      </c>
      <c r="L130" s="666">
        <v>0</v>
      </c>
      <c r="M130" s="664" t="s">
        <v>495</v>
      </c>
      <c r="N130" s="666">
        <v>387000000</v>
      </c>
      <c r="O130" s="666">
        <v>34830000</v>
      </c>
      <c r="P130" s="666">
        <v>249228000</v>
      </c>
      <c r="Q130" s="664">
        <v>2</v>
      </c>
      <c r="R130" s="664" t="s">
        <v>496</v>
      </c>
      <c r="S130" s="664">
        <v>100</v>
      </c>
      <c r="T130" s="666">
        <v>387000000</v>
      </c>
      <c r="U130" s="666">
        <v>34830000</v>
      </c>
      <c r="V130" s="664">
        <v>100</v>
      </c>
      <c r="W130" s="666">
        <v>578980183</v>
      </c>
      <c r="X130" s="664">
        <v>2</v>
      </c>
      <c r="Y130" s="664">
        <v>1160902009</v>
      </c>
      <c r="Z130" s="664">
        <v>2023</v>
      </c>
      <c r="AA130" s="664">
        <v>12</v>
      </c>
      <c r="AB130" s="664">
        <v>5026003002</v>
      </c>
      <c r="AC130" s="664">
        <v>1160903005</v>
      </c>
      <c r="AD130" s="664">
        <v>0</v>
      </c>
      <c r="AE130" s="664">
        <v>0</v>
      </c>
      <c r="AF130" s="664">
        <v>1</v>
      </c>
      <c r="AG130" s="664">
        <v>1160605001</v>
      </c>
      <c r="AH130" s="664">
        <v>1379</v>
      </c>
      <c r="AI130" s="664" t="s">
        <v>503</v>
      </c>
      <c r="AJ130" s="667">
        <v>0</v>
      </c>
      <c r="AK130" s="668">
        <f t="shared" si="10"/>
        <v>0</v>
      </c>
      <c r="AL130" s="668">
        <f t="shared" si="11"/>
        <v>0</v>
      </c>
      <c r="AM130" s="668">
        <f t="shared" si="11"/>
        <v>0</v>
      </c>
      <c r="AN130" s="668"/>
      <c r="AO130" s="668"/>
      <c r="AP130" s="668">
        <f t="shared" si="12"/>
        <v>0</v>
      </c>
      <c r="AQ130" s="668">
        <f t="shared" si="13"/>
        <v>0</v>
      </c>
      <c r="AR130" s="668">
        <f t="shared" si="13"/>
        <v>0</v>
      </c>
      <c r="AS130" s="668"/>
      <c r="AT130" s="668"/>
      <c r="AV130" s="670">
        <f t="shared" si="14"/>
        <v>387000000</v>
      </c>
      <c r="AW130" s="670">
        <f t="shared" si="15"/>
        <v>34830000</v>
      </c>
      <c r="AX130" s="671">
        <f t="shared" si="9"/>
        <v>0</v>
      </c>
    </row>
    <row r="131" spans="1:51">
      <c r="A131" s="664" t="s">
        <v>494</v>
      </c>
      <c r="B131" s="664"/>
      <c r="C131" s="664"/>
      <c r="D131" s="664">
        <v>1160405001</v>
      </c>
      <c r="E131" s="664">
        <v>0</v>
      </c>
      <c r="F131" s="664">
        <v>46263</v>
      </c>
      <c r="G131" s="665">
        <v>43527</v>
      </c>
      <c r="H131" s="665">
        <v>45354</v>
      </c>
      <c r="I131" s="664">
        <v>0</v>
      </c>
      <c r="J131" s="666">
        <v>450000000</v>
      </c>
      <c r="K131" s="666">
        <v>195412500</v>
      </c>
      <c r="L131" s="666">
        <v>0</v>
      </c>
      <c r="M131" s="664" t="s">
        <v>495</v>
      </c>
      <c r="N131" s="666">
        <v>450000000</v>
      </c>
      <c r="O131" s="666">
        <v>195412500</v>
      </c>
      <c r="P131" s="666">
        <v>0</v>
      </c>
      <c r="Q131" s="664">
        <v>2</v>
      </c>
      <c r="R131" s="664" t="s">
        <v>496</v>
      </c>
      <c r="S131" s="664">
        <v>100</v>
      </c>
      <c r="T131" s="666">
        <v>450000000</v>
      </c>
      <c r="U131" s="666">
        <v>195412500</v>
      </c>
      <c r="V131" s="664">
        <v>100</v>
      </c>
      <c r="W131" s="666">
        <v>578980183</v>
      </c>
      <c r="X131" s="664">
        <v>15</v>
      </c>
      <c r="Y131" s="664">
        <v>1160902009</v>
      </c>
      <c r="Z131" s="664">
        <v>2023</v>
      </c>
      <c r="AA131" s="664">
        <v>12</v>
      </c>
      <c r="AB131" s="664">
        <v>5026003002</v>
      </c>
      <c r="AC131" s="664">
        <v>1160903005</v>
      </c>
      <c r="AD131" s="664">
        <v>0</v>
      </c>
      <c r="AE131" s="664">
        <v>0</v>
      </c>
      <c r="AF131" s="664">
        <v>1</v>
      </c>
      <c r="AG131" s="664">
        <v>1160605001</v>
      </c>
      <c r="AH131" s="664">
        <v>1379</v>
      </c>
      <c r="AI131" s="664" t="s">
        <v>503</v>
      </c>
      <c r="AJ131" s="667">
        <v>0</v>
      </c>
      <c r="AK131" s="668">
        <f t="shared" si="10"/>
        <v>0</v>
      </c>
      <c r="AL131" s="668">
        <f t="shared" si="11"/>
        <v>0</v>
      </c>
      <c r="AM131" s="668">
        <f t="shared" si="11"/>
        <v>0</v>
      </c>
      <c r="AN131" s="668"/>
      <c r="AO131" s="668"/>
      <c r="AP131" s="668">
        <f t="shared" si="12"/>
        <v>0</v>
      </c>
      <c r="AQ131" s="668">
        <f t="shared" si="13"/>
        <v>0</v>
      </c>
      <c r="AR131" s="668">
        <f t="shared" si="13"/>
        <v>0</v>
      </c>
      <c r="AS131" s="668"/>
      <c r="AT131" s="668"/>
      <c r="AV131" s="670">
        <f t="shared" si="14"/>
        <v>450000000</v>
      </c>
      <c r="AW131" s="670">
        <f t="shared" si="15"/>
        <v>195412500</v>
      </c>
      <c r="AX131" s="671">
        <f t="shared" si="9"/>
        <v>0</v>
      </c>
    </row>
    <row r="132" spans="1:51">
      <c r="A132" s="664" t="s">
        <v>494</v>
      </c>
      <c r="B132" s="664"/>
      <c r="C132" s="664"/>
      <c r="D132" s="664">
        <v>1160505001</v>
      </c>
      <c r="E132" s="664">
        <v>0</v>
      </c>
      <c r="F132" s="664">
        <v>45199</v>
      </c>
      <c r="G132" s="665">
        <v>43328</v>
      </c>
      <c r="H132" s="665">
        <v>45154</v>
      </c>
      <c r="I132" s="664">
        <v>136</v>
      </c>
      <c r="J132" s="666">
        <v>2405026</v>
      </c>
      <c r="K132" s="666">
        <v>976457</v>
      </c>
      <c r="L132" s="666">
        <v>0</v>
      </c>
      <c r="M132" s="664" t="s">
        <v>495</v>
      </c>
      <c r="N132" s="666">
        <v>2405026</v>
      </c>
      <c r="O132" s="666">
        <v>976457</v>
      </c>
      <c r="P132" s="666">
        <v>163542</v>
      </c>
      <c r="Q132" s="664">
        <v>1</v>
      </c>
      <c r="R132" s="664" t="s">
        <v>496</v>
      </c>
      <c r="S132" s="664">
        <v>100</v>
      </c>
      <c r="T132" s="666">
        <v>2405026</v>
      </c>
      <c r="U132" s="666">
        <v>976457</v>
      </c>
      <c r="V132" s="664">
        <v>100</v>
      </c>
      <c r="W132" s="666">
        <v>3622410</v>
      </c>
      <c r="X132" s="664">
        <v>2</v>
      </c>
      <c r="Y132" s="664">
        <v>1160902010</v>
      </c>
      <c r="Z132" s="664">
        <v>2023</v>
      </c>
      <c r="AA132" s="664">
        <v>12</v>
      </c>
      <c r="AB132" s="664">
        <v>5026003002</v>
      </c>
      <c r="AC132" s="664">
        <v>1160903005</v>
      </c>
      <c r="AD132" s="664">
        <v>0</v>
      </c>
      <c r="AE132" s="664">
        <v>0</v>
      </c>
      <c r="AF132" s="664">
        <v>0</v>
      </c>
      <c r="AG132" s="664">
        <v>1160605001</v>
      </c>
      <c r="AH132" s="664">
        <v>1388</v>
      </c>
      <c r="AI132" s="664" t="s">
        <v>497</v>
      </c>
      <c r="AJ132" s="667">
        <v>0.01</v>
      </c>
      <c r="AK132" s="668">
        <f t="shared" si="10"/>
        <v>24050.260000000002</v>
      </c>
      <c r="AL132" s="668">
        <f t="shared" si="11"/>
        <v>24050.260000000002</v>
      </c>
      <c r="AM132" s="668">
        <f t="shared" si="11"/>
        <v>24050.260000000002</v>
      </c>
      <c r="AN132" s="668"/>
      <c r="AO132" s="668"/>
      <c r="AP132" s="668">
        <f t="shared" si="12"/>
        <v>4882.2849999999999</v>
      </c>
      <c r="AQ132" s="668">
        <f t="shared" si="13"/>
        <v>4882.2849999999999</v>
      </c>
      <c r="AR132" s="668">
        <f t="shared" si="13"/>
        <v>4882.2849999999999</v>
      </c>
      <c r="AS132" s="668"/>
      <c r="AT132" s="668"/>
      <c r="AV132" s="670">
        <f t="shared" si="14"/>
        <v>2332875.2200000007</v>
      </c>
      <c r="AW132" s="670">
        <f t="shared" si="15"/>
        <v>961810.1449999999</v>
      </c>
      <c r="AX132" s="671">
        <f t="shared" si="9"/>
        <v>0</v>
      </c>
    </row>
    <row r="133" spans="1:51">
      <c r="A133" s="664" t="s">
        <v>494</v>
      </c>
      <c r="B133" s="664"/>
      <c r="C133" s="664"/>
      <c r="D133" s="664">
        <v>1160505001</v>
      </c>
      <c r="E133" s="664">
        <v>0</v>
      </c>
      <c r="F133" s="664">
        <v>45236</v>
      </c>
      <c r="G133" s="665">
        <v>43338</v>
      </c>
      <c r="H133" s="665">
        <v>45154</v>
      </c>
      <c r="I133" s="664">
        <v>136</v>
      </c>
      <c r="J133" s="666">
        <v>3200000</v>
      </c>
      <c r="K133" s="666">
        <v>1432000</v>
      </c>
      <c r="L133" s="666">
        <v>0</v>
      </c>
      <c r="M133" s="664" t="s">
        <v>495</v>
      </c>
      <c r="N133" s="666">
        <v>3200000</v>
      </c>
      <c r="O133" s="666">
        <v>1432000</v>
      </c>
      <c r="P133" s="666">
        <v>217600</v>
      </c>
      <c r="Q133" s="664">
        <v>1</v>
      </c>
      <c r="R133" s="664" t="s">
        <v>496</v>
      </c>
      <c r="S133" s="664">
        <v>100</v>
      </c>
      <c r="T133" s="666">
        <v>3200000</v>
      </c>
      <c r="U133" s="666">
        <v>1432000</v>
      </c>
      <c r="V133" s="664">
        <v>100</v>
      </c>
      <c r="W133" s="666">
        <v>3622410</v>
      </c>
      <c r="X133" s="664">
        <v>2</v>
      </c>
      <c r="Y133" s="664">
        <v>1160902010</v>
      </c>
      <c r="Z133" s="664">
        <v>2023</v>
      </c>
      <c r="AA133" s="664">
        <v>12</v>
      </c>
      <c r="AB133" s="664">
        <v>5026003002</v>
      </c>
      <c r="AC133" s="664">
        <v>1160903005</v>
      </c>
      <c r="AD133" s="664">
        <v>0</v>
      </c>
      <c r="AE133" s="664">
        <v>0</v>
      </c>
      <c r="AF133" s="664">
        <v>0</v>
      </c>
      <c r="AG133" s="664">
        <v>1160605001</v>
      </c>
      <c r="AH133" s="664">
        <v>1388</v>
      </c>
      <c r="AI133" s="664" t="s">
        <v>497</v>
      </c>
      <c r="AJ133" s="667">
        <v>0.01</v>
      </c>
      <c r="AK133" s="668">
        <f t="shared" si="10"/>
        <v>32000</v>
      </c>
      <c r="AL133" s="668">
        <f t="shared" si="11"/>
        <v>32000</v>
      </c>
      <c r="AM133" s="668">
        <f t="shared" si="11"/>
        <v>32000</v>
      </c>
      <c r="AN133" s="668"/>
      <c r="AO133" s="668"/>
      <c r="AP133" s="668">
        <f t="shared" si="12"/>
        <v>7160</v>
      </c>
      <c r="AQ133" s="668">
        <f t="shared" si="13"/>
        <v>7160</v>
      </c>
      <c r="AR133" s="668">
        <f t="shared" si="13"/>
        <v>7160</v>
      </c>
      <c r="AS133" s="668"/>
      <c r="AT133" s="668"/>
      <c r="AV133" s="670">
        <f t="shared" si="14"/>
        <v>3104000</v>
      </c>
      <c r="AW133" s="670">
        <f t="shared" si="15"/>
        <v>1410520</v>
      </c>
      <c r="AX133" s="671">
        <f t="shared" si="9"/>
        <v>0</v>
      </c>
    </row>
    <row r="134" spans="1:51">
      <c r="A134" s="664" t="s">
        <v>494</v>
      </c>
      <c r="B134" s="664"/>
      <c r="C134" s="664"/>
      <c r="D134" s="664">
        <v>1160505002</v>
      </c>
      <c r="E134" s="664">
        <v>0</v>
      </c>
      <c r="F134" s="664">
        <v>46218</v>
      </c>
      <c r="G134" s="665">
        <v>43520</v>
      </c>
      <c r="H134" s="665">
        <v>43885</v>
      </c>
      <c r="I134" s="664">
        <v>1388</v>
      </c>
      <c r="J134" s="666">
        <v>1656900</v>
      </c>
      <c r="K134" s="666">
        <v>298248</v>
      </c>
      <c r="L134" s="666">
        <v>0</v>
      </c>
      <c r="M134" s="664" t="s">
        <v>495</v>
      </c>
      <c r="N134" s="666">
        <v>1656900</v>
      </c>
      <c r="O134" s="666">
        <v>298248</v>
      </c>
      <c r="P134" s="666">
        <v>1149889</v>
      </c>
      <c r="Q134" s="664">
        <v>1</v>
      </c>
      <c r="R134" s="664" t="s">
        <v>496</v>
      </c>
      <c r="S134" s="664">
        <v>100</v>
      </c>
      <c r="T134" s="666">
        <v>1656900</v>
      </c>
      <c r="U134" s="666">
        <v>298248</v>
      </c>
      <c r="V134" s="664">
        <v>100</v>
      </c>
      <c r="W134" s="666">
        <v>3622410</v>
      </c>
      <c r="X134" s="664">
        <v>6</v>
      </c>
      <c r="Y134" s="664">
        <v>1160902010</v>
      </c>
      <c r="Z134" s="664">
        <v>2023</v>
      </c>
      <c r="AA134" s="664">
        <v>12</v>
      </c>
      <c r="AB134" s="664">
        <v>5026003002</v>
      </c>
      <c r="AC134" s="664">
        <v>1160903005</v>
      </c>
      <c r="AD134" s="664">
        <v>0</v>
      </c>
      <c r="AE134" s="664">
        <v>0</v>
      </c>
      <c r="AF134" s="664">
        <v>0</v>
      </c>
      <c r="AG134" s="664">
        <v>1160605001</v>
      </c>
      <c r="AH134" s="664">
        <v>1388</v>
      </c>
      <c r="AI134" s="664" t="s">
        <v>497</v>
      </c>
      <c r="AJ134" s="667">
        <v>0.01</v>
      </c>
      <c r="AK134" s="668">
        <f t="shared" si="10"/>
        <v>16569</v>
      </c>
      <c r="AL134" s="668">
        <f t="shared" si="11"/>
        <v>16569</v>
      </c>
      <c r="AM134" s="668">
        <f t="shared" si="11"/>
        <v>16569</v>
      </c>
      <c r="AN134" s="668"/>
      <c r="AO134" s="668"/>
      <c r="AP134" s="668">
        <f t="shared" si="12"/>
        <v>1491.24</v>
      </c>
      <c r="AQ134" s="668">
        <f t="shared" si="13"/>
        <v>1491.24</v>
      </c>
      <c r="AR134" s="668">
        <f t="shared" si="13"/>
        <v>1491.24</v>
      </c>
      <c r="AS134" s="668"/>
      <c r="AT134" s="668"/>
      <c r="AV134" s="670">
        <f t="shared" si="14"/>
        <v>1607193</v>
      </c>
      <c r="AW134" s="670">
        <f t="shared" si="15"/>
        <v>293774.28000000003</v>
      </c>
      <c r="AX134" s="671">
        <f t="shared" ref="AX134:AX197" si="16">+J134-N134</f>
        <v>0</v>
      </c>
    </row>
    <row r="135" spans="1:51">
      <c r="A135" s="664" t="s">
        <v>494</v>
      </c>
      <c r="B135" s="664"/>
      <c r="C135" s="664"/>
      <c r="D135" s="664">
        <v>1160505001</v>
      </c>
      <c r="E135" s="664">
        <v>0</v>
      </c>
      <c r="F135" s="664">
        <v>46870</v>
      </c>
      <c r="G135" s="665">
        <v>43624</v>
      </c>
      <c r="H135" s="665">
        <v>44720</v>
      </c>
      <c r="I135" s="664">
        <v>564</v>
      </c>
      <c r="J135" s="666">
        <v>4183243</v>
      </c>
      <c r="K135" s="666">
        <v>349303</v>
      </c>
      <c r="L135" s="666">
        <v>0</v>
      </c>
      <c r="M135" s="664" t="s">
        <v>495</v>
      </c>
      <c r="N135" s="666">
        <v>4183243</v>
      </c>
      <c r="O135" s="666">
        <v>349303</v>
      </c>
      <c r="P135" s="666">
        <v>1179675</v>
      </c>
      <c r="Q135" s="664">
        <v>1</v>
      </c>
      <c r="R135" s="664" t="s">
        <v>496</v>
      </c>
      <c r="S135" s="664">
        <v>100</v>
      </c>
      <c r="T135" s="666">
        <v>4183243</v>
      </c>
      <c r="U135" s="666">
        <v>349303</v>
      </c>
      <c r="V135" s="664">
        <v>100</v>
      </c>
      <c r="W135" s="666">
        <v>3451983</v>
      </c>
      <c r="X135" s="664">
        <v>14</v>
      </c>
      <c r="Y135" s="664">
        <v>1160902010</v>
      </c>
      <c r="Z135" s="664">
        <v>2023</v>
      </c>
      <c r="AA135" s="664">
        <v>12</v>
      </c>
      <c r="AB135" s="664">
        <v>5026003002</v>
      </c>
      <c r="AC135" s="664">
        <v>1160903005</v>
      </c>
      <c r="AD135" s="664">
        <v>0</v>
      </c>
      <c r="AE135" s="664">
        <v>0</v>
      </c>
      <c r="AF135" s="664">
        <v>0</v>
      </c>
      <c r="AG135" s="664">
        <v>1160605001</v>
      </c>
      <c r="AH135" s="664">
        <v>564</v>
      </c>
      <c r="AI135" s="664" t="s">
        <v>498</v>
      </c>
      <c r="AJ135" s="667">
        <v>0.1</v>
      </c>
      <c r="AK135" s="668">
        <f t="shared" ref="AK135:AK198" si="17">+$J135*$AJ135</f>
        <v>418324.30000000005</v>
      </c>
      <c r="AL135" s="668">
        <f t="shared" ref="AL135:AM198" si="18">IF(($J135-$AK135)&gt;0,$J135*$AJ135,0)</f>
        <v>418324.30000000005</v>
      </c>
      <c r="AM135" s="668">
        <f t="shared" si="18"/>
        <v>418324.30000000005</v>
      </c>
      <c r="AN135" s="668"/>
      <c r="AO135" s="668"/>
      <c r="AP135" s="668">
        <f t="shared" ref="AP135:AP198" si="19">+K135*(AJ135/2)</f>
        <v>17465.150000000001</v>
      </c>
      <c r="AQ135" s="668">
        <f t="shared" ref="AQ135:AR198" si="20">AP135</f>
        <v>17465.150000000001</v>
      </c>
      <c r="AR135" s="668">
        <f t="shared" si="20"/>
        <v>17465.150000000001</v>
      </c>
      <c r="AS135" s="668"/>
      <c r="AT135" s="668"/>
      <c r="AV135" s="670">
        <f t="shared" ref="AV135:AV198" si="21">J135-AK135-AL135-AM135</f>
        <v>2928270.1000000006</v>
      </c>
      <c r="AW135" s="670">
        <f t="shared" ref="AW135:AW198" si="22">+K135-AP135-AQ135-AR135</f>
        <v>296907.54999999993</v>
      </c>
      <c r="AX135" s="671">
        <f t="shared" si="16"/>
        <v>0</v>
      </c>
    </row>
    <row r="136" spans="1:51">
      <c r="A136" s="664" t="s">
        <v>494</v>
      </c>
      <c r="B136" s="664"/>
      <c r="C136" s="664"/>
      <c r="D136" s="664">
        <v>1160404001</v>
      </c>
      <c r="E136" s="664">
        <v>0</v>
      </c>
      <c r="F136" s="664">
        <v>44316</v>
      </c>
      <c r="G136" s="665">
        <v>43211</v>
      </c>
      <c r="H136" s="665">
        <v>45037</v>
      </c>
      <c r="I136" s="664">
        <v>251</v>
      </c>
      <c r="J136" s="666">
        <v>68661333</v>
      </c>
      <c r="K136" s="666">
        <v>0</v>
      </c>
      <c r="L136" s="666">
        <v>773874500</v>
      </c>
      <c r="M136" s="664" t="s">
        <v>495</v>
      </c>
      <c r="N136" s="666">
        <v>0</v>
      </c>
      <c r="O136" s="666">
        <v>0</v>
      </c>
      <c r="P136" s="666">
        <v>8616997</v>
      </c>
      <c r="Q136" s="664">
        <v>2</v>
      </c>
      <c r="R136" s="664" t="s">
        <v>501</v>
      </c>
      <c r="S136" s="664">
        <v>100</v>
      </c>
      <c r="T136" s="666">
        <v>0</v>
      </c>
      <c r="U136" s="666">
        <v>0</v>
      </c>
      <c r="V136" s="664">
        <v>100</v>
      </c>
      <c r="W136" s="666">
        <v>70983622.799999997</v>
      </c>
      <c r="X136" s="664">
        <v>2</v>
      </c>
      <c r="Y136" s="664">
        <v>1160902007</v>
      </c>
      <c r="Z136" s="664">
        <v>2023</v>
      </c>
      <c r="AA136" s="664">
        <v>12</v>
      </c>
      <c r="AB136" s="664">
        <v>5026003002</v>
      </c>
      <c r="AC136" s="664">
        <v>1160903004</v>
      </c>
      <c r="AD136" s="664">
        <v>0</v>
      </c>
      <c r="AE136" s="664">
        <v>0</v>
      </c>
      <c r="AF136" s="664">
        <v>1</v>
      </c>
      <c r="AG136" s="664">
        <v>1160604001</v>
      </c>
      <c r="AH136" s="664">
        <v>251</v>
      </c>
      <c r="AI136" s="664" t="s">
        <v>114</v>
      </c>
      <c r="AJ136" s="667">
        <v>0.5</v>
      </c>
      <c r="AK136" s="668">
        <f t="shared" si="17"/>
        <v>34330666.5</v>
      </c>
      <c r="AL136" s="668">
        <f t="shared" si="18"/>
        <v>34330666.5</v>
      </c>
      <c r="AM136" s="668"/>
      <c r="AN136" s="668"/>
      <c r="AO136" s="668"/>
      <c r="AP136" s="668">
        <f t="shared" si="19"/>
        <v>0</v>
      </c>
      <c r="AQ136" s="668">
        <f t="shared" si="20"/>
        <v>0</v>
      </c>
      <c r="AR136" s="668">
        <f t="shared" si="20"/>
        <v>0</v>
      </c>
      <c r="AS136" s="668"/>
      <c r="AT136" s="668"/>
      <c r="AV136" s="670">
        <f t="shared" si="21"/>
        <v>0</v>
      </c>
      <c r="AW136" s="670">
        <f t="shared" si="22"/>
        <v>0</v>
      </c>
      <c r="AX136" s="671">
        <f t="shared" si="16"/>
        <v>68661333</v>
      </c>
      <c r="AY136" s="671">
        <f>+AX136-L136</f>
        <v>-705213167</v>
      </c>
    </row>
    <row r="137" spans="1:51">
      <c r="A137" s="664" t="s">
        <v>494</v>
      </c>
      <c r="B137" s="664"/>
      <c r="C137" s="664"/>
      <c r="D137" s="664">
        <v>1160505004</v>
      </c>
      <c r="E137" s="664">
        <v>31354</v>
      </c>
      <c r="F137" s="664">
        <v>36840</v>
      </c>
      <c r="G137" s="665">
        <v>41993</v>
      </c>
      <c r="H137" s="665">
        <v>43089</v>
      </c>
      <c r="I137" s="664">
        <v>2172</v>
      </c>
      <c r="J137" s="666">
        <v>5091661</v>
      </c>
      <c r="K137" s="666">
        <v>0</v>
      </c>
      <c r="L137" s="666">
        <v>0</v>
      </c>
      <c r="M137" s="664" t="s">
        <v>495</v>
      </c>
      <c r="N137" s="666">
        <v>5091661</v>
      </c>
      <c r="O137" s="666">
        <v>0</v>
      </c>
      <c r="P137" s="666">
        <v>5529544</v>
      </c>
      <c r="Q137" s="664">
        <v>1</v>
      </c>
      <c r="R137" s="664" t="s">
        <v>496</v>
      </c>
      <c r="S137" s="664">
        <v>100</v>
      </c>
      <c r="T137" s="666">
        <v>5091661</v>
      </c>
      <c r="U137" s="666">
        <v>0</v>
      </c>
      <c r="V137" s="664">
        <v>100</v>
      </c>
      <c r="W137" s="666">
        <v>8427305</v>
      </c>
      <c r="X137" s="664">
        <v>5</v>
      </c>
      <c r="Y137" s="664">
        <v>1160902010</v>
      </c>
      <c r="Z137" s="664">
        <v>2023</v>
      </c>
      <c r="AA137" s="664">
        <v>12</v>
      </c>
      <c r="AB137" s="664">
        <v>5026003002</v>
      </c>
      <c r="AC137" s="664">
        <v>1160903005</v>
      </c>
      <c r="AD137" s="664">
        <v>0</v>
      </c>
      <c r="AE137" s="664">
        <v>0</v>
      </c>
      <c r="AF137" s="664">
        <v>0</v>
      </c>
      <c r="AG137" s="664">
        <v>1160605001</v>
      </c>
      <c r="AH137" s="664">
        <v>2172</v>
      </c>
      <c r="AI137" s="664" t="s">
        <v>497</v>
      </c>
      <c r="AJ137" s="667">
        <v>0.01</v>
      </c>
      <c r="AK137" s="668">
        <f t="shared" si="17"/>
        <v>50916.61</v>
      </c>
      <c r="AL137" s="668">
        <f t="shared" si="18"/>
        <v>50916.61</v>
      </c>
      <c r="AM137" s="668">
        <f t="shared" si="18"/>
        <v>50916.61</v>
      </c>
      <c r="AN137" s="668"/>
      <c r="AO137" s="668"/>
      <c r="AP137" s="668">
        <f t="shared" si="19"/>
        <v>0</v>
      </c>
      <c r="AQ137" s="668">
        <f t="shared" si="20"/>
        <v>0</v>
      </c>
      <c r="AR137" s="668">
        <f t="shared" si="20"/>
        <v>0</v>
      </c>
      <c r="AS137" s="668"/>
      <c r="AT137" s="668"/>
      <c r="AV137" s="670">
        <f t="shared" si="21"/>
        <v>4938911.169999999</v>
      </c>
      <c r="AW137" s="670">
        <f t="shared" si="22"/>
        <v>0</v>
      </c>
      <c r="AX137" s="671">
        <f t="shared" si="16"/>
        <v>0</v>
      </c>
    </row>
    <row r="138" spans="1:51">
      <c r="A138" s="664" t="s">
        <v>494</v>
      </c>
      <c r="B138" s="664"/>
      <c r="C138" s="664"/>
      <c r="D138" s="664">
        <v>1160505001</v>
      </c>
      <c r="E138" s="664">
        <v>0</v>
      </c>
      <c r="F138" s="664">
        <v>47060</v>
      </c>
      <c r="G138" s="665">
        <v>43653</v>
      </c>
      <c r="H138" s="665">
        <v>43837</v>
      </c>
      <c r="I138" s="664">
        <v>1435</v>
      </c>
      <c r="J138" s="666">
        <v>6411423</v>
      </c>
      <c r="K138" s="666">
        <v>0</v>
      </c>
      <c r="L138" s="666">
        <v>0</v>
      </c>
      <c r="M138" s="664" t="s">
        <v>495</v>
      </c>
      <c r="N138" s="666">
        <v>6411423</v>
      </c>
      <c r="O138" s="666">
        <v>0</v>
      </c>
      <c r="P138" s="666">
        <v>4600196</v>
      </c>
      <c r="Q138" s="664">
        <v>1</v>
      </c>
      <c r="R138" s="664" t="s">
        <v>496</v>
      </c>
      <c r="S138" s="664">
        <v>100</v>
      </c>
      <c r="T138" s="666">
        <v>6411423</v>
      </c>
      <c r="U138" s="666">
        <v>0</v>
      </c>
      <c r="V138" s="664">
        <v>100</v>
      </c>
      <c r="W138" s="666">
        <v>5523718</v>
      </c>
      <c r="X138" s="664">
        <v>2</v>
      </c>
      <c r="Y138" s="664">
        <v>1160902010</v>
      </c>
      <c r="Z138" s="664">
        <v>2023</v>
      </c>
      <c r="AA138" s="664">
        <v>12</v>
      </c>
      <c r="AB138" s="664">
        <v>5026003002</v>
      </c>
      <c r="AC138" s="664">
        <v>1160903005</v>
      </c>
      <c r="AD138" s="664">
        <v>0</v>
      </c>
      <c r="AE138" s="664">
        <v>0</v>
      </c>
      <c r="AF138" s="664">
        <v>0</v>
      </c>
      <c r="AG138" s="664">
        <v>1160605001</v>
      </c>
      <c r="AH138" s="664">
        <v>1435</v>
      </c>
      <c r="AI138" s="664" t="s">
        <v>497</v>
      </c>
      <c r="AJ138" s="667">
        <v>0.01</v>
      </c>
      <c r="AK138" s="668">
        <f t="shared" si="17"/>
        <v>64114.23</v>
      </c>
      <c r="AL138" s="668">
        <f t="shared" si="18"/>
        <v>64114.23</v>
      </c>
      <c r="AM138" s="668">
        <f t="shared" si="18"/>
        <v>64114.23</v>
      </c>
      <c r="AN138" s="668"/>
      <c r="AO138" s="668"/>
      <c r="AP138" s="668">
        <f t="shared" si="19"/>
        <v>0</v>
      </c>
      <c r="AQ138" s="668">
        <f t="shared" si="20"/>
        <v>0</v>
      </c>
      <c r="AR138" s="668">
        <f t="shared" si="20"/>
        <v>0</v>
      </c>
      <c r="AS138" s="668"/>
      <c r="AT138" s="668"/>
      <c r="AV138" s="670">
        <f t="shared" si="21"/>
        <v>6219080.3099999987</v>
      </c>
      <c r="AW138" s="670">
        <f t="shared" si="22"/>
        <v>0</v>
      </c>
      <c r="AX138" s="671">
        <f t="shared" si="16"/>
        <v>0</v>
      </c>
    </row>
    <row r="139" spans="1:51">
      <c r="A139" s="664" t="s">
        <v>494</v>
      </c>
      <c r="B139" s="664"/>
      <c r="C139" s="664"/>
      <c r="D139" s="664">
        <v>1160505001</v>
      </c>
      <c r="E139" s="664">
        <v>0</v>
      </c>
      <c r="F139" s="664">
        <v>47184</v>
      </c>
      <c r="G139" s="665">
        <v>43678</v>
      </c>
      <c r="H139" s="665">
        <v>44896</v>
      </c>
      <c r="I139" s="664">
        <v>391</v>
      </c>
      <c r="J139" s="666">
        <v>1800000</v>
      </c>
      <c r="K139" s="666">
        <v>187800</v>
      </c>
      <c r="L139" s="666">
        <v>0</v>
      </c>
      <c r="M139" s="664" t="s">
        <v>495</v>
      </c>
      <c r="N139" s="666">
        <v>1800000</v>
      </c>
      <c r="O139" s="666">
        <v>187800</v>
      </c>
      <c r="P139" s="666">
        <v>351900</v>
      </c>
      <c r="Q139" s="664">
        <v>1</v>
      </c>
      <c r="R139" s="664" t="s">
        <v>496</v>
      </c>
      <c r="S139" s="664">
        <v>100</v>
      </c>
      <c r="T139" s="666">
        <v>1800000</v>
      </c>
      <c r="U139" s="666">
        <v>187800</v>
      </c>
      <c r="V139" s="664">
        <v>100</v>
      </c>
      <c r="W139" s="666">
        <v>5574005</v>
      </c>
      <c r="X139" s="664">
        <v>2</v>
      </c>
      <c r="Y139" s="664">
        <v>1160902010</v>
      </c>
      <c r="Z139" s="664">
        <v>2023</v>
      </c>
      <c r="AA139" s="664">
        <v>12</v>
      </c>
      <c r="AB139" s="664">
        <v>5026003002</v>
      </c>
      <c r="AC139" s="664">
        <v>1160903005</v>
      </c>
      <c r="AD139" s="664">
        <v>0</v>
      </c>
      <c r="AE139" s="664">
        <v>0</v>
      </c>
      <c r="AF139" s="664">
        <v>0</v>
      </c>
      <c r="AG139" s="664">
        <v>1160605001</v>
      </c>
      <c r="AH139" s="664">
        <v>391</v>
      </c>
      <c r="AI139" s="664" t="s">
        <v>498</v>
      </c>
      <c r="AJ139" s="667">
        <v>0.1</v>
      </c>
      <c r="AK139" s="668">
        <f t="shared" si="17"/>
        <v>180000</v>
      </c>
      <c r="AL139" s="668">
        <f t="shared" si="18"/>
        <v>180000</v>
      </c>
      <c r="AM139" s="668">
        <f t="shared" si="18"/>
        <v>180000</v>
      </c>
      <c r="AN139" s="668"/>
      <c r="AO139" s="668"/>
      <c r="AP139" s="668">
        <f t="shared" si="19"/>
        <v>9390</v>
      </c>
      <c r="AQ139" s="668">
        <f t="shared" si="20"/>
        <v>9390</v>
      </c>
      <c r="AR139" s="668">
        <f t="shared" si="20"/>
        <v>9390</v>
      </c>
      <c r="AS139" s="668"/>
      <c r="AT139" s="668"/>
      <c r="AV139" s="670">
        <f t="shared" si="21"/>
        <v>1260000</v>
      </c>
      <c r="AW139" s="670">
        <f t="shared" si="22"/>
        <v>159630</v>
      </c>
      <c r="AX139" s="671">
        <f t="shared" si="16"/>
        <v>0</v>
      </c>
    </row>
    <row r="140" spans="1:51">
      <c r="A140" s="664" t="s">
        <v>494</v>
      </c>
      <c r="B140" s="664"/>
      <c r="C140" s="664"/>
      <c r="D140" s="664">
        <v>1160505001</v>
      </c>
      <c r="E140" s="664">
        <v>0</v>
      </c>
      <c r="F140" s="664">
        <v>40968</v>
      </c>
      <c r="G140" s="665">
        <v>42722</v>
      </c>
      <c r="H140" s="665">
        <v>43087</v>
      </c>
      <c r="I140" s="664">
        <v>2174</v>
      </c>
      <c r="J140" s="666">
        <v>12000000</v>
      </c>
      <c r="K140" s="666">
        <v>558377</v>
      </c>
      <c r="L140" s="666">
        <v>0</v>
      </c>
      <c r="M140" s="664" t="s">
        <v>495</v>
      </c>
      <c r="N140" s="666">
        <v>12000000</v>
      </c>
      <c r="O140" s="666">
        <v>558377</v>
      </c>
      <c r="P140" s="666">
        <v>13044000</v>
      </c>
      <c r="Q140" s="664">
        <v>1</v>
      </c>
      <c r="R140" s="664" t="s">
        <v>496</v>
      </c>
      <c r="S140" s="664">
        <v>100</v>
      </c>
      <c r="T140" s="666">
        <v>12000000</v>
      </c>
      <c r="U140" s="666">
        <v>558377</v>
      </c>
      <c r="V140" s="664">
        <v>100</v>
      </c>
      <c r="W140" s="666">
        <v>9528177</v>
      </c>
      <c r="X140" s="664">
        <v>2</v>
      </c>
      <c r="Y140" s="664">
        <v>1160902010</v>
      </c>
      <c r="Z140" s="664">
        <v>2023</v>
      </c>
      <c r="AA140" s="664">
        <v>12</v>
      </c>
      <c r="AB140" s="664">
        <v>5026003002</v>
      </c>
      <c r="AC140" s="664">
        <v>1160903005</v>
      </c>
      <c r="AD140" s="664">
        <v>0</v>
      </c>
      <c r="AE140" s="664">
        <v>0</v>
      </c>
      <c r="AF140" s="664">
        <v>0</v>
      </c>
      <c r="AG140" s="664">
        <v>1160605001</v>
      </c>
      <c r="AH140" s="664">
        <v>2174</v>
      </c>
      <c r="AI140" s="664" t="s">
        <v>497</v>
      </c>
      <c r="AJ140" s="667">
        <v>0.01</v>
      </c>
      <c r="AK140" s="668">
        <f t="shared" si="17"/>
        <v>120000</v>
      </c>
      <c r="AL140" s="668">
        <f t="shared" si="18"/>
        <v>120000</v>
      </c>
      <c r="AM140" s="668">
        <f t="shared" si="18"/>
        <v>120000</v>
      </c>
      <c r="AN140" s="668"/>
      <c r="AO140" s="668"/>
      <c r="AP140" s="668">
        <f t="shared" si="19"/>
        <v>2791.8850000000002</v>
      </c>
      <c r="AQ140" s="668">
        <f t="shared" si="20"/>
        <v>2791.8850000000002</v>
      </c>
      <c r="AR140" s="668">
        <f t="shared" si="20"/>
        <v>2791.8850000000002</v>
      </c>
      <c r="AS140" s="668"/>
      <c r="AT140" s="668"/>
      <c r="AV140" s="670">
        <f t="shared" si="21"/>
        <v>11640000</v>
      </c>
      <c r="AW140" s="670">
        <f t="shared" si="22"/>
        <v>550001.34499999997</v>
      </c>
      <c r="AX140" s="671">
        <f t="shared" si="16"/>
        <v>0</v>
      </c>
    </row>
    <row r="141" spans="1:51">
      <c r="A141" s="664" t="s">
        <v>494</v>
      </c>
      <c r="B141" s="664"/>
      <c r="C141" s="664"/>
      <c r="D141" s="664">
        <v>1160505002</v>
      </c>
      <c r="E141" s="664">
        <v>0</v>
      </c>
      <c r="F141" s="664">
        <v>41205</v>
      </c>
      <c r="G141" s="665">
        <v>42758</v>
      </c>
      <c r="H141" s="665">
        <v>43123</v>
      </c>
      <c r="I141" s="664">
        <v>2139</v>
      </c>
      <c r="J141" s="666">
        <v>4340000</v>
      </c>
      <c r="K141" s="666">
        <v>390600</v>
      </c>
      <c r="L141" s="666">
        <v>0</v>
      </c>
      <c r="M141" s="664" t="s">
        <v>495</v>
      </c>
      <c r="N141" s="666">
        <v>4340000</v>
      </c>
      <c r="O141" s="666">
        <v>390600</v>
      </c>
      <c r="P141" s="666">
        <v>4641630</v>
      </c>
      <c r="Q141" s="664">
        <v>1</v>
      </c>
      <c r="R141" s="664" t="s">
        <v>496</v>
      </c>
      <c r="S141" s="664">
        <v>100</v>
      </c>
      <c r="T141" s="666">
        <v>4340000</v>
      </c>
      <c r="U141" s="666">
        <v>390600</v>
      </c>
      <c r="V141" s="664">
        <v>100</v>
      </c>
      <c r="W141" s="666">
        <v>9528177</v>
      </c>
      <c r="X141" s="664">
        <v>6</v>
      </c>
      <c r="Y141" s="664">
        <v>1160902010</v>
      </c>
      <c r="Z141" s="664">
        <v>2023</v>
      </c>
      <c r="AA141" s="664">
        <v>12</v>
      </c>
      <c r="AB141" s="664">
        <v>5026003002</v>
      </c>
      <c r="AC141" s="664">
        <v>1160903005</v>
      </c>
      <c r="AD141" s="664">
        <v>0</v>
      </c>
      <c r="AE141" s="664">
        <v>0</v>
      </c>
      <c r="AF141" s="664">
        <v>0</v>
      </c>
      <c r="AG141" s="664">
        <v>1160605001</v>
      </c>
      <c r="AH141" s="664">
        <v>2174</v>
      </c>
      <c r="AI141" s="664" t="s">
        <v>497</v>
      </c>
      <c r="AJ141" s="667">
        <v>0.01</v>
      </c>
      <c r="AK141" s="668">
        <f t="shared" si="17"/>
        <v>43400</v>
      </c>
      <c r="AL141" s="668">
        <f t="shared" si="18"/>
        <v>43400</v>
      </c>
      <c r="AM141" s="668">
        <f t="shared" si="18"/>
        <v>43400</v>
      </c>
      <c r="AN141" s="668"/>
      <c r="AO141" s="668"/>
      <c r="AP141" s="668">
        <f t="shared" si="19"/>
        <v>1953</v>
      </c>
      <c r="AQ141" s="668">
        <f t="shared" si="20"/>
        <v>1953</v>
      </c>
      <c r="AR141" s="668">
        <f t="shared" si="20"/>
        <v>1953</v>
      </c>
      <c r="AS141" s="668"/>
      <c r="AT141" s="668"/>
      <c r="AV141" s="670">
        <f t="shared" si="21"/>
        <v>4209800</v>
      </c>
      <c r="AW141" s="670">
        <f t="shared" si="22"/>
        <v>384741</v>
      </c>
      <c r="AX141" s="671">
        <f t="shared" si="16"/>
        <v>0</v>
      </c>
    </row>
    <row r="142" spans="1:51">
      <c r="A142" s="664" t="s">
        <v>494</v>
      </c>
      <c r="B142" s="664"/>
      <c r="C142" s="664"/>
      <c r="D142" s="664">
        <v>1160505001</v>
      </c>
      <c r="E142" s="664">
        <v>0</v>
      </c>
      <c r="F142" s="664">
        <v>46254</v>
      </c>
      <c r="G142" s="665">
        <v>43527</v>
      </c>
      <c r="H142" s="665">
        <v>44623</v>
      </c>
      <c r="I142" s="664">
        <v>659</v>
      </c>
      <c r="J142" s="666">
        <v>5000000</v>
      </c>
      <c r="K142" s="666">
        <v>0</v>
      </c>
      <c r="L142" s="666">
        <v>0</v>
      </c>
      <c r="M142" s="664" t="s">
        <v>495</v>
      </c>
      <c r="N142" s="666">
        <v>5000000</v>
      </c>
      <c r="O142" s="666">
        <v>0</v>
      </c>
      <c r="P142" s="666">
        <v>1647500</v>
      </c>
      <c r="Q142" s="664">
        <v>1</v>
      </c>
      <c r="R142" s="664" t="s">
        <v>496</v>
      </c>
      <c r="S142" s="664">
        <v>100</v>
      </c>
      <c r="T142" s="666">
        <v>5000000</v>
      </c>
      <c r="U142" s="666">
        <v>0</v>
      </c>
      <c r="V142" s="664">
        <v>100</v>
      </c>
      <c r="W142" s="666">
        <v>2274541</v>
      </c>
      <c r="X142" s="664">
        <v>2</v>
      </c>
      <c r="Y142" s="664">
        <v>1160902010</v>
      </c>
      <c r="Z142" s="664">
        <v>2023</v>
      </c>
      <c r="AA142" s="664">
        <v>12</v>
      </c>
      <c r="AB142" s="664">
        <v>5026003002</v>
      </c>
      <c r="AC142" s="664">
        <v>1160903005</v>
      </c>
      <c r="AD142" s="664">
        <v>0</v>
      </c>
      <c r="AE142" s="664">
        <v>0</v>
      </c>
      <c r="AF142" s="664">
        <v>0</v>
      </c>
      <c r="AG142" s="664">
        <v>1160605001</v>
      </c>
      <c r="AH142" s="664">
        <v>659</v>
      </c>
      <c r="AI142" s="664" t="s">
        <v>498</v>
      </c>
      <c r="AJ142" s="667">
        <v>0.1</v>
      </c>
      <c r="AK142" s="668">
        <f t="shared" si="17"/>
        <v>500000</v>
      </c>
      <c r="AL142" s="668">
        <f t="shared" si="18"/>
        <v>500000</v>
      </c>
      <c r="AM142" s="668">
        <f t="shared" si="18"/>
        <v>500000</v>
      </c>
      <c r="AN142" s="668"/>
      <c r="AO142" s="668"/>
      <c r="AP142" s="668">
        <f t="shared" si="19"/>
        <v>0</v>
      </c>
      <c r="AQ142" s="668">
        <f t="shared" si="20"/>
        <v>0</v>
      </c>
      <c r="AR142" s="668">
        <f t="shared" si="20"/>
        <v>0</v>
      </c>
      <c r="AS142" s="668"/>
      <c r="AT142" s="668"/>
      <c r="AV142" s="670">
        <f t="shared" si="21"/>
        <v>3500000</v>
      </c>
      <c r="AW142" s="670">
        <f t="shared" si="22"/>
        <v>0</v>
      </c>
      <c r="AX142" s="671">
        <f t="shared" si="16"/>
        <v>0</v>
      </c>
    </row>
    <row r="143" spans="1:51">
      <c r="A143" s="664" t="s">
        <v>494</v>
      </c>
      <c r="B143" s="664"/>
      <c r="C143" s="664"/>
      <c r="D143" s="664">
        <v>1160505001</v>
      </c>
      <c r="E143" s="664">
        <v>0</v>
      </c>
      <c r="F143" s="664">
        <v>47259</v>
      </c>
      <c r="G143" s="665">
        <v>43697</v>
      </c>
      <c r="H143" s="665">
        <v>43850</v>
      </c>
      <c r="I143" s="664">
        <v>1422</v>
      </c>
      <c r="J143" s="666">
        <v>9319062</v>
      </c>
      <c r="K143" s="666">
        <v>0</v>
      </c>
      <c r="L143" s="666">
        <v>0</v>
      </c>
      <c r="M143" s="664" t="s">
        <v>495</v>
      </c>
      <c r="N143" s="666">
        <v>9319062</v>
      </c>
      <c r="O143" s="666">
        <v>0</v>
      </c>
      <c r="P143" s="666">
        <v>6625853</v>
      </c>
      <c r="Q143" s="664">
        <v>1</v>
      </c>
      <c r="R143" s="664" t="s">
        <v>496</v>
      </c>
      <c r="S143" s="664">
        <v>100</v>
      </c>
      <c r="T143" s="666">
        <v>9319062</v>
      </c>
      <c r="U143" s="666">
        <v>0</v>
      </c>
      <c r="V143" s="664">
        <v>100</v>
      </c>
      <c r="W143" s="666">
        <v>3570001</v>
      </c>
      <c r="X143" s="664">
        <v>2</v>
      </c>
      <c r="Y143" s="664">
        <v>1160902010</v>
      </c>
      <c r="Z143" s="664">
        <v>2023</v>
      </c>
      <c r="AA143" s="664">
        <v>12</v>
      </c>
      <c r="AB143" s="664">
        <v>5026003002</v>
      </c>
      <c r="AC143" s="664">
        <v>1160903005</v>
      </c>
      <c r="AD143" s="664">
        <v>0</v>
      </c>
      <c r="AE143" s="664">
        <v>0</v>
      </c>
      <c r="AF143" s="664">
        <v>0</v>
      </c>
      <c r="AG143" s="664">
        <v>1160605001</v>
      </c>
      <c r="AH143" s="664">
        <v>1422</v>
      </c>
      <c r="AI143" s="664" t="s">
        <v>497</v>
      </c>
      <c r="AJ143" s="667">
        <v>0.01</v>
      </c>
      <c r="AK143" s="668">
        <f t="shared" si="17"/>
        <v>93190.62</v>
      </c>
      <c r="AL143" s="668">
        <f t="shared" si="18"/>
        <v>93190.62</v>
      </c>
      <c r="AM143" s="668">
        <f t="shared" si="18"/>
        <v>93190.62</v>
      </c>
      <c r="AN143" s="668"/>
      <c r="AO143" s="668"/>
      <c r="AP143" s="668">
        <f t="shared" si="19"/>
        <v>0</v>
      </c>
      <c r="AQ143" s="668">
        <f t="shared" si="20"/>
        <v>0</v>
      </c>
      <c r="AR143" s="668">
        <f t="shared" si="20"/>
        <v>0</v>
      </c>
      <c r="AS143" s="668"/>
      <c r="AT143" s="668"/>
      <c r="AV143" s="670">
        <f t="shared" si="21"/>
        <v>9039490.1400000025</v>
      </c>
      <c r="AW143" s="670">
        <f t="shared" si="22"/>
        <v>0</v>
      </c>
      <c r="AX143" s="671">
        <f t="shared" si="16"/>
        <v>0</v>
      </c>
    </row>
    <row r="144" spans="1:51">
      <c r="A144" s="664" t="s">
        <v>494</v>
      </c>
      <c r="B144" s="664"/>
      <c r="C144" s="664"/>
      <c r="D144" s="664">
        <v>1160505004</v>
      </c>
      <c r="E144" s="664">
        <v>32724</v>
      </c>
      <c r="F144" s="664">
        <v>36175</v>
      </c>
      <c r="G144" s="665">
        <v>41848</v>
      </c>
      <c r="H144" s="665">
        <v>42944</v>
      </c>
      <c r="I144" s="664">
        <v>2314</v>
      </c>
      <c r="J144" s="666">
        <v>1696024</v>
      </c>
      <c r="K144" s="666">
        <v>0</v>
      </c>
      <c r="L144" s="666">
        <v>0</v>
      </c>
      <c r="M144" s="664" t="s">
        <v>495</v>
      </c>
      <c r="N144" s="666">
        <v>1696024</v>
      </c>
      <c r="O144" s="666">
        <v>0</v>
      </c>
      <c r="P144" s="666">
        <v>1962300</v>
      </c>
      <c r="Q144" s="664">
        <v>1</v>
      </c>
      <c r="R144" s="664" t="s">
        <v>496</v>
      </c>
      <c r="S144" s="664">
        <v>100</v>
      </c>
      <c r="T144" s="666">
        <v>1696024</v>
      </c>
      <c r="U144" s="666">
        <v>0</v>
      </c>
      <c r="V144" s="664">
        <v>100</v>
      </c>
      <c r="W144" s="666">
        <v>0</v>
      </c>
      <c r="X144" s="664">
        <v>5</v>
      </c>
      <c r="Y144" s="664">
        <v>1160902010</v>
      </c>
      <c r="Z144" s="664">
        <v>2023</v>
      </c>
      <c r="AA144" s="664">
        <v>12</v>
      </c>
      <c r="AB144" s="664">
        <v>5026003002</v>
      </c>
      <c r="AC144" s="664">
        <v>1160903005</v>
      </c>
      <c r="AD144" s="664">
        <v>0</v>
      </c>
      <c r="AE144" s="664">
        <v>0</v>
      </c>
      <c r="AF144" s="664">
        <v>0</v>
      </c>
      <c r="AG144" s="664">
        <v>1160605001</v>
      </c>
      <c r="AH144" s="664">
        <v>2483</v>
      </c>
      <c r="AI144" s="664" t="s">
        <v>497</v>
      </c>
      <c r="AJ144" s="667">
        <v>0.01</v>
      </c>
      <c r="AK144" s="668">
        <f t="shared" si="17"/>
        <v>16960.240000000002</v>
      </c>
      <c r="AL144" s="668">
        <f t="shared" si="18"/>
        <v>16960.240000000002</v>
      </c>
      <c r="AM144" s="668">
        <f t="shared" si="18"/>
        <v>16960.240000000002</v>
      </c>
      <c r="AN144" s="668"/>
      <c r="AO144" s="668"/>
      <c r="AP144" s="668">
        <f t="shared" si="19"/>
        <v>0</v>
      </c>
      <c r="AQ144" s="668">
        <f t="shared" si="20"/>
        <v>0</v>
      </c>
      <c r="AR144" s="668">
        <f t="shared" si="20"/>
        <v>0</v>
      </c>
      <c r="AS144" s="668"/>
      <c r="AT144" s="668"/>
      <c r="AV144" s="670">
        <f t="shared" si="21"/>
        <v>1645143.28</v>
      </c>
      <c r="AW144" s="670">
        <f t="shared" si="22"/>
        <v>0</v>
      </c>
      <c r="AX144" s="671">
        <f t="shared" si="16"/>
        <v>0</v>
      </c>
    </row>
    <row r="145" spans="1:50">
      <c r="A145" s="664" t="s">
        <v>494</v>
      </c>
      <c r="B145" s="664"/>
      <c r="C145" s="664"/>
      <c r="D145" s="664">
        <v>1160505004</v>
      </c>
      <c r="E145" s="664">
        <v>35811</v>
      </c>
      <c r="F145" s="664">
        <v>36986</v>
      </c>
      <c r="G145" s="665">
        <v>42019</v>
      </c>
      <c r="H145" s="665">
        <v>43115</v>
      </c>
      <c r="I145" s="664">
        <v>2147</v>
      </c>
      <c r="J145" s="666">
        <v>2000000</v>
      </c>
      <c r="K145" s="666">
        <v>0</v>
      </c>
      <c r="L145" s="666">
        <v>0</v>
      </c>
      <c r="M145" s="664" t="s">
        <v>495</v>
      </c>
      <c r="N145" s="666">
        <v>2000000</v>
      </c>
      <c r="O145" s="666">
        <v>0</v>
      </c>
      <c r="P145" s="666">
        <v>2147000</v>
      </c>
      <c r="Q145" s="664">
        <v>1</v>
      </c>
      <c r="R145" s="664" t="s">
        <v>496</v>
      </c>
      <c r="S145" s="664">
        <v>100</v>
      </c>
      <c r="T145" s="666">
        <v>2000000</v>
      </c>
      <c r="U145" s="666">
        <v>0</v>
      </c>
      <c r="V145" s="664">
        <v>100</v>
      </c>
      <c r="W145" s="666">
        <v>0</v>
      </c>
      <c r="X145" s="664">
        <v>5</v>
      </c>
      <c r="Y145" s="664">
        <v>1160902010</v>
      </c>
      <c r="Z145" s="664">
        <v>2023</v>
      </c>
      <c r="AA145" s="664">
        <v>12</v>
      </c>
      <c r="AB145" s="664">
        <v>5026003002</v>
      </c>
      <c r="AC145" s="664">
        <v>1160903005</v>
      </c>
      <c r="AD145" s="664">
        <v>0</v>
      </c>
      <c r="AE145" s="664">
        <v>0</v>
      </c>
      <c r="AF145" s="664">
        <v>0</v>
      </c>
      <c r="AG145" s="664">
        <v>1160605001</v>
      </c>
      <c r="AH145" s="664">
        <v>2483</v>
      </c>
      <c r="AI145" s="664" t="s">
        <v>497</v>
      </c>
      <c r="AJ145" s="667">
        <v>0.01</v>
      </c>
      <c r="AK145" s="668">
        <f t="shared" si="17"/>
        <v>20000</v>
      </c>
      <c r="AL145" s="668">
        <f t="shared" si="18"/>
        <v>20000</v>
      </c>
      <c r="AM145" s="668">
        <f t="shared" si="18"/>
        <v>20000</v>
      </c>
      <c r="AN145" s="668"/>
      <c r="AO145" s="668"/>
      <c r="AP145" s="668">
        <f t="shared" si="19"/>
        <v>0</v>
      </c>
      <c r="AQ145" s="668">
        <f t="shared" si="20"/>
        <v>0</v>
      </c>
      <c r="AR145" s="668">
        <f t="shared" si="20"/>
        <v>0</v>
      </c>
      <c r="AS145" s="668"/>
      <c r="AT145" s="668"/>
      <c r="AV145" s="670">
        <f t="shared" si="21"/>
        <v>1940000</v>
      </c>
      <c r="AW145" s="670">
        <f t="shared" si="22"/>
        <v>0</v>
      </c>
      <c r="AX145" s="671">
        <f t="shared" si="16"/>
        <v>0</v>
      </c>
    </row>
    <row r="146" spans="1:50">
      <c r="A146" s="664" t="s">
        <v>494</v>
      </c>
      <c r="B146" s="664"/>
      <c r="C146" s="664"/>
      <c r="D146" s="664">
        <v>1160505002</v>
      </c>
      <c r="E146" s="664">
        <v>0</v>
      </c>
      <c r="F146" s="664">
        <v>34465</v>
      </c>
      <c r="G146" s="665">
        <v>41679</v>
      </c>
      <c r="H146" s="665">
        <v>42775</v>
      </c>
      <c r="I146" s="664">
        <v>2483</v>
      </c>
      <c r="J146" s="666">
        <v>5014072</v>
      </c>
      <c r="K146" s="666">
        <v>0</v>
      </c>
      <c r="L146" s="666">
        <v>0</v>
      </c>
      <c r="M146" s="664" t="s">
        <v>495</v>
      </c>
      <c r="N146" s="666">
        <v>5014072</v>
      </c>
      <c r="O146" s="666">
        <v>0</v>
      </c>
      <c r="P146" s="666">
        <v>6224970</v>
      </c>
      <c r="Q146" s="664">
        <v>1</v>
      </c>
      <c r="R146" s="664" t="s">
        <v>496</v>
      </c>
      <c r="S146" s="664">
        <v>100</v>
      </c>
      <c r="T146" s="666">
        <v>5014072</v>
      </c>
      <c r="U146" s="666">
        <v>0</v>
      </c>
      <c r="V146" s="664">
        <v>100</v>
      </c>
      <c r="W146" s="666">
        <v>0</v>
      </c>
      <c r="X146" s="664">
        <v>6</v>
      </c>
      <c r="Y146" s="664">
        <v>1160902010</v>
      </c>
      <c r="Z146" s="664">
        <v>2023</v>
      </c>
      <c r="AA146" s="664">
        <v>12</v>
      </c>
      <c r="AB146" s="664">
        <v>5026003002</v>
      </c>
      <c r="AC146" s="664">
        <v>1160903005</v>
      </c>
      <c r="AD146" s="664">
        <v>0</v>
      </c>
      <c r="AE146" s="664">
        <v>0</v>
      </c>
      <c r="AF146" s="664">
        <v>0</v>
      </c>
      <c r="AG146" s="664">
        <v>1160605001</v>
      </c>
      <c r="AH146" s="664">
        <v>2483</v>
      </c>
      <c r="AI146" s="664" t="s">
        <v>497</v>
      </c>
      <c r="AJ146" s="667">
        <v>0.01</v>
      </c>
      <c r="AK146" s="668">
        <f t="shared" si="17"/>
        <v>50140.72</v>
      </c>
      <c r="AL146" s="668">
        <f t="shared" si="18"/>
        <v>50140.72</v>
      </c>
      <c r="AM146" s="668">
        <f t="shared" si="18"/>
        <v>50140.72</v>
      </c>
      <c r="AN146" s="668"/>
      <c r="AO146" s="668"/>
      <c r="AP146" s="668">
        <f t="shared" si="19"/>
        <v>0</v>
      </c>
      <c r="AQ146" s="668">
        <f t="shared" si="20"/>
        <v>0</v>
      </c>
      <c r="AR146" s="668">
        <f t="shared" si="20"/>
        <v>0</v>
      </c>
      <c r="AS146" s="668"/>
      <c r="AT146" s="668"/>
      <c r="AV146" s="670">
        <f t="shared" si="21"/>
        <v>4863649.8400000008</v>
      </c>
      <c r="AW146" s="670">
        <f t="shared" si="22"/>
        <v>0</v>
      </c>
      <c r="AX146" s="671">
        <f t="shared" si="16"/>
        <v>0</v>
      </c>
    </row>
    <row r="147" spans="1:50">
      <c r="A147" s="664" t="s">
        <v>494</v>
      </c>
      <c r="B147" s="664"/>
      <c r="C147" s="664"/>
      <c r="D147" s="664">
        <v>1160505004</v>
      </c>
      <c r="E147" s="664">
        <v>41317</v>
      </c>
      <c r="F147" s="664">
        <v>46174</v>
      </c>
      <c r="G147" s="665">
        <v>43519</v>
      </c>
      <c r="H147" s="665">
        <v>44615</v>
      </c>
      <c r="I147" s="664">
        <v>669</v>
      </c>
      <c r="J147" s="666">
        <v>8000000</v>
      </c>
      <c r="K147" s="666">
        <v>2234666</v>
      </c>
      <c r="L147" s="666">
        <v>0</v>
      </c>
      <c r="M147" s="664" t="s">
        <v>495</v>
      </c>
      <c r="N147" s="666">
        <v>8000000</v>
      </c>
      <c r="O147" s="666">
        <v>2234666</v>
      </c>
      <c r="P147" s="666">
        <v>2676000</v>
      </c>
      <c r="Q147" s="664">
        <v>1</v>
      </c>
      <c r="R147" s="664" t="s">
        <v>496</v>
      </c>
      <c r="S147" s="664">
        <v>100</v>
      </c>
      <c r="T147" s="666">
        <v>8000000</v>
      </c>
      <c r="U147" s="666">
        <v>2234666</v>
      </c>
      <c r="V147" s="664">
        <v>100</v>
      </c>
      <c r="W147" s="666">
        <v>6369295</v>
      </c>
      <c r="X147" s="664">
        <v>5</v>
      </c>
      <c r="Y147" s="664">
        <v>1160902010</v>
      </c>
      <c r="Z147" s="664">
        <v>2023</v>
      </c>
      <c r="AA147" s="664">
        <v>12</v>
      </c>
      <c r="AB147" s="664">
        <v>5026003002</v>
      </c>
      <c r="AC147" s="664">
        <v>1160903005</v>
      </c>
      <c r="AD147" s="664">
        <v>0</v>
      </c>
      <c r="AE147" s="664">
        <v>0</v>
      </c>
      <c r="AF147" s="664">
        <v>0</v>
      </c>
      <c r="AG147" s="664">
        <v>1160605001</v>
      </c>
      <c r="AH147" s="664">
        <v>669</v>
      </c>
      <c r="AI147" s="664" t="s">
        <v>498</v>
      </c>
      <c r="AJ147" s="667">
        <v>0.1</v>
      </c>
      <c r="AK147" s="668">
        <f t="shared" si="17"/>
        <v>800000</v>
      </c>
      <c r="AL147" s="668">
        <f t="shared" si="18"/>
        <v>800000</v>
      </c>
      <c r="AM147" s="668">
        <f t="shared" si="18"/>
        <v>800000</v>
      </c>
      <c r="AN147" s="668"/>
      <c r="AO147" s="668"/>
      <c r="AP147" s="668">
        <f t="shared" si="19"/>
        <v>111733.3</v>
      </c>
      <c r="AQ147" s="668">
        <f t="shared" si="20"/>
        <v>111733.3</v>
      </c>
      <c r="AR147" s="668">
        <f t="shared" si="20"/>
        <v>111733.3</v>
      </c>
      <c r="AS147" s="668"/>
      <c r="AT147" s="668"/>
      <c r="AV147" s="670">
        <f t="shared" si="21"/>
        <v>5600000</v>
      </c>
      <c r="AW147" s="670">
        <f t="shared" si="22"/>
        <v>1899466.1</v>
      </c>
      <c r="AX147" s="671">
        <f t="shared" si="16"/>
        <v>0</v>
      </c>
    </row>
    <row r="148" spans="1:50">
      <c r="A148" s="664" t="s">
        <v>494</v>
      </c>
      <c r="B148" s="664"/>
      <c r="C148" s="664"/>
      <c r="D148" s="664">
        <v>1160505004</v>
      </c>
      <c r="E148" s="664">
        <v>0</v>
      </c>
      <c r="F148" s="664">
        <v>44830</v>
      </c>
      <c r="G148" s="665">
        <v>43519</v>
      </c>
      <c r="H148" s="665">
        <v>44615</v>
      </c>
      <c r="I148" s="664">
        <v>669</v>
      </c>
      <c r="J148" s="666">
        <v>0</v>
      </c>
      <c r="K148" s="666">
        <v>1906498</v>
      </c>
      <c r="L148" s="666">
        <v>0</v>
      </c>
      <c r="M148" s="664" t="s">
        <v>495</v>
      </c>
      <c r="N148" s="666">
        <v>0</v>
      </c>
      <c r="O148" s="666">
        <v>1906498</v>
      </c>
      <c r="P148" s="666">
        <v>0</v>
      </c>
      <c r="Q148" s="664">
        <v>1</v>
      </c>
      <c r="R148" s="664" t="s">
        <v>496</v>
      </c>
      <c r="S148" s="664">
        <v>100</v>
      </c>
      <c r="T148" s="666">
        <v>0</v>
      </c>
      <c r="U148" s="666">
        <v>1906498</v>
      </c>
      <c r="V148" s="664">
        <v>100</v>
      </c>
      <c r="W148" s="666">
        <v>6369295</v>
      </c>
      <c r="X148" s="664">
        <v>5</v>
      </c>
      <c r="Y148" s="664">
        <v>1160902010</v>
      </c>
      <c r="Z148" s="664">
        <v>2023</v>
      </c>
      <c r="AA148" s="664">
        <v>12</v>
      </c>
      <c r="AB148" s="664">
        <v>5026003002</v>
      </c>
      <c r="AC148" s="664">
        <v>1160903005</v>
      </c>
      <c r="AD148" s="664">
        <v>0</v>
      </c>
      <c r="AE148" s="664">
        <v>0</v>
      </c>
      <c r="AF148" s="664">
        <v>0</v>
      </c>
      <c r="AG148" s="664">
        <v>1160605001</v>
      </c>
      <c r="AH148" s="664">
        <v>669</v>
      </c>
      <c r="AI148" s="664" t="s">
        <v>498</v>
      </c>
      <c r="AJ148" s="667">
        <v>0.1</v>
      </c>
      <c r="AK148" s="668">
        <f t="shared" si="17"/>
        <v>0</v>
      </c>
      <c r="AL148" s="668">
        <f t="shared" si="18"/>
        <v>0</v>
      </c>
      <c r="AM148" s="668">
        <f t="shared" si="18"/>
        <v>0</v>
      </c>
      <c r="AN148" s="668"/>
      <c r="AO148" s="668"/>
      <c r="AP148" s="668">
        <f t="shared" si="19"/>
        <v>95324.900000000009</v>
      </c>
      <c r="AQ148" s="668">
        <f t="shared" si="20"/>
        <v>95324.900000000009</v>
      </c>
      <c r="AR148" s="668">
        <f t="shared" si="20"/>
        <v>95324.900000000009</v>
      </c>
      <c r="AS148" s="668"/>
      <c r="AT148" s="668"/>
      <c r="AV148" s="670">
        <f t="shared" si="21"/>
        <v>0</v>
      </c>
      <c r="AW148" s="670">
        <f t="shared" si="22"/>
        <v>1620523.3000000003</v>
      </c>
      <c r="AX148" s="671">
        <f t="shared" si="16"/>
        <v>0</v>
      </c>
    </row>
    <row r="149" spans="1:50">
      <c r="A149" s="664" t="s">
        <v>494</v>
      </c>
      <c r="B149" s="664"/>
      <c r="C149" s="664"/>
      <c r="D149" s="664">
        <v>1160505001</v>
      </c>
      <c r="E149" s="664">
        <v>0</v>
      </c>
      <c r="F149" s="664">
        <v>44542</v>
      </c>
      <c r="G149" s="665">
        <v>43241</v>
      </c>
      <c r="H149" s="665">
        <v>44337</v>
      </c>
      <c r="I149" s="664">
        <v>941</v>
      </c>
      <c r="J149" s="666">
        <v>1000000</v>
      </c>
      <c r="K149" s="666">
        <v>540000</v>
      </c>
      <c r="L149" s="666">
        <v>0</v>
      </c>
      <c r="M149" s="664" t="s">
        <v>495</v>
      </c>
      <c r="N149" s="666">
        <v>1000000</v>
      </c>
      <c r="O149" s="666">
        <v>540000</v>
      </c>
      <c r="P149" s="666">
        <v>470500</v>
      </c>
      <c r="Q149" s="664">
        <v>1</v>
      </c>
      <c r="R149" s="664" t="s">
        <v>496</v>
      </c>
      <c r="S149" s="664">
        <v>100</v>
      </c>
      <c r="T149" s="666">
        <v>1000000</v>
      </c>
      <c r="U149" s="666">
        <v>540000</v>
      </c>
      <c r="V149" s="664">
        <v>100</v>
      </c>
      <c r="W149" s="666">
        <v>17387180</v>
      </c>
      <c r="X149" s="664">
        <v>2</v>
      </c>
      <c r="Y149" s="664">
        <v>1160902010</v>
      </c>
      <c r="Z149" s="664">
        <v>2023</v>
      </c>
      <c r="AA149" s="664">
        <v>12</v>
      </c>
      <c r="AB149" s="664">
        <v>5026003002</v>
      </c>
      <c r="AC149" s="664">
        <v>1160903005</v>
      </c>
      <c r="AD149" s="664">
        <v>0</v>
      </c>
      <c r="AE149" s="664">
        <v>0</v>
      </c>
      <c r="AF149" s="664">
        <v>0</v>
      </c>
      <c r="AG149" s="664">
        <v>1160605001</v>
      </c>
      <c r="AH149" s="664">
        <v>941</v>
      </c>
      <c r="AI149" s="664" t="s">
        <v>499</v>
      </c>
      <c r="AJ149" s="667">
        <v>0.05</v>
      </c>
      <c r="AK149" s="668">
        <f t="shared" si="17"/>
        <v>50000</v>
      </c>
      <c r="AL149" s="668">
        <f t="shared" si="18"/>
        <v>50000</v>
      </c>
      <c r="AM149" s="668">
        <f t="shared" si="18"/>
        <v>50000</v>
      </c>
      <c r="AN149" s="668"/>
      <c r="AO149" s="668"/>
      <c r="AP149" s="668">
        <f t="shared" si="19"/>
        <v>13500</v>
      </c>
      <c r="AQ149" s="668">
        <f t="shared" si="20"/>
        <v>13500</v>
      </c>
      <c r="AR149" s="668">
        <f t="shared" si="20"/>
        <v>13500</v>
      </c>
      <c r="AS149" s="668"/>
      <c r="AT149" s="668"/>
      <c r="AV149" s="670">
        <f t="shared" si="21"/>
        <v>850000</v>
      </c>
      <c r="AW149" s="670">
        <f t="shared" si="22"/>
        <v>499500</v>
      </c>
      <c r="AX149" s="671">
        <f t="shared" si="16"/>
        <v>0</v>
      </c>
    </row>
    <row r="150" spans="1:50">
      <c r="A150" s="664" t="s">
        <v>494</v>
      </c>
      <c r="B150" s="664"/>
      <c r="C150" s="664"/>
      <c r="D150" s="664">
        <v>1160505001</v>
      </c>
      <c r="E150" s="664">
        <v>0</v>
      </c>
      <c r="F150" s="664">
        <v>44543</v>
      </c>
      <c r="G150" s="665">
        <v>43241</v>
      </c>
      <c r="H150" s="665">
        <v>44337</v>
      </c>
      <c r="I150" s="664">
        <v>941</v>
      </c>
      <c r="J150" s="666">
        <v>15000000</v>
      </c>
      <c r="K150" s="666">
        <v>8100000</v>
      </c>
      <c r="L150" s="666">
        <v>0</v>
      </c>
      <c r="M150" s="664" t="s">
        <v>495</v>
      </c>
      <c r="N150" s="666">
        <v>15000000</v>
      </c>
      <c r="O150" s="666">
        <v>8100000</v>
      </c>
      <c r="P150" s="666">
        <v>7057500</v>
      </c>
      <c r="Q150" s="664">
        <v>1</v>
      </c>
      <c r="R150" s="664" t="s">
        <v>496</v>
      </c>
      <c r="S150" s="664">
        <v>100</v>
      </c>
      <c r="T150" s="666">
        <v>15000000</v>
      </c>
      <c r="U150" s="666">
        <v>8100000</v>
      </c>
      <c r="V150" s="664">
        <v>100</v>
      </c>
      <c r="W150" s="666">
        <v>17387180</v>
      </c>
      <c r="X150" s="664">
        <v>14</v>
      </c>
      <c r="Y150" s="664">
        <v>1160902010</v>
      </c>
      <c r="Z150" s="664">
        <v>2023</v>
      </c>
      <c r="AA150" s="664">
        <v>12</v>
      </c>
      <c r="AB150" s="664">
        <v>5026003002</v>
      </c>
      <c r="AC150" s="664">
        <v>1160903005</v>
      </c>
      <c r="AD150" s="664">
        <v>0</v>
      </c>
      <c r="AE150" s="664">
        <v>0</v>
      </c>
      <c r="AF150" s="664">
        <v>0</v>
      </c>
      <c r="AG150" s="664">
        <v>1160605001</v>
      </c>
      <c r="AH150" s="664">
        <v>941</v>
      </c>
      <c r="AI150" s="664" t="s">
        <v>499</v>
      </c>
      <c r="AJ150" s="667">
        <v>0.05</v>
      </c>
      <c r="AK150" s="668">
        <f t="shared" si="17"/>
        <v>750000</v>
      </c>
      <c r="AL150" s="668">
        <f t="shared" si="18"/>
        <v>750000</v>
      </c>
      <c r="AM150" s="668">
        <f t="shared" si="18"/>
        <v>750000</v>
      </c>
      <c r="AN150" s="668"/>
      <c r="AO150" s="668"/>
      <c r="AP150" s="668">
        <f t="shared" si="19"/>
        <v>202500</v>
      </c>
      <c r="AQ150" s="668">
        <f t="shared" si="20"/>
        <v>202500</v>
      </c>
      <c r="AR150" s="668">
        <f t="shared" si="20"/>
        <v>202500</v>
      </c>
      <c r="AS150" s="668"/>
      <c r="AT150" s="668"/>
      <c r="AV150" s="670">
        <f t="shared" si="21"/>
        <v>12750000</v>
      </c>
      <c r="AW150" s="670">
        <f t="shared" si="22"/>
        <v>7492500</v>
      </c>
      <c r="AX150" s="671">
        <f t="shared" si="16"/>
        <v>0</v>
      </c>
    </row>
    <row r="151" spans="1:50">
      <c r="A151" s="664" t="s">
        <v>494</v>
      </c>
      <c r="B151" s="664"/>
      <c r="C151" s="664"/>
      <c r="D151" s="664">
        <v>1160505001</v>
      </c>
      <c r="E151" s="664">
        <v>0</v>
      </c>
      <c r="F151" s="664">
        <v>45723</v>
      </c>
      <c r="G151" s="665">
        <v>43482</v>
      </c>
      <c r="H151" s="665">
        <v>43847</v>
      </c>
      <c r="I151" s="664">
        <v>1425</v>
      </c>
      <c r="J151" s="666">
        <v>17019198</v>
      </c>
      <c r="K151" s="666">
        <v>0</v>
      </c>
      <c r="L151" s="666">
        <v>0</v>
      </c>
      <c r="M151" s="664" t="s">
        <v>495</v>
      </c>
      <c r="N151" s="666">
        <v>17019198</v>
      </c>
      <c r="O151" s="666">
        <v>0</v>
      </c>
      <c r="P151" s="666">
        <v>12126179</v>
      </c>
      <c r="Q151" s="664">
        <v>1</v>
      </c>
      <c r="R151" s="664" t="s">
        <v>496</v>
      </c>
      <c r="S151" s="664">
        <v>100</v>
      </c>
      <c r="T151" s="666">
        <v>17019198</v>
      </c>
      <c r="U151" s="666">
        <v>0</v>
      </c>
      <c r="V151" s="664">
        <v>100</v>
      </c>
      <c r="W151" s="666">
        <v>12832904</v>
      </c>
      <c r="X151" s="664">
        <v>2</v>
      </c>
      <c r="Y151" s="664">
        <v>1160902010</v>
      </c>
      <c r="Z151" s="664">
        <v>2023</v>
      </c>
      <c r="AA151" s="664">
        <v>12</v>
      </c>
      <c r="AB151" s="664">
        <v>5026003002</v>
      </c>
      <c r="AC151" s="664">
        <v>1160903005</v>
      </c>
      <c r="AD151" s="664">
        <v>0</v>
      </c>
      <c r="AE151" s="664">
        <v>0</v>
      </c>
      <c r="AF151" s="664">
        <v>0</v>
      </c>
      <c r="AG151" s="664">
        <v>1160605001</v>
      </c>
      <c r="AH151" s="664">
        <v>1425</v>
      </c>
      <c r="AI151" s="664" t="s">
        <v>497</v>
      </c>
      <c r="AJ151" s="667">
        <v>0.01</v>
      </c>
      <c r="AK151" s="668">
        <f t="shared" si="17"/>
        <v>170191.98</v>
      </c>
      <c r="AL151" s="668">
        <f t="shared" si="18"/>
        <v>170191.98</v>
      </c>
      <c r="AM151" s="668">
        <f t="shared" si="18"/>
        <v>170191.98</v>
      </c>
      <c r="AN151" s="668"/>
      <c r="AO151" s="668"/>
      <c r="AP151" s="668">
        <f t="shared" si="19"/>
        <v>0</v>
      </c>
      <c r="AQ151" s="668">
        <f t="shared" si="20"/>
        <v>0</v>
      </c>
      <c r="AR151" s="668">
        <f t="shared" si="20"/>
        <v>0</v>
      </c>
      <c r="AS151" s="668"/>
      <c r="AT151" s="668"/>
      <c r="AV151" s="670">
        <f t="shared" si="21"/>
        <v>16508622.059999999</v>
      </c>
      <c r="AW151" s="670">
        <f t="shared" si="22"/>
        <v>0</v>
      </c>
      <c r="AX151" s="671">
        <f t="shared" si="16"/>
        <v>0</v>
      </c>
    </row>
    <row r="152" spans="1:50">
      <c r="A152" s="664" t="s">
        <v>494</v>
      </c>
      <c r="B152" s="664"/>
      <c r="C152" s="664"/>
      <c r="D152" s="664">
        <v>1160505002</v>
      </c>
      <c r="E152" s="664">
        <v>0</v>
      </c>
      <c r="F152" s="664">
        <v>41693</v>
      </c>
      <c r="G152" s="665">
        <v>42807</v>
      </c>
      <c r="H152" s="665">
        <v>43172</v>
      </c>
      <c r="I152" s="664">
        <v>2089</v>
      </c>
      <c r="J152" s="666">
        <v>1254161</v>
      </c>
      <c r="K152" s="666">
        <v>0</v>
      </c>
      <c r="L152" s="666">
        <v>0</v>
      </c>
      <c r="M152" s="664" t="s">
        <v>495</v>
      </c>
      <c r="N152" s="666">
        <v>1254161</v>
      </c>
      <c r="O152" s="666">
        <v>0</v>
      </c>
      <c r="P152" s="666">
        <v>1309971</v>
      </c>
      <c r="Q152" s="664">
        <v>1</v>
      </c>
      <c r="R152" s="664" t="s">
        <v>496</v>
      </c>
      <c r="S152" s="664">
        <v>100</v>
      </c>
      <c r="T152" s="666">
        <v>1254161</v>
      </c>
      <c r="U152" s="666">
        <v>0</v>
      </c>
      <c r="V152" s="664">
        <v>100</v>
      </c>
      <c r="W152" s="666">
        <v>3607712</v>
      </c>
      <c r="X152" s="664">
        <v>6</v>
      </c>
      <c r="Y152" s="664">
        <v>1160902010</v>
      </c>
      <c r="Z152" s="664">
        <v>2023</v>
      </c>
      <c r="AA152" s="664">
        <v>12</v>
      </c>
      <c r="AB152" s="664">
        <v>5026003002</v>
      </c>
      <c r="AC152" s="664">
        <v>1160903005</v>
      </c>
      <c r="AD152" s="664">
        <v>0</v>
      </c>
      <c r="AE152" s="664">
        <v>0</v>
      </c>
      <c r="AF152" s="664">
        <v>0</v>
      </c>
      <c r="AG152" s="664">
        <v>1160605001</v>
      </c>
      <c r="AH152" s="664">
        <v>2089</v>
      </c>
      <c r="AI152" s="664" t="s">
        <v>497</v>
      </c>
      <c r="AJ152" s="667">
        <v>0.01</v>
      </c>
      <c r="AK152" s="668">
        <f t="shared" si="17"/>
        <v>12541.61</v>
      </c>
      <c r="AL152" s="668">
        <f t="shared" si="18"/>
        <v>12541.61</v>
      </c>
      <c r="AM152" s="668">
        <f t="shared" si="18"/>
        <v>12541.61</v>
      </c>
      <c r="AN152" s="668"/>
      <c r="AO152" s="668"/>
      <c r="AP152" s="668">
        <f t="shared" si="19"/>
        <v>0</v>
      </c>
      <c r="AQ152" s="668">
        <f t="shared" si="20"/>
        <v>0</v>
      </c>
      <c r="AR152" s="668">
        <f t="shared" si="20"/>
        <v>0</v>
      </c>
      <c r="AS152" s="668"/>
      <c r="AT152" s="668"/>
      <c r="AV152" s="670">
        <f t="shared" si="21"/>
        <v>1216536.1699999997</v>
      </c>
      <c r="AW152" s="670">
        <f t="shared" si="22"/>
        <v>0</v>
      </c>
      <c r="AX152" s="671">
        <f t="shared" si="16"/>
        <v>0</v>
      </c>
    </row>
    <row r="153" spans="1:50">
      <c r="A153" s="664" t="s">
        <v>494</v>
      </c>
      <c r="B153" s="664"/>
      <c r="C153" s="664"/>
      <c r="D153" s="664">
        <v>1160505001</v>
      </c>
      <c r="E153" s="664">
        <v>0</v>
      </c>
      <c r="F153" s="664">
        <v>41667</v>
      </c>
      <c r="G153" s="665">
        <v>42806</v>
      </c>
      <c r="H153" s="665">
        <v>43536</v>
      </c>
      <c r="I153" s="664">
        <v>1730</v>
      </c>
      <c r="J153" s="666">
        <v>8000000</v>
      </c>
      <c r="K153" s="666">
        <v>1600008</v>
      </c>
      <c r="L153" s="666">
        <v>0</v>
      </c>
      <c r="M153" s="664" t="s">
        <v>495</v>
      </c>
      <c r="N153" s="666">
        <v>8000000</v>
      </c>
      <c r="O153" s="666">
        <v>1600008</v>
      </c>
      <c r="P153" s="666">
        <v>6920000</v>
      </c>
      <c r="Q153" s="664">
        <v>1</v>
      </c>
      <c r="R153" s="664" t="s">
        <v>496</v>
      </c>
      <c r="S153" s="664">
        <v>100</v>
      </c>
      <c r="T153" s="666">
        <v>8000000</v>
      </c>
      <c r="U153" s="666">
        <v>1600008</v>
      </c>
      <c r="V153" s="664">
        <v>100</v>
      </c>
      <c r="W153" s="666">
        <v>3607712</v>
      </c>
      <c r="X153" s="664">
        <v>14</v>
      </c>
      <c r="Y153" s="664">
        <v>1160902010</v>
      </c>
      <c r="Z153" s="664">
        <v>2023</v>
      </c>
      <c r="AA153" s="664">
        <v>12</v>
      </c>
      <c r="AB153" s="664">
        <v>5026003002</v>
      </c>
      <c r="AC153" s="664">
        <v>1160903005</v>
      </c>
      <c r="AD153" s="664">
        <v>0</v>
      </c>
      <c r="AE153" s="664">
        <v>0</v>
      </c>
      <c r="AF153" s="664">
        <v>0</v>
      </c>
      <c r="AG153" s="664">
        <v>1160605001</v>
      </c>
      <c r="AH153" s="664">
        <v>2089</v>
      </c>
      <c r="AI153" s="664" t="s">
        <v>497</v>
      </c>
      <c r="AJ153" s="667">
        <v>0.01</v>
      </c>
      <c r="AK153" s="668">
        <f t="shared" si="17"/>
        <v>80000</v>
      </c>
      <c r="AL153" s="668">
        <f t="shared" si="18"/>
        <v>80000</v>
      </c>
      <c r="AM153" s="668">
        <f t="shared" si="18"/>
        <v>80000</v>
      </c>
      <c r="AN153" s="668"/>
      <c r="AO153" s="668"/>
      <c r="AP153" s="668">
        <f t="shared" si="19"/>
        <v>8000.04</v>
      </c>
      <c r="AQ153" s="668">
        <f t="shared" si="20"/>
        <v>8000.04</v>
      </c>
      <c r="AR153" s="668">
        <f t="shared" si="20"/>
        <v>8000.04</v>
      </c>
      <c r="AS153" s="668"/>
      <c r="AT153" s="668"/>
      <c r="AV153" s="670">
        <f t="shared" si="21"/>
        <v>7760000</v>
      </c>
      <c r="AW153" s="670">
        <f t="shared" si="22"/>
        <v>1576007.88</v>
      </c>
      <c r="AX153" s="671">
        <f t="shared" si="16"/>
        <v>0</v>
      </c>
    </row>
    <row r="154" spans="1:50">
      <c r="A154" s="664" t="s">
        <v>494</v>
      </c>
      <c r="B154" s="664"/>
      <c r="C154" s="664"/>
      <c r="D154" s="664">
        <v>1160505001</v>
      </c>
      <c r="E154" s="664">
        <v>0</v>
      </c>
      <c r="F154" s="664">
        <v>46098</v>
      </c>
      <c r="G154" s="665">
        <v>43513</v>
      </c>
      <c r="H154" s="665">
        <v>43878</v>
      </c>
      <c r="I154" s="664">
        <v>1395</v>
      </c>
      <c r="J154" s="666">
        <v>20000000</v>
      </c>
      <c r="K154" s="666">
        <v>0</v>
      </c>
      <c r="L154" s="666">
        <v>0</v>
      </c>
      <c r="M154" s="664" t="s">
        <v>495</v>
      </c>
      <c r="N154" s="666">
        <v>20000000</v>
      </c>
      <c r="O154" s="666">
        <v>0</v>
      </c>
      <c r="P154" s="666">
        <v>13950000</v>
      </c>
      <c r="Q154" s="664">
        <v>1</v>
      </c>
      <c r="R154" s="664" t="s">
        <v>496</v>
      </c>
      <c r="S154" s="664">
        <v>100</v>
      </c>
      <c r="T154" s="666">
        <v>20000000</v>
      </c>
      <c r="U154" s="666">
        <v>0</v>
      </c>
      <c r="V154" s="664">
        <v>100</v>
      </c>
      <c r="W154" s="666">
        <v>37376395</v>
      </c>
      <c r="X154" s="664">
        <v>2</v>
      </c>
      <c r="Y154" s="664">
        <v>1160902010</v>
      </c>
      <c r="Z154" s="664">
        <v>2023</v>
      </c>
      <c r="AA154" s="664">
        <v>12</v>
      </c>
      <c r="AB154" s="664">
        <v>5026003002</v>
      </c>
      <c r="AC154" s="664">
        <v>1160903005</v>
      </c>
      <c r="AD154" s="664">
        <v>0</v>
      </c>
      <c r="AE154" s="664">
        <v>0</v>
      </c>
      <c r="AF154" s="664">
        <v>0</v>
      </c>
      <c r="AG154" s="664">
        <v>1160605001</v>
      </c>
      <c r="AH154" s="664">
        <v>1395</v>
      </c>
      <c r="AI154" s="664" t="s">
        <v>497</v>
      </c>
      <c r="AJ154" s="667">
        <v>0.01</v>
      </c>
      <c r="AK154" s="668">
        <f t="shared" si="17"/>
        <v>200000</v>
      </c>
      <c r="AL154" s="668">
        <f t="shared" si="18"/>
        <v>200000</v>
      </c>
      <c r="AM154" s="668">
        <f t="shared" si="18"/>
        <v>200000</v>
      </c>
      <c r="AN154" s="668"/>
      <c r="AO154" s="668"/>
      <c r="AP154" s="668">
        <f t="shared" si="19"/>
        <v>0</v>
      </c>
      <c r="AQ154" s="668">
        <f t="shared" si="20"/>
        <v>0</v>
      </c>
      <c r="AR154" s="668">
        <f t="shared" si="20"/>
        <v>0</v>
      </c>
      <c r="AS154" s="668"/>
      <c r="AT154" s="668"/>
      <c r="AV154" s="670">
        <f t="shared" si="21"/>
        <v>19400000</v>
      </c>
      <c r="AW154" s="670">
        <f t="shared" si="22"/>
        <v>0</v>
      </c>
      <c r="AX154" s="671">
        <f t="shared" si="16"/>
        <v>0</v>
      </c>
    </row>
    <row r="155" spans="1:50">
      <c r="A155" s="664" t="s">
        <v>494</v>
      </c>
      <c r="B155" s="664"/>
      <c r="C155" s="664"/>
      <c r="D155" s="664">
        <v>1160505001</v>
      </c>
      <c r="E155" s="664">
        <v>0</v>
      </c>
      <c r="F155" s="664">
        <v>47249</v>
      </c>
      <c r="G155" s="665">
        <v>43695</v>
      </c>
      <c r="H155" s="665">
        <v>43817</v>
      </c>
      <c r="I155" s="664">
        <v>1454</v>
      </c>
      <c r="J155" s="666">
        <v>917400</v>
      </c>
      <c r="K155" s="666">
        <v>0</v>
      </c>
      <c r="L155" s="666">
        <v>0</v>
      </c>
      <c r="M155" s="664" t="s">
        <v>495</v>
      </c>
      <c r="N155" s="666">
        <v>917400</v>
      </c>
      <c r="O155" s="666">
        <v>0</v>
      </c>
      <c r="P155" s="666">
        <v>666950</v>
      </c>
      <c r="Q155" s="664">
        <v>1</v>
      </c>
      <c r="R155" s="664" t="s">
        <v>496</v>
      </c>
      <c r="S155" s="664">
        <v>100</v>
      </c>
      <c r="T155" s="666">
        <v>917400</v>
      </c>
      <c r="U155" s="666">
        <v>0</v>
      </c>
      <c r="V155" s="664">
        <v>100</v>
      </c>
      <c r="W155" s="666">
        <v>1238274</v>
      </c>
      <c r="X155" s="664">
        <v>2</v>
      </c>
      <c r="Y155" s="664">
        <v>1160902010</v>
      </c>
      <c r="Z155" s="664">
        <v>2023</v>
      </c>
      <c r="AA155" s="664">
        <v>12</v>
      </c>
      <c r="AB155" s="664">
        <v>5026003002</v>
      </c>
      <c r="AC155" s="664">
        <v>1160903005</v>
      </c>
      <c r="AD155" s="664">
        <v>0</v>
      </c>
      <c r="AE155" s="664">
        <v>0</v>
      </c>
      <c r="AF155" s="664">
        <v>0</v>
      </c>
      <c r="AG155" s="664">
        <v>1160605001</v>
      </c>
      <c r="AH155" s="664">
        <v>1454</v>
      </c>
      <c r="AI155" s="664" t="s">
        <v>497</v>
      </c>
      <c r="AJ155" s="667">
        <v>0.01</v>
      </c>
      <c r="AK155" s="668">
        <f t="shared" si="17"/>
        <v>9174</v>
      </c>
      <c r="AL155" s="668">
        <f t="shared" si="18"/>
        <v>9174</v>
      </c>
      <c r="AM155" s="668">
        <f t="shared" si="18"/>
        <v>9174</v>
      </c>
      <c r="AN155" s="668"/>
      <c r="AO155" s="668"/>
      <c r="AP155" s="668">
        <f t="shared" si="19"/>
        <v>0</v>
      </c>
      <c r="AQ155" s="668">
        <f t="shared" si="20"/>
        <v>0</v>
      </c>
      <c r="AR155" s="668">
        <f t="shared" si="20"/>
        <v>0</v>
      </c>
      <c r="AS155" s="668"/>
      <c r="AT155" s="668"/>
      <c r="AV155" s="670">
        <f t="shared" si="21"/>
        <v>889878</v>
      </c>
      <c r="AW155" s="670">
        <f t="shared" si="22"/>
        <v>0</v>
      </c>
      <c r="AX155" s="671">
        <f t="shared" si="16"/>
        <v>0</v>
      </c>
    </row>
    <row r="156" spans="1:50">
      <c r="A156" s="664" t="s">
        <v>494</v>
      </c>
      <c r="B156" s="664"/>
      <c r="C156" s="664"/>
      <c r="D156" s="664">
        <v>1160505002</v>
      </c>
      <c r="E156" s="664">
        <v>0</v>
      </c>
      <c r="F156" s="664">
        <v>46273</v>
      </c>
      <c r="G156" s="665">
        <v>43527</v>
      </c>
      <c r="H156" s="665">
        <v>43893</v>
      </c>
      <c r="I156" s="664">
        <v>1379</v>
      </c>
      <c r="J156" s="666">
        <v>4450300</v>
      </c>
      <c r="K156" s="666">
        <v>801059</v>
      </c>
      <c r="L156" s="666">
        <v>0</v>
      </c>
      <c r="M156" s="664" t="s">
        <v>495</v>
      </c>
      <c r="N156" s="666">
        <v>4450300</v>
      </c>
      <c r="O156" s="666">
        <v>801059</v>
      </c>
      <c r="P156" s="666">
        <v>3068482</v>
      </c>
      <c r="Q156" s="664">
        <v>1</v>
      </c>
      <c r="R156" s="664" t="s">
        <v>496</v>
      </c>
      <c r="S156" s="664">
        <v>100</v>
      </c>
      <c r="T156" s="666">
        <v>4450300</v>
      </c>
      <c r="U156" s="666">
        <v>801059</v>
      </c>
      <c r="V156" s="664">
        <v>100</v>
      </c>
      <c r="W156" s="666">
        <v>1238274</v>
      </c>
      <c r="X156" s="664">
        <v>6</v>
      </c>
      <c r="Y156" s="664">
        <v>1160902010</v>
      </c>
      <c r="Z156" s="664">
        <v>2023</v>
      </c>
      <c r="AA156" s="664">
        <v>12</v>
      </c>
      <c r="AB156" s="664">
        <v>5026003002</v>
      </c>
      <c r="AC156" s="664">
        <v>1160903005</v>
      </c>
      <c r="AD156" s="664">
        <v>0</v>
      </c>
      <c r="AE156" s="664">
        <v>0</v>
      </c>
      <c r="AF156" s="664">
        <v>0</v>
      </c>
      <c r="AG156" s="664">
        <v>1160605001</v>
      </c>
      <c r="AH156" s="664">
        <v>1454</v>
      </c>
      <c r="AI156" s="664" t="s">
        <v>497</v>
      </c>
      <c r="AJ156" s="667">
        <v>0.01</v>
      </c>
      <c r="AK156" s="668">
        <f t="shared" si="17"/>
        <v>44503</v>
      </c>
      <c r="AL156" s="668">
        <f t="shared" si="18"/>
        <v>44503</v>
      </c>
      <c r="AM156" s="668">
        <f t="shared" si="18"/>
        <v>44503</v>
      </c>
      <c r="AN156" s="668"/>
      <c r="AO156" s="668"/>
      <c r="AP156" s="668">
        <f t="shared" si="19"/>
        <v>4005.2950000000001</v>
      </c>
      <c r="AQ156" s="668">
        <f t="shared" si="20"/>
        <v>4005.2950000000001</v>
      </c>
      <c r="AR156" s="668">
        <f t="shared" si="20"/>
        <v>4005.2950000000001</v>
      </c>
      <c r="AS156" s="668"/>
      <c r="AT156" s="668"/>
      <c r="AV156" s="670">
        <f t="shared" si="21"/>
        <v>4316791</v>
      </c>
      <c r="AW156" s="670">
        <f t="shared" si="22"/>
        <v>789043.11499999987</v>
      </c>
      <c r="AX156" s="671">
        <f t="shared" si="16"/>
        <v>0</v>
      </c>
    </row>
    <row r="157" spans="1:50">
      <c r="A157" s="664" t="s">
        <v>494</v>
      </c>
      <c r="B157" s="664"/>
      <c r="C157" s="664"/>
      <c r="D157" s="664">
        <v>1160505001</v>
      </c>
      <c r="E157" s="664">
        <v>0</v>
      </c>
      <c r="F157" s="664">
        <v>42597</v>
      </c>
      <c r="G157" s="665">
        <v>42932</v>
      </c>
      <c r="H157" s="665">
        <v>44758</v>
      </c>
      <c r="I157" s="664">
        <v>526</v>
      </c>
      <c r="J157" s="666">
        <v>3000000</v>
      </c>
      <c r="K157" s="666">
        <v>247000</v>
      </c>
      <c r="L157" s="666">
        <v>0</v>
      </c>
      <c r="M157" s="664" t="s">
        <v>495</v>
      </c>
      <c r="N157" s="666">
        <v>3000000</v>
      </c>
      <c r="O157" s="666">
        <v>247000</v>
      </c>
      <c r="P157" s="666">
        <v>789000</v>
      </c>
      <c r="Q157" s="664">
        <v>1</v>
      </c>
      <c r="R157" s="664" t="s">
        <v>496</v>
      </c>
      <c r="S157" s="664">
        <v>100</v>
      </c>
      <c r="T157" s="666">
        <v>3000000</v>
      </c>
      <c r="U157" s="666">
        <v>247000</v>
      </c>
      <c r="V157" s="664">
        <v>100</v>
      </c>
      <c r="W157" s="666">
        <v>7394732</v>
      </c>
      <c r="X157" s="664">
        <v>14</v>
      </c>
      <c r="Y157" s="664">
        <v>1160902010</v>
      </c>
      <c r="Z157" s="664">
        <v>2023</v>
      </c>
      <c r="AA157" s="664">
        <v>12</v>
      </c>
      <c r="AB157" s="664">
        <v>5026003002</v>
      </c>
      <c r="AC157" s="664">
        <v>1160903005</v>
      </c>
      <c r="AD157" s="664">
        <v>0</v>
      </c>
      <c r="AE157" s="664">
        <v>0</v>
      </c>
      <c r="AF157" s="664">
        <v>0</v>
      </c>
      <c r="AG157" s="664">
        <v>1160605001</v>
      </c>
      <c r="AH157" s="664">
        <v>619</v>
      </c>
      <c r="AI157" s="664" t="s">
        <v>498</v>
      </c>
      <c r="AJ157" s="667">
        <v>0.1</v>
      </c>
      <c r="AK157" s="668">
        <f t="shared" si="17"/>
        <v>300000</v>
      </c>
      <c r="AL157" s="668">
        <f t="shared" si="18"/>
        <v>300000</v>
      </c>
      <c r="AM157" s="668">
        <f t="shared" si="18"/>
        <v>300000</v>
      </c>
      <c r="AN157" s="668"/>
      <c r="AO157" s="668"/>
      <c r="AP157" s="668">
        <f t="shared" si="19"/>
        <v>12350</v>
      </c>
      <c r="AQ157" s="668">
        <f t="shared" si="20"/>
        <v>12350</v>
      </c>
      <c r="AR157" s="668">
        <f t="shared" si="20"/>
        <v>12350</v>
      </c>
      <c r="AS157" s="668"/>
      <c r="AT157" s="668"/>
      <c r="AV157" s="670">
        <f t="shared" si="21"/>
        <v>2100000</v>
      </c>
      <c r="AW157" s="670">
        <f t="shared" si="22"/>
        <v>209950</v>
      </c>
      <c r="AX157" s="671">
        <f t="shared" si="16"/>
        <v>0</v>
      </c>
    </row>
    <row r="158" spans="1:50">
      <c r="A158" s="664" t="s">
        <v>494</v>
      </c>
      <c r="B158" s="664"/>
      <c r="C158" s="664"/>
      <c r="D158" s="664">
        <v>1160505004</v>
      </c>
      <c r="E158" s="664">
        <v>0</v>
      </c>
      <c r="F158" s="664">
        <v>43900</v>
      </c>
      <c r="G158" s="665">
        <v>43568</v>
      </c>
      <c r="H158" s="665">
        <v>44664</v>
      </c>
      <c r="I158" s="664">
        <v>619</v>
      </c>
      <c r="J158" s="666">
        <v>0</v>
      </c>
      <c r="K158" s="666">
        <v>554419</v>
      </c>
      <c r="L158" s="666">
        <v>0</v>
      </c>
      <c r="M158" s="664" t="s">
        <v>495</v>
      </c>
      <c r="N158" s="666">
        <v>0</v>
      </c>
      <c r="O158" s="666">
        <v>554419</v>
      </c>
      <c r="P158" s="666">
        <v>0</v>
      </c>
      <c r="Q158" s="664">
        <v>1</v>
      </c>
      <c r="R158" s="664" t="s">
        <v>496</v>
      </c>
      <c r="S158" s="664">
        <v>100</v>
      </c>
      <c r="T158" s="666">
        <v>0</v>
      </c>
      <c r="U158" s="666">
        <v>554419</v>
      </c>
      <c r="V158" s="664">
        <v>100</v>
      </c>
      <c r="W158" s="666">
        <v>7394732</v>
      </c>
      <c r="X158" s="664">
        <v>5</v>
      </c>
      <c r="Y158" s="664">
        <v>1160902010</v>
      </c>
      <c r="Z158" s="664">
        <v>2023</v>
      </c>
      <c r="AA158" s="664">
        <v>12</v>
      </c>
      <c r="AB158" s="664">
        <v>5026003002</v>
      </c>
      <c r="AC158" s="664">
        <v>1160903005</v>
      </c>
      <c r="AD158" s="664">
        <v>0</v>
      </c>
      <c r="AE158" s="664">
        <v>0</v>
      </c>
      <c r="AF158" s="664">
        <v>0</v>
      </c>
      <c r="AG158" s="664">
        <v>1160605001</v>
      </c>
      <c r="AH158" s="664">
        <v>619</v>
      </c>
      <c r="AI158" s="664" t="s">
        <v>498</v>
      </c>
      <c r="AJ158" s="667">
        <v>0.1</v>
      </c>
      <c r="AK158" s="668">
        <f t="shared" si="17"/>
        <v>0</v>
      </c>
      <c r="AL158" s="668">
        <f t="shared" si="18"/>
        <v>0</v>
      </c>
      <c r="AM158" s="668">
        <f t="shared" si="18"/>
        <v>0</v>
      </c>
      <c r="AN158" s="668"/>
      <c r="AO158" s="668"/>
      <c r="AP158" s="668">
        <f t="shared" si="19"/>
        <v>27720.95</v>
      </c>
      <c r="AQ158" s="668">
        <f t="shared" si="20"/>
        <v>27720.95</v>
      </c>
      <c r="AR158" s="668">
        <f t="shared" si="20"/>
        <v>27720.95</v>
      </c>
      <c r="AS158" s="668"/>
      <c r="AT158" s="668"/>
      <c r="AV158" s="670">
        <f t="shared" si="21"/>
        <v>0</v>
      </c>
      <c r="AW158" s="670">
        <f t="shared" si="22"/>
        <v>471256.15</v>
      </c>
      <c r="AX158" s="671">
        <f t="shared" si="16"/>
        <v>0</v>
      </c>
    </row>
    <row r="159" spans="1:50">
      <c r="A159" s="664" t="s">
        <v>494</v>
      </c>
      <c r="B159" s="664"/>
      <c r="C159" s="664"/>
      <c r="D159" s="664">
        <v>1160505001</v>
      </c>
      <c r="E159" s="664">
        <v>0</v>
      </c>
      <c r="F159" s="664">
        <v>45170</v>
      </c>
      <c r="G159" s="665">
        <v>43324</v>
      </c>
      <c r="H159" s="665">
        <v>43689</v>
      </c>
      <c r="I159" s="664">
        <v>1580</v>
      </c>
      <c r="J159" s="666">
        <v>20000000</v>
      </c>
      <c r="K159" s="666">
        <v>1800000</v>
      </c>
      <c r="L159" s="666">
        <v>0</v>
      </c>
      <c r="M159" s="664" t="s">
        <v>495</v>
      </c>
      <c r="N159" s="666">
        <v>20000000</v>
      </c>
      <c r="O159" s="666">
        <v>1800000</v>
      </c>
      <c r="P159" s="666">
        <v>15800000</v>
      </c>
      <c r="Q159" s="664">
        <v>1</v>
      </c>
      <c r="R159" s="664" t="s">
        <v>496</v>
      </c>
      <c r="S159" s="664">
        <v>100</v>
      </c>
      <c r="T159" s="666">
        <v>20000000</v>
      </c>
      <c r="U159" s="666">
        <v>1800000</v>
      </c>
      <c r="V159" s="664">
        <v>100</v>
      </c>
      <c r="W159" s="666">
        <v>9172613</v>
      </c>
      <c r="X159" s="664">
        <v>2</v>
      </c>
      <c r="Y159" s="664">
        <v>1160902010</v>
      </c>
      <c r="Z159" s="664">
        <v>2023</v>
      </c>
      <c r="AA159" s="664">
        <v>12</v>
      </c>
      <c r="AB159" s="664">
        <v>5026003002</v>
      </c>
      <c r="AC159" s="664">
        <v>1160903005</v>
      </c>
      <c r="AD159" s="664">
        <v>0</v>
      </c>
      <c r="AE159" s="664">
        <v>0</v>
      </c>
      <c r="AF159" s="664">
        <v>0</v>
      </c>
      <c r="AG159" s="664">
        <v>1160605001</v>
      </c>
      <c r="AH159" s="664">
        <v>1580</v>
      </c>
      <c r="AI159" s="664" t="s">
        <v>497</v>
      </c>
      <c r="AJ159" s="667">
        <v>0.01</v>
      </c>
      <c r="AK159" s="668">
        <f t="shared" si="17"/>
        <v>200000</v>
      </c>
      <c r="AL159" s="668">
        <f t="shared" si="18"/>
        <v>200000</v>
      </c>
      <c r="AM159" s="668">
        <f t="shared" si="18"/>
        <v>200000</v>
      </c>
      <c r="AN159" s="668"/>
      <c r="AO159" s="668"/>
      <c r="AP159" s="668">
        <f t="shared" si="19"/>
        <v>9000</v>
      </c>
      <c r="AQ159" s="668">
        <f t="shared" si="20"/>
        <v>9000</v>
      </c>
      <c r="AR159" s="668">
        <f t="shared" si="20"/>
        <v>9000</v>
      </c>
      <c r="AS159" s="668"/>
      <c r="AT159" s="668"/>
      <c r="AV159" s="670">
        <f t="shared" si="21"/>
        <v>19400000</v>
      </c>
      <c r="AW159" s="670">
        <f t="shared" si="22"/>
        <v>1773000</v>
      </c>
      <c r="AX159" s="671">
        <f t="shared" si="16"/>
        <v>0</v>
      </c>
    </row>
    <row r="160" spans="1:50">
      <c r="A160" s="664" t="s">
        <v>494</v>
      </c>
      <c r="B160" s="664"/>
      <c r="C160" s="664"/>
      <c r="D160" s="664">
        <v>1160505001</v>
      </c>
      <c r="E160" s="664">
        <v>0</v>
      </c>
      <c r="F160" s="664">
        <v>45775</v>
      </c>
      <c r="G160" s="665">
        <v>43486</v>
      </c>
      <c r="H160" s="665">
        <v>44217</v>
      </c>
      <c r="I160" s="664">
        <v>1061</v>
      </c>
      <c r="J160" s="666">
        <v>1939417</v>
      </c>
      <c r="K160" s="666">
        <v>0</v>
      </c>
      <c r="L160" s="666">
        <v>0</v>
      </c>
      <c r="M160" s="664" t="s">
        <v>495</v>
      </c>
      <c r="N160" s="666">
        <v>1939417</v>
      </c>
      <c r="O160" s="666">
        <v>0</v>
      </c>
      <c r="P160" s="666">
        <v>1028861</v>
      </c>
      <c r="Q160" s="664">
        <v>1</v>
      </c>
      <c r="R160" s="664" t="s">
        <v>496</v>
      </c>
      <c r="S160" s="664">
        <v>100</v>
      </c>
      <c r="T160" s="666">
        <v>1939417</v>
      </c>
      <c r="U160" s="666">
        <v>0</v>
      </c>
      <c r="V160" s="664">
        <v>100</v>
      </c>
      <c r="W160" s="666">
        <v>2504045</v>
      </c>
      <c r="X160" s="664">
        <v>2</v>
      </c>
      <c r="Y160" s="664">
        <v>1160902010</v>
      </c>
      <c r="Z160" s="664">
        <v>2023</v>
      </c>
      <c r="AA160" s="664">
        <v>12</v>
      </c>
      <c r="AB160" s="664">
        <v>5026003002</v>
      </c>
      <c r="AC160" s="664">
        <v>1160903005</v>
      </c>
      <c r="AD160" s="664">
        <v>0</v>
      </c>
      <c r="AE160" s="664">
        <v>0</v>
      </c>
      <c r="AF160" s="664">
        <v>0</v>
      </c>
      <c r="AG160" s="664">
        <v>1160605001</v>
      </c>
      <c r="AH160" s="664">
        <v>1061</v>
      </c>
      <c r="AI160" s="664" t="s">
        <v>499</v>
      </c>
      <c r="AJ160" s="667">
        <v>0.05</v>
      </c>
      <c r="AK160" s="668">
        <f t="shared" si="17"/>
        <v>96970.85</v>
      </c>
      <c r="AL160" s="668">
        <f t="shared" si="18"/>
        <v>96970.85</v>
      </c>
      <c r="AM160" s="668">
        <f t="shared" si="18"/>
        <v>96970.85</v>
      </c>
      <c r="AN160" s="668"/>
      <c r="AO160" s="668"/>
      <c r="AP160" s="668">
        <f t="shared" si="19"/>
        <v>0</v>
      </c>
      <c r="AQ160" s="668">
        <f t="shared" si="20"/>
        <v>0</v>
      </c>
      <c r="AR160" s="668">
        <f t="shared" si="20"/>
        <v>0</v>
      </c>
      <c r="AS160" s="668"/>
      <c r="AT160" s="668"/>
      <c r="AV160" s="670">
        <f t="shared" si="21"/>
        <v>1648504.4499999997</v>
      </c>
      <c r="AW160" s="670">
        <f t="shared" si="22"/>
        <v>0</v>
      </c>
      <c r="AX160" s="671">
        <f t="shared" si="16"/>
        <v>0</v>
      </c>
    </row>
    <row r="161" spans="1:50">
      <c r="A161" s="664" t="s">
        <v>494</v>
      </c>
      <c r="B161" s="664"/>
      <c r="C161" s="664"/>
      <c r="D161" s="664">
        <v>1160505001</v>
      </c>
      <c r="E161" s="664">
        <v>0</v>
      </c>
      <c r="F161" s="664">
        <v>45731</v>
      </c>
      <c r="G161" s="665">
        <v>43483</v>
      </c>
      <c r="H161" s="665">
        <v>44214</v>
      </c>
      <c r="I161" s="664">
        <v>1064</v>
      </c>
      <c r="J161" s="666">
        <v>8493900</v>
      </c>
      <c r="K161" s="666">
        <v>0</v>
      </c>
      <c r="L161" s="666">
        <v>0</v>
      </c>
      <c r="M161" s="664" t="s">
        <v>495</v>
      </c>
      <c r="N161" s="666">
        <v>8493900</v>
      </c>
      <c r="O161" s="666">
        <v>0</v>
      </c>
      <c r="P161" s="666">
        <v>4518755</v>
      </c>
      <c r="Q161" s="664">
        <v>1</v>
      </c>
      <c r="R161" s="664" t="s">
        <v>496</v>
      </c>
      <c r="S161" s="664">
        <v>100</v>
      </c>
      <c r="T161" s="666">
        <v>8493900</v>
      </c>
      <c r="U161" s="666">
        <v>0</v>
      </c>
      <c r="V161" s="664">
        <v>100</v>
      </c>
      <c r="W161" s="666">
        <v>5778152</v>
      </c>
      <c r="X161" s="664">
        <v>2</v>
      </c>
      <c r="Y161" s="664">
        <v>1160902010</v>
      </c>
      <c r="Z161" s="664">
        <v>2023</v>
      </c>
      <c r="AA161" s="664">
        <v>12</v>
      </c>
      <c r="AB161" s="664">
        <v>5026003002</v>
      </c>
      <c r="AC161" s="664">
        <v>1160903005</v>
      </c>
      <c r="AD161" s="664">
        <v>0</v>
      </c>
      <c r="AE161" s="664">
        <v>0</v>
      </c>
      <c r="AF161" s="664">
        <v>0</v>
      </c>
      <c r="AG161" s="664">
        <v>1160605001</v>
      </c>
      <c r="AH161" s="664">
        <v>1064</v>
      </c>
      <c r="AI161" s="664" t="s">
        <v>499</v>
      </c>
      <c r="AJ161" s="667">
        <v>0.05</v>
      </c>
      <c r="AK161" s="668">
        <f t="shared" si="17"/>
        <v>424695</v>
      </c>
      <c r="AL161" s="668">
        <f t="shared" si="18"/>
        <v>424695</v>
      </c>
      <c r="AM161" s="668">
        <f t="shared" si="18"/>
        <v>424695</v>
      </c>
      <c r="AN161" s="668"/>
      <c r="AO161" s="668"/>
      <c r="AP161" s="668">
        <f t="shared" si="19"/>
        <v>0</v>
      </c>
      <c r="AQ161" s="668">
        <f t="shared" si="20"/>
        <v>0</v>
      </c>
      <c r="AR161" s="668">
        <f t="shared" si="20"/>
        <v>0</v>
      </c>
      <c r="AS161" s="668"/>
      <c r="AT161" s="668"/>
      <c r="AV161" s="670">
        <f t="shared" si="21"/>
        <v>7219815</v>
      </c>
      <c r="AW161" s="670">
        <f t="shared" si="22"/>
        <v>0</v>
      </c>
      <c r="AX161" s="671">
        <f t="shared" si="16"/>
        <v>0</v>
      </c>
    </row>
    <row r="162" spans="1:50">
      <c r="A162" s="664" t="s">
        <v>494</v>
      </c>
      <c r="B162" s="664"/>
      <c r="C162" s="664"/>
      <c r="D162" s="664">
        <v>1160505004</v>
      </c>
      <c r="E162" s="664">
        <v>36621</v>
      </c>
      <c r="F162" s="664">
        <v>44522</v>
      </c>
      <c r="G162" s="665">
        <v>43239</v>
      </c>
      <c r="H162" s="665">
        <v>44335</v>
      </c>
      <c r="I162" s="664">
        <v>943</v>
      </c>
      <c r="J162" s="666">
        <v>7018663</v>
      </c>
      <c r="K162" s="666">
        <v>0</v>
      </c>
      <c r="L162" s="666">
        <v>0</v>
      </c>
      <c r="M162" s="664" t="s">
        <v>495</v>
      </c>
      <c r="N162" s="666">
        <v>7018663</v>
      </c>
      <c r="O162" s="666">
        <v>0</v>
      </c>
      <c r="P162" s="666">
        <v>3309300</v>
      </c>
      <c r="Q162" s="664">
        <v>1</v>
      </c>
      <c r="R162" s="664" t="s">
        <v>496</v>
      </c>
      <c r="S162" s="664">
        <v>100</v>
      </c>
      <c r="T162" s="666">
        <v>7018663</v>
      </c>
      <c r="U162" s="666">
        <v>0</v>
      </c>
      <c r="V162" s="664">
        <v>500</v>
      </c>
      <c r="W162" s="666">
        <v>9679933</v>
      </c>
      <c r="X162" s="664">
        <v>5</v>
      </c>
      <c r="Y162" s="664">
        <v>1160902010</v>
      </c>
      <c r="Z162" s="664">
        <v>2023</v>
      </c>
      <c r="AA162" s="664">
        <v>12</v>
      </c>
      <c r="AB162" s="664">
        <v>5026003002</v>
      </c>
      <c r="AC162" s="664">
        <v>1160903005</v>
      </c>
      <c r="AD162" s="664">
        <v>0</v>
      </c>
      <c r="AE162" s="664">
        <v>0</v>
      </c>
      <c r="AF162" s="664">
        <v>0</v>
      </c>
      <c r="AG162" s="664">
        <v>1160605001</v>
      </c>
      <c r="AH162" s="664">
        <v>943</v>
      </c>
      <c r="AI162" s="664" t="s">
        <v>499</v>
      </c>
      <c r="AJ162" s="667">
        <v>0.05</v>
      </c>
      <c r="AK162" s="668">
        <f t="shared" si="17"/>
        <v>350933.15</v>
      </c>
      <c r="AL162" s="668">
        <f t="shared" si="18"/>
        <v>350933.15</v>
      </c>
      <c r="AM162" s="668">
        <f t="shared" si="18"/>
        <v>350933.15</v>
      </c>
      <c r="AN162" s="668"/>
      <c r="AO162" s="668"/>
      <c r="AP162" s="668">
        <f t="shared" si="19"/>
        <v>0</v>
      </c>
      <c r="AQ162" s="668">
        <f t="shared" si="20"/>
        <v>0</v>
      </c>
      <c r="AR162" s="668">
        <f t="shared" si="20"/>
        <v>0</v>
      </c>
      <c r="AS162" s="668"/>
      <c r="AT162" s="668"/>
      <c r="AV162" s="670">
        <f t="shared" si="21"/>
        <v>5965863.5499999989</v>
      </c>
      <c r="AW162" s="670">
        <f t="shared" si="22"/>
        <v>0</v>
      </c>
      <c r="AX162" s="671">
        <f t="shared" si="16"/>
        <v>0</v>
      </c>
    </row>
    <row r="163" spans="1:50">
      <c r="A163" s="664" t="s">
        <v>494</v>
      </c>
      <c r="B163" s="664"/>
      <c r="C163" s="664"/>
      <c r="D163" s="664">
        <v>1160505004</v>
      </c>
      <c r="E163" s="664">
        <v>0</v>
      </c>
      <c r="F163" s="664">
        <v>36621</v>
      </c>
      <c r="G163" s="665">
        <v>43239</v>
      </c>
      <c r="H163" s="665">
        <v>44335</v>
      </c>
      <c r="I163" s="664">
        <v>943</v>
      </c>
      <c r="J163" s="666">
        <v>0</v>
      </c>
      <c r="K163" s="666">
        <v>3804048</v>
      </c>
      <c r="L163" s="666">
        <v>0</v>
      </c>
      <c r="M163" s="664" t="s">
        <v>495</v>
      </c>
      <c r="N163" s="666">
        <v>0</v>
      </c>
      <c r="O163" s="666">
        <v>3804048</v>
      </c>
      <c r="P163" s="666">
        <v>0</v>
      </c>
      <c r="Q163" s="664">
        <v>1</v>
      </c>
      <c r="R163" s="664" t="s">
        <v>496</v>
      </c>
      <c r="S163" s="664">
        <v>100</v>
      </c>
      <c r="T163" s="666">
        <v>0</v>
      </c>
      <c r="U163" s="666">
        <v>3804048</v>
      </c>
      <c r="V163" s="664">
        <v>500</v>
      </c>
      <c r="W163" s="666">
        <v>9679933</v>
      </c>
      <c r="X163" s="664">
        <v>5</v>
      </c>
      <c r="Y163" s="664">
        <v>1160902010</v>
      </c>
      <c r="Z163" s="664">
        <v>2023</v>
      </c>
      <c r="AA163" s="664">
        <v>12</v>
      </c>
      <c r="AB163" s="664">
        <v>5026003002</v>
      </c>
      <c r="AC163" s="664">
        <v>1160903005</v>
      </c>
      <c r="AD163" s="664">
        <v>0</v>
      </c>
      <c r="AE163" s="664">
        <v>0</v>
      </c>
      <c r="AF163" s="664">
        <v>0</v>
      </c>
      <c r="AG163" s="664">
        <v>1160605001</v>
      </c>
      <c r="AH163" s="664">
        <v>943</v>
      </c>
      <c r="AI163" s="664" t="s">
        <v>499</v>
      </c>
      <c r="AJ163" s="667">
        <v>0.05</v>
      </c>
      <c r="AK163" s="668">
        <f t="shared" si="17"/>
        <v>0</v>
      </c>
      <c r="AL163" s="668">
        <f t="shared" si="18"/>
        <v>0</v>
      </c>
      <c r="AM163" s="668">
        <f t="shared" si="18"/>
        <v>0</v>
      </c>
      <c r="AN163" s="668"/>
      <c r="AO163" s="668"/>
      <c r="AP163" s="668">
        <f t="shared" si="19"/>
        <v>95101.200000000012</v>
      </c>
      <c r="AQ163" s="668">
        <f t="shared" si="20"/>
        <v>95101.200000000012</v>
      </c>
      <c r="AR163" s="668">
        <f t="shared" si="20"/>
        <v>95101.200000000012</v>
      </c>
      <c r="AS163" s="668"/>
      <c r="AT163" s="668"/>
      <c r="AV163" s="670">
        <f t="shared" si="21"/>
        <v>0</v>
      </c>
      <c r="AW163" s="670">
        <f t="shared" si="22"/>
        <v>3518744.3999999994</v>
      </c>
      <c r="AX163" s="671">
        <f t="shared" si="16"/>
        <v>0</v>
      </c>
    </row>
    <row r="164" spans="1:50">
      <c r="A164" s="664" t="s">
        <v>494</v>
      </c>
      <c r="B164" s="664"/>
      <c r="C164" s="664"/>
      <c r="D164" s="664">
        <v>1160505004</v>
      </c>
      <c r="E164" s="664">
        <v>26268</v>
      </c>
      <c r="F164" s="664">
        <v>458</v>
      </c>
      <c r="G164" s="665">
        <v>41945</v>
      </c>
      <c r="H164" s="665">
        <v>43041</v>
      </c>
      <c r="I164" s="664">
        <v>2220</v>
      </c>
      <c r="J164" s="666">
        <v>1555300</v>
      </c>
      <c r="K164" s="666">
        <v>0</v>
      </c>
      <c r="L164" s="666">
        <v>0</v>
      </c>
      <c r="M164" s="664" t="s">
        <v>495</v>
      </c>
      <c r="N164" s="666">
        <v>1555300</v>
      </c>
      <c r="O164" s="666">
        <v>0</v>
      </c>
      <c r="P164" s="666">
        <v>1726383</v>
      </c>
      <c r="Q164" s="664">
        <v>1</v>
      </c>
      <c r="R164" s="664" t="s">
        <v>496</v>
      </c>
      <c r="S164" s="664">
        <v>100</v>
      </c>
      <c r="T164" s="666">
        <v>1555300</v>
      </c>
      <c r="U164" s="666">
        <v>0</v>
      </c>
      <c r="V164" s="664">
        <v>100</v>
      </c>
      <c r="W164" s="666">
        <v>4361078</v>
      </c>
      <c r="X164" s="664">
        <v>5</v>
      </c>
      <c r="Y164" s="664">
        <v>1160902010</v>
      </c>
      <c r="Z164" s="664">
        <v>2023</v>
      </c>
      <c r="AA164" s="664">
        <v>12</v>
      </c>
      <c r="AB164" s="664">
        <v>5026003002</v>
      </c>
      <c r="AC164" s="664">
        <v>1160903005</v>
      </c>
      <c r="AD164" s="664">
        <v>0</v>
      </c>
      <c r="AE164" s="664">
        <v>0</v>
      </c>
      <c r="AF164" s="664">
        <v>0</v>
      </c>
      <c r="AG164" s="664">
        <v>1160605001</v>
      </c>
      <c r="AH164" s="664">
        <v>2220</v>
      </c>
      <c r="AI164" s="664" t="s">
        <v>497</v>
      </c>
      <c r="AJ164" s="667">
        <v>0.01</v>
      </c>
      <c r="AK164" s="668">
        <f t="shared" si="17"/>
        <v>15553</v>
      </c>
      <c r="AL164" s="668">
        <f t="shared" si="18"/>
        <v>15553</v>
      </c>
      <c r="AM164" s="668">
        <f t="shared" si="18"/>
        <v>15553</v>
      </c>
      <c r="AN164" s="668"/>
      <c r="AO164" s="668"/>
      <c r="AP164" s="668">
        <f t="shared" si="19"/>
        <v>0</v>
      </c>
      <c r="AQ164" s="668">
        <f t="shared" si="20"/>
        <v>0</v>
      </c>
      <c r="AR164" s="668">
        <f t="shared" si="20"/>
        <v>0</v>
      </c>
      <c r="AS164" s="668"/>
      <c r="AT164" s="668"/>
      <c r="AV164" s="670">
        <f t="shared" si="21"/>
        <v>1508641</v>
      </c>
      <c r="AW164" s="670">
        <f t="shared" si="22"/>
        <v>0</v>
      </c>
      <c r="AX164" s="671">
        <f t="shared" si="16"/>
        <v>0</v>
      </c>
    </row>
    <row r="165" spans="1:50">
      <c r="A165" s="664" t="s">
        <v>494</v>
      </c>
      <c r="B165" s="664"/>
      <c r="C165" s="664"/>
      <c r="D165" s="664">
        <v>1160505001</v>
      </c>
      <c r="E165" s="664">
        <v>0</v>
      </c>
      <c r="F165" s="664">
        <v>43521</v>
      </c>
      <c r="G165" s="665">
        <v>43135</v>
      </c>
      <c r="H165" s="665">
        <v>43865</v>
      </c>
      <c r="I165" s="664">
        <v>1408</v>
      </c>
      <c r="J165" s="666">
        <v>523288</v>
      </c>
      <c r="K165" s="666">
        <v>0</v>
      </c>
      <c r="L165" s="666">
        <v>0</v>
      </c>
      <c r="M165" s="664" t="s">
        <v>495</v>
      </c>
      <c r="N165" s="666">
        <v>523288</v>
      </c>
      <c r="O165" s="666">
        <v>0</v>
      </c>
      <c r="P165" s="666">
        <v>368395</v>
      </c>
      <c r="Q165" s="664">
        <v>1</v>
      </c>
      <c r="R165" s="664" t="s">
        <v>496</v>
      </c>
      <c r="S165" s="664">
        <v>100</v>
      </c>
      <c r="T165" s="666">
        <v>523288</v>
      </c>
      <c r="U165" s="666">
        <v>0</v>
      </c>
      <c r="V165" s="664">
        <v>100</v>
      </c>
      <c r="W165" s="666">
        <v>4466935</v>
      </c>
      <c r="X165" s="664">
        <v>2</v>
      </c>
      <c r="Y165" s="664">
        <v>1160902010</v>
      </c>
      <c r="Z165" s="664">
        <v>2023</v>
      </c>
      <c r="AA165" s="664">
        <v>12</v>
      </c>
      <c r="AB165" s="664">
        <v>5026003002</v>
      </c>
      <c r="AC165" s="664">
        <v>1160903005</v>
      </c>
      <c r="AD165" s="664">
        <v>0</v>
      </c>
      <c r="AE165" s="664">
        <v>0</v>
      </c>
      <c r="AF165" s="664">
        <v>0</v>
      </c>
      <c r="AG165" s="664">
        <v>1160605001</v>
      </c>
      <c r="AH165" s="664">
        <v>1408</v>
      </c>
      <c r="AI165" s="664" t="s">
        <v>497</v>
      </c>
      <c r="AJ165" s="667">
        <v>0.01</v>
      </c>
      <c r="AK165" s="668">
        <f t="shared" si="17"/>
        <v>5232.88</v>
      </c>
      <c r="AL165" s="668">
        <f t="shared" si="18"/>
        <v>5232.88</v>
      </c>
      <c r="AM165" s="668">
        <f t="shared" si="18"/>
        <v>5232.88</v>
      </c>
      <c r="AN165" s="668"/>
      <c r="AO165" s="668"/>
      <c r="AP165" s="668">
        <f t="shared" si="19"/>
        <v>0</v>
      </c>
      <c r="AQ165" s="668">
        <f t="shared" si="20"/>
        <v>0</v>
      </c>
      <c r="AR165" s="668">
        <f t="shared" si="20"/>
        <v>0</v>
      </c>
      <c r="AS165" s="668"/>
      <c r="AT165" s="668"/>
      <c r="AV165" s="670">
        <f t="shared" si="21"/>
        <v>507589.36</v>
      </c>
      <c r="AW165" s="670">
        <f t="shared" si="22"/>
        <v>0</v>
      </c>
      <c r="AX165" s="671">
        <f t="shared" si="16"/>
        <v>0</v>
      </c>
    </row>
    <row r="166" spans="1:50">
      <c r="A166" s="664" t="s">
        <v>494</v>
      </c>
      <c r="B166" s="664"/>
      <c r="C166" s="664"/>
      <c r="D166" s="664">
        <v>1160505001</v>
      </c>
      <c r="E166" s="664">
        <v>0</v>
      </c>
      <c r="F166" s="664">
        <v>45206</v>
      </c>
      <c r="G166" s="665">
        <v>43329</v>
      </c>
      <c r="H166" s="665">
        <v>44425</v>
      </c>
      <c r="I166" s="664">
        <v>855</v>
      </c>
      <c r="J166" s="666">
        <v>3000000</v>
      </c>
      <c r="K166" s="666">
        <v>168000</v>
      </c>
      <c r="L166" s="666">
        <v>0</v>
      </c>
      <c r="M166" s="664" t="s">
        <v>495</v>
      </c>
      <c r="N166" s="666">
        <v>3000000</v>
      </c>
      <c r="O166" s="666">
        <v>168000</v>
      </c>
      <c r="P166" s="666">
        <v>1282500</v>
      </c>
      <c r="Q166" s="664">
        <v>1</v>
      </c>
      <c r="R166" s="664" t="s">
        <v>496</v>
      </c>
      <c r="S166" s="664">
        <v>100</v>
      </c>
      <c r="T166" s="666">
        <v>3000000</v>
      </c>
      <c r="U166" s="666">
        <v>168000</v>
      </c>
      <c r="V166" s="664">
        <v>100</v>
      </c>
      <c r="W166" s="666">
        <v>7578414</v>
      </c>
      <c r="X166" s="664">
        <v>15</v>
      </c>
      <c r="Y166" s="664">
        <v>1160902010</v>
      </c>
      <c r="Z166" s="664">
        <v>2023</v>
      </c>
      <c r="AA166" s="664">
        <v>12</v>
      </c>
      <c r="AB166" s="664">
        <v>5026003002</v>
      </c>
      <c r="AC166" s="664">
        <v>1160903005</v>
      </c>
      <c r="AD166" s="664">
        <v>0</v>
      </c>
      <c r="AE166" s="664">
        <v>0</v>
      </c>
      <c r="AF166" s="664">
        <v>0</v>
      </c>
      <c r="AG166" s="664">
        <v>1160605001</v>
      </c>
      <c r="AH166" s="664">
        <v>855</v>
      </c>
      <c r="AI166" s="664" t="s">
        <v>499</v>
      </c>
      <c r="AJ166" s="667">
        <v>0.05</v>
      </c>
      <c r="AK166" s="668">
        <f t="shared" si="17"/>
        <v>150000</v>
      </c>
      <c r="AL166" s="668">
        <f t="shared" si="18"/>
        <v>150000</v>
      </c>
      <c r="AM166" s="668">
        <f t="shared" si="18"/>
        <v>150000</v>
      </c>
      <c r="AN166" s="668"/>
      <c r="AO166" s="668"/>
      <c r="AP166" s="668">
        <f t="shared" si="19"/>
        <v>4200</v>
      </c>
      <c r="AQ166" s="668">
        <f t="shared" si="20"/>
        <v>4200</v>
      </c>
      <c r="AR166" s="668">
        <f t="shared" si="20"/>
        <v>4200</v>
      </c>
      <c r="AS166" s="668"/>
      <c r="AT166" s="668"/>
      <c r="AV166" s="670">
        <f t="shared" si="21"/>
        <v>2550000</v>
      </c>
      <c r="AW166" s="670">
        <f t="shared" si="22"/>
        <v>155400</v>
      </c>
      <c r="AX166" s="671">
        <f t="shared" si="16"/>
        <v>0</v>
      </c>
    </row>
    <row r="167" spans="1:50">
      <c r="A167" s="664" t="s">
        <v>494</v>
      </c>
      <c r="B167" s="664"/>
      <c r="C167" s="664"/>
      <c r="D167" s="664">
        <v>1160505001</v>
      </c>
      <c r="E167" s="664">
        <v>0</v>
      </c>
      <c r="F167" s="664">
        <v>45399</v>
      </c>
      <c r="G167" s="665">
        <v>43395</v>
      </c>
      <c r="H167" s="665">
        <v>44491</v>
      </c>
      <c r="I167" s="664">
        <v>790</v>
      </c>
      <c r="J167" s="666">
        <v>1166000</v>
      </c>
      <c r="K167" s="666">
        <v>84244</v>
      </c>
      <c r="L167" s="666">
        <v>0</v>
      </c>
      <c r="M167" s="664" t="s">
        <v>495</v>
      </c>
      <c r="N167" s="666">
        <v>1166000</v>
      </c>
      <c r="O167" s="666">
        <v>84244</v>
      </c>
      <c r="P167" s="666">
        <v>460570</v>
      </c>
      <c r="Q167" s="664">
        <v>1</v>
      </c>
      <c r="R167" s="664" t="s">
        <v>496</v>
      </c>
      <c r="S167" s="664">
        <v>100</v>
      </c>
      <c r="T167" s="666">
        <v>1166000</v>
      </c>
      <c r="U167" s="666">
        <v>84244</v>
      </c>
      <c r="V167" s="664">
        <v>100</v>
      </c>
      <c r="W167" s="666">
        <v>7578414</v>
      </c>
      <c r="X167" s="664">
        <v>15</v>
      </c>
      <c r="Y167" s="664">
        <v>1160902010</v>
      </c>
      <c r="Z167" s="664">
        <v>2023</v>
      </c>
      <c r="AA167" s="664">
        <v>12</v>
      </c>
      <c r="AB167" s="664">
        <v>5026003002</v>
      </c>
      <c r="AC167" s="664">
        <v>1160903005</v>
      </c>
      <c r="AD167" s="664">
        <v>0</v>
      </c>
      <c r="AE167" s="664">
        <v>0</v>
      </c>
      <c r="AF167" s="664">
        <v>0</v>
      </c>
      <c r="AG167" s="664">
        <v>1160605001</v>
      </c>
      <c r="AH167" s="664">
        <v>855</v>
      </c>
      <c r="AI167" s="664" t="s">
        <v>499</v>
      </c>
      <c r="AJ167" s="667">
        <v>0.05</v>
      </c>
      <c r="AK167" s="668">
        <f t="shared" si="17"/>
        <v>58300</v>
      </c>
      <c r="AL167" s="668">
        <f t="shared" si="18"/>
        <v>58300</v>
      </c>
      <c r="AM167" s="668">
        <f t="shared" si="18"/>
        <v>58300</v>
      </c>
      <c r="AN167" s="668"/>
      <c r="AO167" s="668"/>
      <c r="AP167" s="668">
        <f t="shared" si="19"/>
        <v>2106.1</v>
      </c>
      <c r="AQ167" s="668">
        <f t="shared" si="20"/>
        <v>2106.1</v>
      </c>
      <c r="AR167" s="668">
        <f t="shared" si="20"/>
        <v>2106.1</v>
      </c>
      <c r="AS167" s="668"/>
      <c r="AT167" s="668"/>
      <c r="AV167" s="670">
        <f t="shared" si="21"/>
        <v>991100</v>
      </c>
      <c r="AW167" s="670">
        <f t="shared" si="22"/>
        <v>77925.699999999983</v>
      </c>
      <c r="AX167" s="671">
        <f t="shared" si="16"/>
        <v>0</v>
      </c>
    </row>
    <row r="168" spans="1:50">
      <c r="A168" s="664" t="s">
        <v>494</v>
      </c>
      <c r="B168" s="664"/>
      <c r="C168" s="664"/>
      <c r="D168" s="664">
        <v>1160505001</v>
      </c>
      <c r="E168" s="664">
        <v>0</v>
      </c>
      <c r="F168" s="664">
        <v>45426</v>
      </c>
      <c r="G168" s="665">
        <v>43408</v>
      </c>
      <c r="H168" s="665">
        <v>44504</v>
      </c>
      <c r="I168" s="664">
        <v>778</v>
      </c>
      <c r="J168" s="666">
        <v>933000</v>
      </c>
      <c r="K168" s="666">
        <v>70213</v>
      </c>
      <c r="L168" s="666">
        <v>0</v>
      </c>
      <c r="M168" s="664" t="s">
        <v>495</v>
      </c>
      <c r="N168" s="666">
        <v>933000</v>
      </c>
      <c r="O168" s="666">
        <v>70213</v>
      </c>
      <c r="P168" s="666">
        <v>362937</v>
      </c>
      <c r="Q168" s="664">
        <v>1</v>
      </c>
      <c r="R168" s="664" t="s">
        <v>496</v>
      </c>
      <c r="S168" s="664">
        <v>100</v>
      </c>
      <c r="T168" s="666">
        <v>933000</v>
      </c>
      <c r="U168" s="666">
        <v>70213</v>
      </c>
      <c r="V168" s="664">
        <v>100</v>
      </c>
      <c r="W168" s="666">
        <v>7578414</v>
      </c>
      <c r="X168" s="664">
        <v>15</v>
      </c>
      <c r="Y168" s="664">
        <v>1160902010</v>
      </c>
      <c r="Z168" s="664">
        <v>2023</v>
      </c>
      <c r="AA168" s="664">
        <v>12</v>
      </c>
      <c r="AB168" s="664">
        <v>5026003002</v>
      </c>
      <c r="AC168" s="664">
        <v>1160903005</v>
      </c>
      <c r="AD168" s="664">
        <v>0</v>
      </c>
      <c r="AE168" s="664">
        <v>0</v>
      </c>
      <c r="AF168" s="664">
        <v>0</v>
      </c>
      <c r="AG168" s="664">
        <v>1160605001</v>
      </c>
      <c r="AH168" s="664">
        <v>855</v>
      </c>
      <c r="AI168" s="664" t="s">
        <v>499</v>
      </c>
      <c r="AJ168" s="667">
        <v>0.05</v>
      </c>
      <c r="AK168" s="668">
        <f t="shared" si="17"/>
        <v>46650</v>
      </c>
      <c r="AL168" s="668">
        <f t="shared" si="18"/>
        <v>46650</v>
      </c>
      <c r="AM168" s="668">
        <f t="shared" si="18"/>
        <v>46650</v>
      </c>
      <c r="AN168" s="668"/>
      <c r="AO168" s="668"/>
      <c r="AP168" s="668">
        <f t="shared" si="19"/>
        <v>1755.325</v>
      </c>
      <c r="AQ168" s="668">
        <f t="shared" si="20"/>
        <v>1755.325</v>
      </c>
      <c r="AR168" s="668">
        <f t="shared" si="20"/>
        <v>1755.325</v>
      </c>
      <c r="AS168" s="668"/>
      <c r="AT168" s="668"/>
      <c r="AV168" s="670">
        <f t="shared" si="21"/>
        <v>793050</v>
      </c>
      <c r="AW168" s="670">
        <f t="shared" si="22"/>
        <v>64947.025000000009</v>
      </c>
      <c r="AX168" s="671">
        <f t="shared" si="16"/>
        <v>0</v>
      </c>
    </row>
    <row r="169" spans="1:50">
      <c r="A169" s="664" t="s">
        <v>494</v>
      </c>
      <c r="B169" s="664"/>
      <c r="C169" s="664"/>
      <c r="D169" s="664">
        <v>1160504001</v>
      </c>
      <c r="E169" s="664">
        <v>0</v>
      </c>
      <c r="F169" s="664">
        <v>44704</v>
      </c>
      <c r="G169" s="665">
        <v>43261</v>
      </c>
      <c r="H169" s="665">
        <v>45087</v>
      </c>
      <c r="I169" s="664">
        <v>202</v>
      </c>
      <c r="J169" s="666">
        <v>3600000</v>
      </c>
      <c r="K169" s="666">
        <v>847200</v>
      </c>
      <c r="L169" s="666">
        <v>0</v>
      </c>
      <c r="M169" s="664" t="s">
        <v>495</v>
      </c>
      <c r="N169" s="666">
        <v>3600000</v>
      </c>
      <c r="O169" s="666">
        <v>847200</v>
      </c>
      <c r="P169" s="666">
        <v>363600</v>
      </c>
      <c r="Q169" s="664">
        <v>1</v>
      </c>
      <c r="R169" s="664" t="s">
        <v>501</v>
      </c>
      <c r="S169" s="664">
        <v>100</v>
      </c>
      <c r="T169" s="666">
        <v>3600000</v>
      </c>
      <c r="U169" s="666">
        <v>847200</v>
      </c>
      <c r="V169" s="664">
        <v>100</v>
      </c>
      <c r="W169" s="666">
        <v>1914219</v>
      </c>
      <c r="X169" s="664">
        <v>14</v>
      </c>
      <c r="Y169" s="664">
        <v>1160902008</v>
      </c>
      <c r="Z169" s="664">
        <v>2023</v>
      </c>
      <c r="AA169" s="664">
        <v>12</v>
      </c>
      <c r="AB169" s="664">
        <v>5026003002</v>
      </c>
      <c r="AC169" s="664">
        <v>1160903004</v>
      </c>
      <c r="AD169" s="664">
        <v>0</v>
      </c>
      <c r="AE169" s="664">
        <v>0</v>
      </c>
      <c r="AF169" s="664">
        <v>0</v>
      </c>
      <c r="AG169" s="664">
        <v>1160604001</v>
      </c>
      <c r="AH169" s="664">
        <v>202</v>
      </c>
      <c r="AI169" s="664" t="s">
        <v>500</v>
      </c>
      <c r="AJ169" s="667">
        <v>0.3</v>
      </c>
      <c r="AK169" s="668">
        <f t="shared" si="17"/>
        <v>1080000</v>
      </c>
      <c r="AL169" s="668">
        <f t="shared" si="18"/>
        <v>1080000</v>
      </c>
      <c r="AM169" s="668">
        <f t="shared" si="18"/>
        <v>1080000</v>
      </c>
      <c r="AN169" s="668"/>
      <c r="AO169" s="668"/>
      <c r="AP169" s="668">
        <f t="shared" si="19"/>
        <v>127080</v>
      </c>
      <c r="AQ169" s="668">
        <f t="shared" si="20"/>
        <v>127080</v>
      </c>
      <c r="AR169" s="668">
        <f t="shared" si="20"/>
        <v>127080</v>
      </c>
      <c r="AS169" s="668"/>
      <c r="AT169" s="668"/>
      <c r="AV169" s="670">
        <f t="shared" si="21"/>
        <v>360000</v>
      </c>
      <c r="AW169" s="670">
        <f t="shared" si="22"/>
        <v>465960</v>
      </c>
      <c r="AX169" s="671">
        <f t="shared" si="16"/>
        <v>0</v>
      </c>
    </row>
    <row r="170" spans="1:50">
      <c r="A170" s="664" t="s">
        <v>494</v>
      </c>
      <c r="B170" s="664"/>
      <c r="C170" s="664"/>
      <c r="D170" s="664">
        <v>1160505001</v>
      </c>
      <c r="E170" s="664">
        <v>0</v>
      </c>
      <c r="F170" s="664">
        <v>41700</v>
      </c>
      <c r="G170" s="665">
        <v>42807</v>
      </c>
      <c r="H170" s="665">
        <v>43903</v>
      </c>
      <c r="I170" s="664">
        <v>1369</v>
      </c>
      <c r="J170" s="666">
        <v>1300000</v>
      </c>
      <c r="K170" s="666">
        <v>141018</v>
      </c>
      <c r="L170" s="666">
        <v>0</v>
      </c>
      <c r="M170" s="664" t="s">
        <v>495</v>
      </c>
      <c r="N170" s="666">
        <v>1300000</v>
      </c>
      <c r="O170" s="666">
        <v>141018</v>
      </c>
      <c r="P170" s="666">
        <v>889850</v>
      </c>
      <c r="Q170" s="664">
        <v>1</v>
      </c>
      <c r="R170" s="664" t="s">
        <v>496</v>
      </c>
      <c r="S170" s="664">
        <v>100</v>
      </c>
      <c r="T170" s="666">
        <v>1300000</v>
      </c>
      <c r="U170" s="666">
        <v>141018</v>
      </c>
      <c r="V170" s="664">
        <v>100</v>
      </c>
      <c r="W170" s="666">
        <v>1434398</v>
      </c>
      <c r="X170" s="664">
        <v>14</v>
      </c>
      <c r="Y170" s="664">
        <v>1160902010</v>
      </c>
      <c r="Z170" s="664">
        <v>2023</v>
      </c>
      <c r="AA170" s="664">
        <v>12</v>
      </c>
      <c r="AB170" s="664">
        <v>5026003002</v>
      </c>
      <c r="AC170" s="664">
        <v>1160903005</v>
      </c>
      <c r="AD170" s="664">
        <v>0</v>
      </c>
      <c r="AE170" s="664">
        <v>0</v>
      </c>
      <c r="AF170" s="664">
        <v>0</v>
      </c>
      <c r="AG170" s="664">
        <v>1160605001</v>
      </c>
      <c r="AH170" s="664">
        <v>1369</v>
      </c>
      <c r="AI170" s="664" t="s">
        <v>497</v>
      </c>
      <c r="AJ170" s="667">
        <v>0.01</v>
      </c>
      <c r="AK170" s="668">
        <f t="shared" si="17"/>
        <v>13000</v>
      </c>
      <c r="AL170" s="668">
        <f t="shared" si="18"/>
        <v>13000</v>
      </c>
      <c r="AM170" s="668">
        <f t="shared" si="18"/>
        <v>13000</v>
      </c>
      <c r="AN170" s="668"/>
      <c r="AO170" s="668"/>
      <c r="AP170" s="668">
        <f t="shared" si="19"/>
        <v>705.09</v>
      </c>
      <c r="AQ170" s="668">
        <f t="shared" si="20"/>
        <v>705.09</v>
      </c>
      <c r="AR170" s="668">
        <f t="shared" si="20"/>
        <v>705.09</v>
      </c>
      <c r="AS170" s="668"/>
      <c r="AT170" s="668"/>
      <c r="AV170" s="670">
        <f t="shared" si="21"/>
        <v>1261000</v>
      </c>
      <c r="AW170" s="670">
        <f t="shared" si="22"/>
        <v>138902.73000000001</v>
      </c>
      <c r="AX170" s="671">
        <f t="shared" si="16"/>
        <v>0</v>
      </c>
    </row>
    <row r="171" spans="1:50">
      <c r="A171" s="664" t="s">
        <v>494</v>
      </c>
      <c r="B171" s="664"/>
      <c r="C171" s="664"/>
      <c r="D171" s="664">
        <v>1160505001</v>
      </c>
      <c r="E171" s="664">
        <v>0</v>
      </c>
      <c r="F171" s="664">
        <v>46405</v>
      </c>
      <c r="G171" s="665">
        <v>43542</v>
      </c>
      <c r="H171" s="665">
        <v>44638</v>
      </c>
      <c r="I171" s="664">
        <v>644</v>
      </c>
      <c r="J171" s="666">
        <v>3150000</v>
      </c>
      <c r="K171" s="666">
        <v>850500</v>
      </c>
      <c r="L171" s="666">
        <v>0</v>
      </c>
      <c r="M171" s="664" t="s">
        <v>495</v>
      </c>
      <c r="N171" s="666">
        <v>3150000</v>
      </c>
      <c r="O171" s="666">
        <v>850500</v>
      </c>
      <c r="P171" s="666">
        <v>1014300</v>
      </c>
      <c r="Q171" s="664">
        <v>1</v>
      </c>
      <c r="R171" s="664" t="s">
        <v>496</v>
      </c>
      <c r="S171" s="664">
        <v>100</v>
      </c>
      <c r="T171" s="666">
        <v>3150000</v>
      </c>
      <c r="U171" s="666">
        <v>850500</v>
      </c>
      <c r="V171" s="664">
        <v>100</v>
      </c>
      <c r="W171" s="666">
        <v>1434398</v>
      </c>
      <c r="X171" s="664">
        <v>15</v>
      </c>
      <c r="Y171" s="664">
        <v>1160902010</v>
      </c>
      <c r="Z171" s="664">
        <v>2023</v>
      </c>
      <c r="AA171" s="664">
        <v>12</v>
      </c>
      <c r="AB171" s="664">
        <v>5026003002</v>
      </c>
      <c r="AC171" s="664">
        <v>1160903005</v>
      </c>
      <c r="AD171" s="664">
        <v>0</v>
      </c>
      <c r="AE171" s="664">
        <v>0</v>
      </c>
      <c r="AF171" s="664">
        <v>0</v>
      </c>
      <c r="AG171" s="664">
        <v>1160605001</v>
      </c>
      <c r="AH171" s="664">
        <v>1369</v>
      </c>
      <c r="AI171" s="664" t="s">
        <v>497</v>
      </c>
      <c r="AJ171" s="667">
        <v>0.01</v>
      </c>
      <c r="AK171" s="668">
        <f t="shared" si="17"/>
        <v>31500</v>
      </c>
      <c r="AL171" s="668">
        <f t="shared" si="18"/>
        <v>31500</v>
      </c>
      <c r="AM171" s="668">
        <f t="shared" si="18"/>
        <v>31500</v>
      </c>
      <c r="AN171" s="668"/>
      <c r="AO171" s="668"/>
      <c r="AP171" s="668">
        <f t="shared" si="19"/>
        <v>4252.5</v>
      </c>
      <c r="AQ171" s="668">
        <f t="shared" si="20"/>
        <v>4252.5</v>
      </c>
      <c r="AR171" s="668">
        <f t="shared" si="20"/>
        <v>4252.5</v>
      </c>
      <c r="AS171" s="668"/>
      <c r="AT171" s="668"/>
      <c r="AV171" s="670">
        <f t="shared" si="21"/>
        <v>3055500</v>
      </c>
      <c r="AW171" s="670">
        <f t="shared" si="22"/>
        <v>837742.5</v>
      </c>
      <c r="AX171" s="671">
        <f t="shared" si="16"/>
        <v>0</v>
      </c>
    </row>
    <row r="172" spans="1:50">
      <c r="A172" s="664" t="s">
        <v>494</v>
      </c>
      <c r="B172" s="664"/>
      <c r="C172" s="664"/>
      <c r="D172" s="664">
        <v>1160505002</v>
      </c>
      <c r="E172" s="664">
        <v>0</v>
      </c>
      <c r="F172" s="664">
        <v>46435</v>
      </c>
      <c r="G172" s="665">
        <v>43547</v>
      </c>
      <c r="H172" s="665">
        <v>43913</v>
      </c>
      <c r="I172" s="664">
        <v>1359</v>
      </c>
      <c r="J172" s="666">
        <v>800000</v>
      </c>
      <c r="K172" s="666">
        <v>72000</v>
      </c>
      <c r="L172" s="666">
        <v>0</v>
      </c>
      <c r="M172" s="664" t="s">
        <v>495</v>
      </c>
      <c r="N172" s="666">
        <v>800000</v>
      </c>
      <c r="O172" s="666">
        <v>72000</v>
      </c>
      <c r="P172" s="666">
        <v>543600</v>
      </c>
      <c r="Q172" s="664">
        <v>1</v>
      </c>
      <c r="R172" s="664" t="s">
        <v>496</v>
      </c>
      <c r="S172" s="664">
        <v>100</v>
      </c>
      <c r="T172" s="666">
        <v>800000</v>
      </c>
      <c r="U172" s="666">
        <v>72000</v>
      </c>
      <c r="V172" s="664">
        <v>100</v>
      </c>
      <c r="W172" s="666">
        <v>1434398</v>
      </c>
      <c r="X172" s="664">
        <v>17</v>
      </c>
      <c r="Y172" s="664">
        <v>1160902010</v>
      </c>
      <c r="Z172" s="664">
        <v>2023</v>
      </c>
      <c r="AA172" s="664">
        <v>12</v>
      </c>
      <c r="AB172" s="664">
        <v>5026003002</v>
      </c>
      <c r="AC172" s="664">
        <v>1160903005</v>
      </c>
      <c r="AD172" s="664">
        <v>0</v>
      </c>
      <c r="AE172" s="664">
        <v>0</v>
      </c>
      <c r="AF172" s="664">
        <v>0</v>
      </c>
      <c r="AG172" s="664">
        <v>1160605001</v>
      </c>
      <c r="AH172" s="664">
        <v>1369</v>
      </c>
      <c r="AI172" s="664" t="s">
        <v>497</v>
      </c>
      <c r="AJ172" s="667">
        <v>0.01</v>
      </c>
      <c r="AK172" s="668">
        <f t="shared" si="17"/>
        <v>8000</v>
      </c>
      <c r="AL172" s="668">
        <f t="shared" si="18"/>
        <v>8000</v>
      </c>
      <c r="AM172" s="668">
        <f t="shared" si="18"/>
        <v>8000</v>
      </c>
      <c r="AN172" s="668"/>
      <c r="AO172" s="668"/>
      <c r="AP172" s="668">
        <f t="shared" si="19"/>
        <v>360</v>
      </c>
      <c r="AQ172" s="668">
        <f t="shared" si="20"/>
        <v>360</v>
      </c>
      <c r="AR172" s="668">
        <f t="shared" si="20"/>
        <v>360</v>
      </c>
      <c r="AS172" s="668"/>
      <c r="AT172" s="668"/>
      <c r="AV172" s="670">
        <f t="shared" si="21"/>
        <v>776000</v>
      </c>
      <c r="AW172" s="670">
        <f t="shared" si="22"/>
        <v>70920</v>
      </c>
      <c r="AX172" s="671">
        <f t="shared" si="16"/>
        <v>0</v>
      </c>
    </row>
    <row r="173" spans="1:50">
      <c r="A173" s="664" t="s">
        <v>494</v>
      </c>
      <c r="B173" s="664"/>
      <c r="C173" s="664"/>
      <c r="D173" s="664">
        <v>1160405001</v>
      </c>
      <c r="E173" s="664">
        <v>0</v>
      </c>
      <c r="F173" s="664">
        <v>42199</v>
      </c>
      <c r="G173" s="665">
        <v>42873</v>
      </c>
      <c r="H173" s="665">
        <v>43969</v>
      </c>
      <c r="I173" s="664">
        <v>1304</v>
      </c>
      <c r="J173" s="666">
        <v>113791793</v>
      </c>
      <c r="K173" s="666">
        <v>5111146</v>
      </c>
      <c r="L173" s="666">
        <v>0</v>
      </c>
      <c r="M173" s="664" t="s">
        <v>495</v>
      </c>
      <c r="N173" s="666">
        <v>113791793</v>
      </c>
      <c r="O173" s="666">
        <v>5111146</v>
      </c>
      <c r="P173" s="666">
        <v>74192249</v>
      </c>
      <c r="Q173" s="664">
        <v>2</v>
      </c>
      <c r="R173" s="664" t="s">
        <v>496</v>
      </c>
      <c r="S173" s="664">
        <v>100</v>
      </c>
      <c r="T173" s="666">
        <v>113791793</v>
      </c>
      <c r="U173" s="666">
        <v>5111146</v>
      </c>
      <c r="V173" s="664">
        <v>100</v>
      </c>
      <c r="W173" s="666">
        <v>84376930</v>
      </c>
      <c r="X173" s="664">
        <v>2</v>
      </c>
      <c r="Y173" s="664">
        <v>1160902009</v>
      </c>
      <c r="Z173" s="664">
        <v>2023</v>
      </c>
      <c r="AA173" s="664">
        <v>12</v>
      </c>
      <c r="AB173" s="664">
        <v>5026003002</v>
      </c>
      <c r="AC173" s="664">
        <v>1160903005</v>
      </c>
      <c r="AD173" s="664">
        <v>0</v>
      </c>
      <c r="AE173" s="664">
        <v>0</v>
      </c>
      <c r="AF173" s="664">
        <v>1</v>
      </c>
      <c r="AG173" s="664">
        <v>1160605001</v>
      </c>
      <c r="AH173" s="664">
        <v>1304</v>
      </c>
      <c r="AI173" s="664" t="s">
        <v>497</v>
      </c>
      <c r="AJ173" s="667">
        <v>0.01</v>
      </c>
      <c r="AK173" s="668">
        <f t="shared" si="17"/>
        <v>1137917.93</v>
      </c>
      <c r="AL173" s="668">
        <f t="shared" si="18"/>
        <v>1137917.93</v>
      </c>
      <c r="AM173" s="668">
        <f t="shared" si="18"/>
        <v>1137917.93</v>
      </c>
      <c r="AN173" s="668"/>
      <c r="AO173" s="668"/>
      <c r="AP173" s="668">
        <f t="shared" si="19"/>
        <v>25555.73</v>
      </c>
      <c r="AQ173" s="668">
        <f t="shared" si="20"/>
        <v>25555.73</v>
      </c>
      <c r="AR173" s="668">
        <f t="shared" si="20"/>
        <v>25555.73</v>
      </c>
      <c r="AS173" s="668"/>
      <c r="AT173" s="668"/>
      <c r="AV173" s="670">
        <f t="shared" si="21"/>
        <v>110378039.20999998</v>
      </c>
      <c r="AW173" s="670">
        <f t="shared" si="22"/>
        <v>5034478.8099999987</v>
      </c>
      <c r="AX173" s="671">
        <f t="shared" si="16"/>
        <v>0</v>
      </c>
    </row>
    <row r="174" spans="1:50">
      <c r="A174" s="664" t="s">
        <v>494</v>
      </c>
      <c r="B174" s="664"/>
      <c r="C174" s="664"/>
      <c r="D174" s="664">
        <v>1160405001</v>
      </c>
      <c r="E174" s="664">
        <v>0</v>
      </c>
      <c r="F174" s="664">
        <v>46633</v>
      </c>
      <c r="G174" s="665">
        <v>43582</v>
      </c>
      <c r="H174" s="665">
        <v>44678</v>
      </c>
      <c r="I174" s="664">
        <v>605</v>
      </c>
      <c r="J174" s="666">
        <v>120000000</v>
      </c>
      <c r="K174" s="666">
        <v>43200000</v>
      </c>
      <c r="L174" s="666">
        <v>0</v>
      </c>
      <c r="M174" s="664" t="s">
        <v>495</v>
      </c>
      <c r="N174" s="666">
        <v>120000000</v>
      </c>
      <c r="O174" s="666">
        <v>43200000</v>
      </c>
      <c r="P174" s="666">
        <v>36300000</v>
      </c>
      <c r="Q174" s="664">
        <v>2</v>
      </c>
      <c r="R174" s="664" t="s">
        <v>496</v>
      </c>
      <c r="S174" s="664">
        <v>100</v>
      </c>
      <c r="T174" s="666">
        <v>120000000</v>
      </c>
      <c r="U174" s="666">
        <v>43200000</v>
      </c>
      <c r="V174" s="664">
        <v>100</v>
      </c>
      <c r="W174" s="666">
        <v>84376930</v>
      </c>
      <c r="X174" s="664">
        <v>2</v>
      </c>
      <c r="Y174" s="664">
        <v>1160902009</v>
      </c>
      <c r="Z174" s="664">
        <v>2023</v>
      </c>
      <c r="AA174" s="664">
        <v>12</v>
      </c>
      <c r="AB174" s="664">
        <v>5026003002</v>
      </c>
      <c r="AC174" s="664">
        <v>1160903005</v>
      </c>
      <c r="AD174" s="664">
        <v>0</v>
      </c>
      <c r="AE174" s="664">
        <v>0</v>
      </c>
      <c r="AF174" s="664">
        <v>1</v>
      </c>
      <c r="AG174" s="664">
        <v>1160605001</v>
      </c>
      <c r="AH174" s="664">
        <v>1304</v>
      </c>
      <c r="AI174" s="664" t="s">
        <v>497</v>
      </c>
      <c r="AJ174" s="667">
        <v>0.01</v>
      </c>
      <c r="AK174" s="668">
        <f t="shared" si="17"/>
        <v>1200000</v>
      </c>
      <c r="AL174" s="668">
        <f t="shared" si="18"/>
        <v>1200000</v>
      </c>
      <c r="AM174" s="668">
        <f t="shared" si="18"/>
        <v>1200000</v>
      </c>
      <c r="AN174" s="668"/>
      <c r="AO174" s="668"/>
      <c r="AP174" s="668">
        <f t="shared" si="19"/>
        <v>216000</v>
      </c>
      <c r="AQ174" s="668">
        <f t="shared" si="20"/>
        <v>216000</v>
      </c>
      <c r="AR174" s="668">
        <f t="shared" si="20"/>
        <v>216000</v>
      </c>
      <c r="AS174" s="668"/>
      <c r="AT174" s="668"/>
      <c r="AV174" s="670">
        <f t="shared" si="21"/>
        <v>116400000</v>
      </c>
      <c r="AW174" s="670">
        <f t="shared" si="22"/>
        <v>42552000</v>
      </c>
      <c r="AX174" s="671">
        <f t="shared" si="16"/>
        <v>0</v>
      </c>
    </row>
    <row r="175" spans="1:50">
      <c r="A175" s="664" t="s">
        <v>494</v>
      </c>
      <c r="B175" s="664"/>
      <c r="C175" s="664"/>
      <c r="D175" s="664">
        <v>1160505001</v>
      </c>
      <c r="E175" s="664">
        <v>0</v>
      </c>
      <c r="F175" s="664">
        <v>42705</v>
      </c>
      <c r="G175" s="665">
        <v>42944</v>
      </c>
      <c r="H175" s="665">
        <v>43309</v>
      </c>
      <c r="I175" s="664">
        <v>1954</v>
      </c>
      <c r="J175" s="666">
        <v>2000000</v>
      </c>
      <c r="K175" s="666">
        <v>180000</v>
      </c>
      <c r="L175" s="666">
        <v>0</v>
      </c>
      <c r="M175" s="664" t="s">
        <v>495</v>
      </c>
      <c r="N175" s="666">
        <v>2000000</v>
      </c>
      <c r="O175" s="666">
        <v>180000</v>
      </c>
      <c r="P175" s="666">
        <v>1954000</v>
      </c>
      <c r="Q175" s="664">
        <v>1</v>
      </c>
      <c r="R175" s="664" t="s">
        <v>496</v>
      </c>
      <c r="S175" s="664">
        <v>100</v>
      </c>
      <c r="T175" s="666">
        <v>2000000</v>
      </c>
      <c r="U175" s="666">
        <v>180000</v>
      </c>
      <c r="V175" s="664">
        <v>100</v>
      </c>
      <c r="W175" s="666">
        <v>5349691</v>
      </c>
      <c r="X175" s="664">
        <v>2</v>
      </c>
      <c r="Y175" s="664">
        <v>1160902010</v>
      </c>
      <c r="Z175" s="664">
        <v>2023</v>
      </c>
      <c r="AA175" s="664">
        <v>12</v>
      </c>
      <c r="AB175" s="664">
        <v>5026003002</v>
      </c>
      <c r="AC175" s="664">
        <v>1160903005</v>
      </c>
      <c r="AD175" s="664">
        <v>0</v>
      </c>
      <c r="AE175" s="664">
        <v>0</v>
      </c>
      <c r="AF175" s="664">
        <v>0</v>
      </c>
      <c r="AG175" s="664">
        <v>1160605001</v>
      </c>
      <c r="AH175" s="664">
        <v>1954</v>
      </c>
      <c r="AI175" s="664" t="s">
        <v>497</v>
      </c>
      <c r="AJ175" s="667">
        <v>0.01</v>
      </c>
      <c r="AK175" s="668">
        <f t="shared" si="17"/>
        <v>20000</v>
      </c>
      <c r="AL175" s="668">
        <f t="shared" si="18"/>
        <v>20000</v>
      </c>
      <c r="AM175" s="668">
        <f t="shared" si="18"/>
        <v>20000</v>
      </c>
      <c r="AN175" s="668"/>
      <c r="AO175" s="668"/>
      <c r="AP175" s="668">
        <f t="shared" si="19"/>
        <v>900</v>
      </c>
      <c r="AQ175" s="668">
        <f t="shared" si="20"/>
        <v>900</v>
      </c>
      <c r="AR175" s="668">
        <f t="shared" si="20"/>
        <v>900</v>
      </c>
      <c r="AS175" s="668"/>
      <c r="AT175" s="668"/>
      <c r="AV175" s="670">
        <f t="shared" si="21"/>
        <v>1940000</v>
      </c>
      <c r="AW175" s="670">
        <f t="shared" si="22"/>
        <v>177300</v>
      </c>
      <c r="AX175" s="671">
        <f t="shared" si="16"/>
        <v>0</v>
      </c>
    </row>
    <row r="176" spans="1:50">
      <c r="A176" s="664" t="s">
        <v>494</v>
      </c>
      <c r="B176" s="664"/>
      <c r="C176" s="664"/>
      <c r="D176" s="664">
        <v>1160505001</v>
      </c>
      <c r="E176" s="664">
        <v>0</v>
      </c>
      <c r="F176" s="664">
        <v>43463</v>
      </c>
      <c r="G176" s="665">
        <v>43129</v>
      </c>
      <c r="H176" s="665">
        <v>44225</v>
      </c>
      <c r="I176" s="664">
        <v>1053</v>
      </c>
      <c r="J176" s="666">
        <v>5000000</v>
      </c>
      <c r="K176" s="666">
        <v>1178333</v>
      </c>
      <c r="L176" s="666">
        <v>0</v>
      </c>
      <c r="M176" s="664" t="s">
        <v>495</v>
      </c>
      <c r="N176" s="666">
        <v>5000000</v>
      </c>
      <c r="O176" s="666">
        <v>1178333</v>
      </c>
      <c r="P176" s="666">
        <v>2632500</v>
      </c>
      <c r="Q176" s="664">
        <v>1</v>
      </c>
      <c r="R176" s="664" t="s">
        <v>496</v>
      </c>
      <c r="S176" s="664">
        <v>100</v>
      </c>
      <c r="T176" s="666">
        <v>5000000</v>
      </c>
      <c r="U176" s="666">
        <v>1178333</v>
      </c>
      <c r="V176" s="664">
        <v>100</v>
      </c>
      <c r="W176" s="666">
        <v>5879988</v>
      </c>
      <c r="X176" s="664">
        <v>2</v>
      </c>
      <c r="Y176" s="664">
        <v>1160902010</v>
      </c>
      <c r="Z176" s="664">
        <v>2023</v>
      </c>
      <c r="AA176" s="664">
        <v>12</v>
      </c>
      <c r="AB176" s="664">
        <v>5026003002</v>
      </c>
      <c r="AC176" s="664">
        <v>1160903005</v>
      </c>
      <c r="AD176" s="664">
        <v>0</v>
      </c>
      <c r="AE176" s="664">
        <v>0</v>
      </c>
      <c r="AF176" s="664">
        <v>0</v>
      </c>
      <c r="AG176" s="664">
        <v>1160605001</v>
      </c>
      <c r="AH176" s="664">
        <v>1053</v>
      </c>
      <c r="AI176" s="664" t="s">
        <v>499</v>
      </c>
      <c r="AJ176" s="667">
        <v>0.05</v>
      </c>
      <c r="AK176" s="668">
        <f t="shared" si="17"/>
        <v>250000</v>
      </c>
      <c r="AL176" s="668">
        <f t="shared" si="18"/>
        <v>250000</v>
      </c>
      <c r="AM176" s="668">
        <f t="shared" si="18"/>
        <v>250000</v>
      </c>
      <c r="AN176" s="668"/>
      <c r="AO176" s="668"/>
      <c r="AP176" s="668">
        <f t="shared" si="19"/>
        <v>29458.325000000001</v>
      </c>
      <c r="AQ176" s="668">
        <f t="shared" si="20"/>
        <v>29458.325000000001</v>
      </c>
      <c r="AR176" s="668">
        <f t="shared" si="20"/>
        <v>29458.325000000001</v>
      </c>
      <c r="AS176" s="668"/>
      <c r="AT176" s="668"/>
      <c r="AV176" s="670">
        <f t="shared" si="21"/>
        <v>4250000</v>
      </c>
      <c r="AW176" s="670">
        <f t="shared" si="22"/>
        <v>1089958.0250000001</v>
      </c>
      <c r="AX176" s="671">
        <f t="shared" si="16"/>
        <v>0</v>
      </c>
    </row>
    <row r="177" spans="1:50">
      <c r="A177" s="664" t="s">
        <v>494</v>
      </c>
      <c r="B177" s="664"/>
      <c r="C177" s="664"/>
      <c r="D177" s="664">
        <v>1160505001</v>
      </c>
      <c r="E177" s="664">
        <v>0</v>
      </c>
      <c r="F177" s="664">
        <v>1443463</v>
      </c>
      <c r="G177" s="665">
        <v>43129</v>
      </c>
      <c r="H177" s="665">
        <v>44225</v>
      </c>
      <c r="I177" s="664">
        <v>1053</v>
      </c>
      <c r="J177" s="666">
        <v>13000000</v>
      </c>
      <c r="K177" s="666">
        <v>2019334</v>
      </c>
      <c r="L177" s="666">
        <v>0</v>
      </c>
      <c r="M177" s="664" t="s">
        <v>495</v>
      </c>
      <c r="N177" s="666">
        <v>13000000</v>
      </c>
      <c r="O177" s="666">
        <v>2019334</v>
      </c>
      <c r="P177" s="666">
        <v>6844500</v>
      </c>
      <c r="Q177" s="664">
        <v>1</v>
      </c>
      <c r="R177" s="664" t="s">
        <v>496</v>
      </c>
      <c r="S177" s="664">
        <v>100</v>
      </c>
      <c r="T177" s="666">
        <v>13000000</v>
      </c>
      <c r="U177" s="666">
        <v>2019334</v>
      </c>
      <c r="V177" s="664">
        <v>100</v>
      </c>
      <c r="W177" s="666">
        <v>5879988</v>
      </c>
      <c r="X177" s="664">
        <v>14</v>
      </c>
      <c r="Y177" s="664">
        <v>1160902010</v>
      </c>
      <c r="Z177" s="664">
        <v>2023</v>
      </c>
      <c r="AA177" s="664">
        <v>12</v>
      </c>
      <c r="AB177" s="664">
        <v>5026003002</v>
      </c>
      <c r="AC177" s="664">
        <v>1160903005</v>
      </c>
      <c r="AD177" s="664">
        <v>0</v>
      </c>
      <c r="AE177" s="664">
        <v>0</v>
      </c>
      <c r="AF177" s="664">
        <v>0</v>
      </c>
      <c r="AG177" s="664">
        <v>1160605001</v>
      </c>
      <c r="AH177" s="664">
        <v>1053</v>
      </c>
      <c r="AI177" s="664" t="s">
        <v>499</v>
      </c>
      <c r="AJ177" s="667">
        <v>0.05</v>
      </c>
      <c r="AK177" s="668">
        <f t="shared" si="17"/>
        <v>650000</v>
      </c>
      <c r="AL177" s="668">
        <f t="shared" si="18"/>
        <v>650000</v>
      </c>
      <c r="AM177" s="668">
        <f t="shared" si="18"/>
        <v>650000</v>
      </c>
      <c r="AN177" s="668"/>
      <c r="AO177" s="668"/>
      <c r="AP177" s="668">
        <f t="shared" si="19"/>
        <v>50483.350000000006</v>
      </c>
      <c r="AQ177" s="668">
        <f t="shared" si="20"/>
        <v>50483.350000000006</v>
      </c>
      <c r="AR177" s="668">
        <f t="shared" si="20"/>
        <v>50483.350000000006</v>
      </c>
      <c r="AS177" s="668"/>
      <c r="AT177" s="668"/>
      <c r="AV177" s="670">
        <f t="shared" si="21"/>
        <v>11050000</v>
      </c>
      <c r="AW177" s="670">
        <f t="shared" si="22"/>
        <v>1867883.9499999997</v>
      </c>
      <c r="AX177" s="671">
        <f t="shared" si="16"/>
        <v>0</v>
      </c>
    </row>
    <row r="178" spans="1:50">
      <c r="A178" s="664" t="s">
        <v>494</v>
      </c>
      <c r="B178" s="664"/>
      <c r="C178" s="664"/>
      <c r="D178" s="664">
        <v>1160505001</v>
      </c>
      <c r="E178" s="664">
        <v>0</v>
      </c>
      <c r="F178" s="664">
        <v>41538</v>
      </c>
      <c r="G178" s="665">
        <v>42792</v>
      </c>
      <c r="H178" s="665">
        <v>43522</v>
      </c>
      <c r="I178" s="664">
        <v>1746</v>
      </c>
      <c r="J178" s="666">
        <v>4400000</v>
      </c>
      <c r="K178" s="666">
        <v>967993</v>
      </c>
      <c r="L178" s="666">
        <v>0</v>
      </c>
      <c r="M178" s="664" t="s">
        <v>495</v>
      </c>
      <c r="N178" s="666">
        <v>4400000</v>
      </c>
      <c r="O178" s="666">
        <v>967993</v>
      </c>
      <c r="P178" s="666">
        <v>3841200</v>
      </c>
      <c r="Q178" s="664">
        <v>1</v>
      </c>
      <c r="R178" s="664" t="s">
        <v>496</v>
      </c>
      <c r="S178" s="664">
        <v>100</v>
      </c>
      <c r="T178" s="666">
        <v>4400000</v>
      </c>
      <c r="U178" s="666">
        <v>967993</v>
      </c>
      <c r="V178" s="664">
        <v>100</v>
      </c>
      <c r="W178" s="666">
        <v>3915709</v>
      </c>
      <c r="X178" s="664">
        <v>2</v>
      </c>
      <c r="Y178" s="664">
        <v>1160902010</v>
      </c>
      <c r="Z178" s="664">
        <v>2023</v>
      </c>
      <c r="AA178" s="664">
        <v>12</v>
      </c>
      <c r="AB178" s="664">
        <v>5026003002</v>
      </c>
      <c r="AC178" s="664">
        <v>1160903005</v>
      </c>
      <c r="AD178" s="664">
        <v>0</v>
      </c>
      <c r="AE178" s="664">
        <v>0</v>
      </c>
      <c r="AF178" s="664">
        <v>0</v>
      </c>
      <c r="AG178" s="664">
        <v>1160605001</v>
      </c>
      <c r="AH178" s="664">
        <v>1746</v>
      </c>
      <c r="AI178" s="664" t="s">
        <v>497</v>
      </c>
      <c r="AJ178" s="667">
        <v>0.01</v>
      </c>
      <c r="AK178" s="668">
        <f t="shared" si="17"/>
        <v>44000</v>
      </c>
      <c r="AL178" s="668">
        <f t="shared" si="18"/>
        <v>44000</v>
      </c>
      <c r="AM178" s="668">
        <f t="shared" si="18"/>
        <v>44000</v>
      </c>
      <c r="AN178" s="668"/>
      <c r="AO178" s="668"/>
      <c r="AP178" s="668">
        <f t="shared" si="19"/>
        <v>4839.9650000000001</v>
      </c>
      <c r="AQ178" s="668">
        <f t="shared" si="20"/>
        <v>4839.9650000000001</v>
      </c>
      <c r="AR178" s="668">
        <f t="shared" si="20"/>
        <v>4839.9650000000001</v>
      </c>
      <c r="AS178" s="668"/>
      <c r="AT178" s="668"/>
      <c r="AV178" s="670">
        <f t="shared" si="21"/>
        <v>4268000</v>
      </c>
      <c r="AW178" s="670">
        <f t="shared" si="22"/>
        <v>953473.1050000001</v>
      </c>
      <c r="AX178" s="671">
        <f t="shared" si="16"/>
        <v>0</v>
      </c>
    </row>
    <row r="179" spans="1:50">
      <c r="A179" s="664" t="s">
        <v>494</v>
      </c>
      <c r="B179" s="664"/>
      <c r="C179" s="664"/>
      <c r="D179" s="664">
        <v>1160505001</v>
      </c>
      <c r="E179" s="664">
        <v>0</v>
      </c>
      <c r="F179" s="664">
        <v>44862</v>
      </c>
      <c r="G179" s="665">
        <v>43282</v>
      </c>
      <c r="H179" s="665">
        <v>44378</v>
      </c>
      <c r="I179" s="664">
        <v>901</v>
      </c>
      <c r="J179" s="666">
        <v>3000000</v>
      </c>
      <c r="K179" s="666">
        <v>189000</v>
      </c>
      <c r="L179" s="666">
        <v>0</v>
      </c>
      <c r="M179" s="664" t="s">
        <v>495</v>
      </c>
      <c r="N179" s="666">
        <v>3000000</v>
      </c>
      <c r="O179" s="666">
        <v>189000</v>
      </c>
      <c r="P179" s="666">
        <v>1351500</v>
      </c>
      <c r="Q179" s="664">
        <v>1</v>
      </c>
      <c r="R179" s="664" t="s">
        <v>496</v>
      </c>
      <c r="S179" s="664">
        <v>100</v>
      </c>
      <c r="T179" s="666">
        <v>3000000</v>
      </c>
      <c r="U179" s="666">
        <v>189000</v>
      </c>
      <c r="V179" s="664">
        <v>100</v>
      </c>
      <c r="W179" s="666">
        <v>8941007</v>
      </c>
      <c r="X179" s="664">
        <v>2</v>
      </c>
      <c r="Y179" s="664">
        <v>1160902010</v>
      </c>
      <c r="Z179" s="664">
        <v>2023</v>
      </c>
      <c r="AA179" s="664">
        <v>12</v>
      </c>
      <c r="AB179" s="664">
        <v>5026003002</v>
      </c>
      <c r="AC179" s="664">
        <v>1160903005</v>
      </c>
      <c r="AD179" s="664">
        <v>0</v>
      </c>
      <c r="AE179" s="664">
        <v>0</v>
      </c>
      <c r="AF179" s="664">
        <v>0</v>
      </c>
      <c r="AG179" s="664">
        <v>1160605001</v>
      </c>
      <c r="AH179" s="664">
        <v>1351</v>
      </c>
      <c r="AI179" s="664" t="s">
        <v>497</v>
      </c>
      <c r="AJ179" s="667">
        <v>0.01</v>
      </c>
      <c r="AK179" s="668">
        <f t="shared" si="17"/>
        <v>30000</v>
      </c>
      <c r="AL179" s="668">
        <f t="shared" si="18"/>
        <v>30000</v>
      </c>
      <c r="AM179" s="668">
        <f t="shared" si="18"/>
        <v>30000</v>
      </c>
      <c r="AN179" s="668"/>
      <c r="AO179" s="668"/>
      <c r="AP179" s="668">
        <f t="shared" si="19"/>
        <v>945</v>
      </c>
      <c r="AQ179" s="668">
        <f t="shared" si="20"/>
        <v>945</v>
      </c>
      <c r="AR179" s="668">
        <f t="shared" si="20"/>
        <v>945</v>
      </c>
      <c r="AS179" s="668"/>
      <c r="AT179" s="668"/>
      <c r="AV179" s="670">
        <f t="shared" si="21"/>
        <v>2910000</v>
      </c>
      <c r="AW179" s="670">
        <f t="shared" si="22"/>
        <v>186165</v>
      </c>
      <c r="AX179" s="671">
        <f t="shared" si="16"/>
        <v>0</v>
      </c>
    </row>
    <row r="180" spans="1:50">
      <c r="A180" s="664" t="s">
        <v>494</v>
      </c>
      <c r="B180" s="664"/>
      <c r="C180" s="664"/>
      <c r="D180" s="664">
        <v>1160505001</v>
      </c>
      <c r="E180" s="664">
        <v>0</v>
      </c>
      <c r="F180" s="664">
        <v>46515</v>
      </c>
      <c r="G180" s="665">
        <v>43556</v>
      </c>
      <c r="H180" s="665">
        <v>43922</v>
      </c>
      <c r="I180" s="664">
        <v>1351</v>
      </c>
      <c r="J180" s="666">
        <v>1000000</v>
      </c>
      <c r="K180" s="666">
        <v>0</v>
      </c>
      <c r="L180" s="666">
        <v>0</v>
      </c>
      <c r="M180" s="664" t="s">
        <v>495</v>
      </c>
      <c r="N180" s="666">
        <v>1000000</v>
      </c>
      <c r="O180" s="666">
        <v>0</v>
      </c>
      <c r="P180" s="666">
        <v>675500</v>
      </c>
      <c r="Q180" s="664">
        <v>1</v>
      </c>
      <c r="R180" s="664" t="s">
        <v>496</v>
      </c>
      <c r="S180" s="664">
        <v>100</v>
      </c>
      <c r="T180" s="666">
        <v>1000000</v>
      </c>
      <c r="U180" s="666">
        <v>0</v>
      </c>
      <c r="V180" s="664">
        <v>100</v>
      </c>
      <c r="W180" s="666">
        <v>8941007</v>
      </c>
      <c r="X180" s="664">
        <v>2</v>
      </c>
      <c r="Y180" s="664">
        <v>1160902010</v>
      </c>
      <c r="Z180" s="664">
        <v>2023</v>
      </c>
      <c r="AA180" s="664">
        <v>12</v>
      </c>
      <c r="AB180" s="664">
        <v>5026003002</v>
      </c>
      <c r="AC180" s="664">
        <v>1160903005</v>
      </c>
      <c r="AD180" s="664">
        <v>0</v>
      </c>
      <c r="AE180" s="664">
        <v>0</v>
      </c>
      <c r="AF180" s="664">
        <v>0</v>
      </c>
      <c r="AG180" s="664">
        <v>1160605001</v>
      </c>
      <c r="AH180" s="664">
        <v>1351</v>
      </c>
      <c r="AI180" s="664" t="s">
        <v>497</v>
      </c>
      <c r="AJ180" s="667">
        <v>0.01</v>
      </c>
      <c r="AK180" s="668">
        <f t="shared" si="17"/>
        <v>10000</v>
      </c>
      <c r="AL180" s="668">
        <f t="shared" si="18"/>
        <v>10000</v>
      </c>
      <c r="AM180" s="668">
        <f t="shared" si="18"/>
        <v>10000</v>
      </c>
      <c r="AN180" s="668"/>
      <c r="AO180" s="668"/>
      <c r="AP180" s="668">
        <f t="shared" si="19"/>
        <v>0</v>
      </c>
      <c r="AQ180" s="668">
        <f t="shared" si="20"/>
        <v>0</v>
      </c>
      <c r="AR180" s="668">
        <f t="shared" si="20"/>
        <v>0</v>
      </c>
      <c r="AS180" s="668"/>
      <c r="AT180" s="668"/>
      <c r="AV180" s="670">
        <f t="shared" si="21"/>
        <v>970000</v>
      </c>
      <c r="AW180" s="670">
        <f t="shared" si="22"/>
        <v>0</v>
      </c>
      <c r="AX180" s="671">
        <f t="shared" si="16"/>
        <v>0</v>
      </c>
    </row>
    <row r="181" spans="1:50">
      <c r="A181" s="664" t="s">
        <v>494</v>
      </c>
      <c r="B181" s="664"/>
      <c r="C181" s="664"/>
      <c r="D181" s="664">
        <v>1160505004</v>
      </c>
      <c r="E181" s="664">
        <v>45540</v>
      </c>
      <c r="F181" s="664">
        <v>45541</v>
      </c>
      <c r="G181" s="665">
        <v>43447</v>
      </c>
      <c r="H181" s="665">
        <v>44543</v>
      </c>
      <c r="I181" s="664">
        <v>739</v>
      </c>
      <c r="J181" s="666">
        <v>21996537</v>
      </c>
      <c r="K181" s="666">
        <v>8072200</v>
      </c>
      <c r="L181" s="666">
        <v>0</v>
      </c>
      <c r="M181" s="664" t="s">
        <v>495</v>
      </c>
      <c r="N181" s="666">
        <v>21996537</v>
      </c>
      <c r="O181" s="666">
        <v>8072200</v>
      </c>
      <c r="P181" s="666">
        <v>8127720</v>
      </c>
      <c r="Q181" s="664">
        <v>1</v>
      </c>
      <c r="R181" s="664" t="s">
        <v>496</v>
      </c>
      <c r="S181" s="664">
        <v>100</v>
      </c>
      <c r="T181" s="666">
        <v>21996537</v>
      </c>
      <c r="U181" s="666">
        <v>8072200</v>
      </c>
      <c r="V181" s="664">
        <v>100</v>
      </c>
      <c r="W181" s="666">
        <v>7361964</v>
      </c>
      <c r="X181" s="664">
        <v>5</v>
      </c>
      <c r="Y181" s="664">
        <v>1160902010</v>
      </c>
      <c r="Z181" s="664">
        <v>2023</v>
      </c>
      <c r="AA181" s="664">
        <v>12</v>
      </c>
      <c r="AB181" s="664">
        <v>5026003002</v>
      </c>
      <c r="AC181" s="664">
        <v>1160903005</v>
      </c>
      <c r="AD181" s="664">
        <v>0</v>
      </c>
      <c r="AE181" s="664">
        <v>0</v>
      </c>
      <c r="AF181" s="664">
        <v>0</v>
      </c>
      <c r="AG181" s="664">
        <v>1160605001</v>
      </c>
      <c r="AH181" s="664">
        <v>739</v>
      </c>
      <c r="AI181" s="664" t="s">
        <v>499</v>
      </c>
      <c r="AJ181" s="667">
        <v>0.05</v>
      </c>
      <c r="AK181" s="668">
        <f t="shared" si="17"/>
        <v>1099826.8500000001</v>
      </c>
      <c r="AL181" s="668">
        <f t="shared" si="18"/>
        <v>1099826.8500000001</v>
      </c>
      <c r="AM181" s="668">
        <f t="shared" si="18"/>
        <v>1099826.8500000001</v>
      </c>
      <c r="AN181" s="668"/>
      <c r="AO181" s="668"/>
      <c r="AP181" s="668">
        <f t="shared" si="19"/>
        <v>201805</v>
      </c>
      <c r="AQ181" s="668">
        <f t="shared" si="20"/>
        <v>201805</v>
      </c>
      <c r="AR181" s="668">
        <f t="shared" si="20"/>
        <v>201805</v>
      </c>
      <c r="AS181" s="668"/>
      <c r="AT181" s="668"/>
      <c r="AV181" s="670">
        <f t="shared" si="21"/>
        <v>18697056.449999996</v>
      </c>
      <c r="AW181" s="670">
        <f t="shared" si="22"/>
        <v>7466785</v>
      </c>
      <c r="AX181" s="671">
        <f t="shared" si="16"/>
        <v>0</v>
      </c>
    </row>
    <row r="182" spans="1:50">
      <c r="A182" s="664" t="s">
        <v>494</v>
      </c>
      <c r="B182" s="664"/>
      <c r="C182" s="664"/>
      <c r="D182" s="664">
        <v>1160505004</v>
      </c>
      <c r="E182" s="664">
        <v>0</v>
      </c>
      <c r="F182" s="664">
        <v>43091</v>
      </c>
      <c r="G182" s="665">
        <v>43447</v>
      </c>
      <c r="H182" s="665">
        <v>44543</v>
      </c>
      <c r="I182" s="664">
        <v>739</v>
      </c>
      <c r="J182" s="666">
        <v>0</v>
      </c>
      <c r="K182" s="666">
        <v>2929013</v>
      </c>
      <c r="L182" s="666">
        <v>0</v>
      </c>
      <c r="M182" s="664" t="s">
        <v>495</v>
      </c>
      <c r="N182" s="666">
        <v>0</v>
      </c>
      <c r="O182" s="666">
        <v>2929013</v>
      </c>
      <c r="P182" s="666">
        <v>0</v>
      </c>
      <c r="Q182" s="664">
        <v>1</v>
      </c>
      <c r="R182" s="664" t="s">
        <v>496</v>
      </c>
      <c r="S182" s="664">
        <v>100</v>
      </c>
      <c r="T182" s="666">
        <v>0</v>
      </c>
      <c r="U182" s="666">
        <v>2929013</v>
      </c>
      <c r="V182" s="664">
        <v>100</v>
      </c>
      <c r="W182" s="666">
        <v>7361964</v>
      </c>
      <c r="X182" s="664">
        <v>5</v>
      </c>
      <c r="Y182" s="664">
        <v>1160902010</v>
      </c>
      <c r="Z182" s="664">
        <v>2023</v>
      </c>
      <c r="AA182" s="664">
        <v>12</v>
      </c>
      <c r="AB182" s="664">
        <v>5026003002</v>
      </c>
      <c r="AC182" s="664">
        <v>1160903005</v>
      </c>
      <c r="AD182" s="664">
        <v>0</v>
      </c>
      <c r="AE182" s="664">
        <v>0</v>
      </c>
      <c r="AF182" s="664">
        <v>0</v>
      </c>
      <c r="AG182" s="664">
        <v>1160605001</v>
      </c>
      <c r="AH182" s="664">
        <v>739</v>
      </c>
      <c r="AI182" s="664" t="s">
        <v>499</v>
      </c>
      <c r="AJ182" s="667">
        <v>0.05</v>
      </c>
      <c r="AK182" s="668">
        <f t="shared" si="17"/>
        <v>0</v>
      </c>
      <c r="AL182" s="668">
        <f t="shared" si="18"/>
        <v>0</v>
      </c>
      <c r="AM182" s="668">
        <f t="shared" si="18"/>
        <v>0</v>
      </c>
      <c r="AN182" s="668"/>
      <c r="AO182" s="668"/>
      <c r="AP182" s="668">
        <f t="shared" si="19"/>
        <v>73225.324999999997</v>
      </c>
      <c r="AQ182" s="668">
        <f t="shared" si="20"/>
        <v>73225.324999999997</v>
      </c>
      <c r="AR182" s="668">
        <f t="shared" si="20"/>
        <v>73225.324999999997</v>
      </c>
      <c r="AS182" s="668"/>
      <c r="AT182" s="668"/>
      <c r="AV182" s="670">
        <f t="shared" si="21"/>
        <v>0</v>
      </c>
      <c r="AW182" s="670">
        <f t="shared" si="22"/>
        <v>2709337.0249999994</v>
      </c>
      <c r="AX182" s="671">
        <f t="shared" si="16"/>
        <v>0</v>
      </c>
    </row>
    <row r="183" spans="1:50">
      <c r="A183" s="664" t="s">
        <v>494</v>
      </c>
      <c r="B183" s="664"/>
      <c r="C183" s="664"/>
      <c r="D183" s="664">
        <v>1160505004</v>
      </c>
      <c r="E183" s="664">
        <v>36446</v>
      </c>
      <c r="F183" s="664">
        <v>42079</v>
      </c>
      <c r="G183" s="665">
        <v>42859</v>
      </c>
      <c r="H183" s="665">
        <v>43955</v>
      </c>
      <c r="I183" s="664">
        <v>1318</v>
      </c>
      <c r="J183" s="666">
        <v>8036703</v>
      </c>
      <c r="K183" s="666">
        <v>1844206</v>
      </c>
      <c r="L183" s="666">
        <v>0</v>
      </c>
      <c r="M183" s="664" t="s">
        <v>495</v>
      </c>
      <c r="N183" s="666">
        <v>8036703</v>
      </c>
      <c r="O183" s="666">
        <v>1844206</v>
      </c>
      <c r="P183" s="666">
        <v>5296187</v>
      </c>
      <c r="Q183" s="664">
        <v>1</v>
      </c>
      <c r="R183" s="664" t="s">
        <v>496</v>
      </c>
      <c r="S183" s="664">
        <v>100</v>
      </c>
      <c r="T183" s="666">
        <v>8036703</v>
      </c>
      <c r="U183" s="666">
        <v>1844206</v>
      </c>
      <c r="V183" s="664">
        <v>100</v>
      </c>
      <c r="W183" s="666">
        <v>3127493</v>
      </c>
      <c r="X183" s="664">
        <v>5</v>
      </c>
      <c r="Y183" s="664">
        <v>1160902010</v>
      </c>
      <c r="Z183" s="664">
        <v>2023</v>
      </c>
      <c r="AA183" s="664">
        <v>12</v>
      </c>
      <c r="AB183" s="664">
        <v>5026003002</v>
      </c>
      <c r="AC183" s="664">
        <v>1160903005</v>
      </c>
      <c r="AD183" s="664">
        <v>0</v>
      </c>
      <c r="AE183" s="664">
        <v>0</v>
      </c>
      <c r="AF183" s="664">
        <v>0</v>
      </c>
      <c r="AG183" s="664">
        <v>1160605001</v>
      </c>
      <c r="AH183" s="664">
        <v>1318</v>
      </c>
      <c r="AI183" s="664" t="s">
        <v>497</v>
      </c>
      <c r="AJ183" s="667">
        <v>0.01</v>
      </c>
      <c r="AK183" s="668">
        <f t="shared" si="17"/>
        <v>80367.03</v>
      </c>
      <c r="AL183" s="668">
        <f t="shared" si="18"/>
        <v>80367.03</v>
      </c>
      <c r="AM183" s="668">
        <f t="shared" si="18"/>
        <v>80367.03</v>
      </c>
      <c r="AN183" s="668"/>
      <c r="AO183" s="668"/>
      <c r="AP183" s="668">
        <f t="shared" si="19"/>
        <v>9221.0300000000007</v>
      </c>
      <c r="AQ183" s="668">
        <f t="shared" si="20"/>
        <v>9221.0300000000007</v>
      </c>
      <c r="AR183" s="668">
        <f t="shared" si="20"/>
        <v>9221.0300000000007</v>
      </c>
      <c r="AS183" s="668"/>
      <c r="AT183" s="668"/>
      <c r="AV183" s="670">
        <f t="shared" si="21"/>
        <v>7795601.9099999992</v>
      </c>
      <c r="AW183" s="670">
        <f t="shared" si="22"/>
        <v>1816542.91</v>
      </c>
      <c r="AX183" s="671">
        <f t="shared" si="16"/>
        <v>0</v>
      </c>
    </row>
    <row r="184" spans="1:50">
      <c r="A184" s="664" t="s">
        <v>494</v>
      </c>
      <c r="B184" s="664"/>
      <c r="C184" s="664"/>
      <c r="D184" s="664">
        <v>1160505004</v>
      </c>
      <c r="E184" s="664">
        <v>39730</v>
      </c>
      <c r="F184" s="664">
        <v>43161</v>
      </c>
      <c r="G184" s="665">
        <v>43086</v>
      </c>
      <c r="H184" s="665">
        <v>44182</v>
      </c>
      <c r="I184" s="664">
        <v>1095</v>
      </c>
      <c r="J184" s="666">
        <v>2429000</v>
      </c>
      <c r="K184" s="666">
        <v>801576</v>
      </c>
      <c r="L184" s="666">
        <v>0</v>
      </c>
      <c r="M184" s="664" t="s">
        <v>495</v>
      </c>
      <c r="N184" s="666">
        <v>2429000</v>
      </c>
      <c r="O184" s="666">
        <v>801576</v>
      </c>
      <c r="P184" s="666">
        <v>1329878</v>
      </c>
      <c r="Q184" s="664">
        <v>1</v>
      </c>
      <c r="R184" s="664" t="s">
        <v>496</v>
      </c>
      <c r="S184" s="664">
        <v>100</v>
      </c>
      <c r="T184" s="666">
        <v>2429000</v>
      </c>
      <c r="U184" s="666">
        <v>801576</v>
      </c>
      <c r="V184" s="664">
        <v>100</v>
      </c>
      <c r="W184" s="666">
        <v>2158439</v>
      </c>
      <c r="X184" s="664">
        <v>5</v>
      </c>
      <c r="Y184" s="664">
        <v>1160902010</v>
      </c>
      <c r="Z184" s="664">
        <v>2023</v>
      </c>
      <c r="AA184" s="664">
        <v>12</v>
      </c>
      <c r="AB184" s="664">
        <v>5026003002</v>
      </c>
      <c r="AC184" s="664">
        <v>1160903005</v>
      </c>
      <c r="AD184" s="664">
        <v>0</v>
      </c>
      <c r="AE184" s="664">
        <v>0</v>
      </c>
      <c r="AF184" s="664">
        <v>0</v>
      </c>
      <c r="AG184" s="664">
        <v>1160605001</v>
      </c>
      <c r="AH184" s="664">
        <v>1095</v>
      </c>
      <c r="AI184" s="664" t="s">
        <v>497</v>
      </c>
      <c r="AJ184" s="667">
        <v>0.01</v>
      </c>
      <c r="AK184" s="668">
        <f t="shared" si="17"/>
        <v>24290</v>
      </c>
      <c r="AL184" s="668">
        <f t="shared" si="18"/>
        <v>24290</v>
      </c>
      <c r="AM184" s="668">
        <f t="shared" si="18"/>
        <v>24290</v>
      </c>
      <c r="AN184" s="668"/>
      <c r="AO184" s="668"/>
      <c r="AP184" s="668">
        <f t="shared" si="19"/>
        <v>4007.88</v>
      </c>
      <c r="AQ184" s="668">
        <f t="shared" si="20"/>
        <v>4007.88</v>
      </c>
      <c r="AR184" s="668">
        <f t="shared" si="20"/>
        <v>4007.88</v>
      </c>
      <c r="AS184" s="668"/>
      <c r="AT184" s="668"/>
      <c r="AV184" s="670">
        <f t="shared" si="21"/>
        <v>2356130</v>
      </c>
      <c r="AW184" s="670">
        <f t="shared" si="22"/>
        <v>789552.36</v>
      </c>
      <c r="AX184" s="671">
        <f t="shared" si="16"/>
        <v>0</v>
      </c>
    </row>
    <row r="185" spans="1:50">
      <c r="A185" s="664" t="s">
        <v>494</v>
      </c>
      <c r="B185" s="664"/>
      <c r="C185" s="664"/>
      <c r="D185" s="664">
        <v>1160505001</v>
      </c>
      <c r="E185" s="664">
        <v>0</v>
      </c>
      <c r="F185" s="664">
        <v>42570</v>
      </c>
      <c r="G185" s="665">
        <v>42925</v>
      </c>
      <c r="H185" s="665">
        <v>44386</v>
      </c>
      <c r="I185" s="664">
        <v>893</v>
      </c>
      <c r="J185" s="666">
        <v>2089552</v>
      </c>
      <c r="K185" s="666">
        <v>0</v>
      </c>
      <c r="L185" s="666">
        <v>0</v>
      </c>
      <c r="M185" s="664" t="s">
        <v>495</v>
      </c>
      <c r="N185" s="666">
        <v>2089552</v>
      </c>
      <c r="O185" s="666">
        <v>0</v>
      </c>
      <c r="P185" s="666">
        <v>932985</v>
      </c>
      <c r="Q185" s="664">
        <v>1</v>
      </c>
      <c r="R185" s="664" t="s">
        <v>496</v>
      </c>
      <c r="S185" s="664">
        <v>100</v>
      </c>
      <c r="T185" s="666">
        <v>2089552</v>
      </c>
      <c r="U185" s="666">
        <v>0</v>
      </c>
      <c r="V185" s="664">
        <v>100</v>
      </c>
      <c r="W185" s="666">
        <v>1137320</v>
      </c>
      <c r="X185" s="664">
        <v>14</v>
      </c>
      <c r="Y185" s="664">
        <v>1160902010</v>
      </c>
      <c r="Z185" s="664">
        <v>2023</v>
      </c>
      <c r="AA185" s="664">
        <v>12</v>
      </c>
      <c r="AB185" s="664">
        <v>5026003002</v>
      </c>
      <c r="AC185" s="664">
        <v>1160903005</v>
      </c>
      <c r="AD185" s="664">
        <v>0</v>
      </c>
      <c r="AE185" s="664">
        <v>0</v>
      </c>
      <c r="AF185" s="664">
        <v>0</v>
      </c>
      <c r="AG185" s="664">
        <v>1160605001</v>
      </c>
      <c r="AH185" s="664">
        <v>893</v>
      </c>
      <c r="AI185" s="664" t="s">
        <v>499</v>
      </c>
      <c r="AJ185" s="667">
        <v>0.05</v>
      </c>
      <c r="AK185" s="668">
        <f t="shared" si="17"/>
        <v>104477.6</v>
      </c>
      <c r="AL185" s="668">
        <f t="shared" si="18"/>
        <v>104477.6</v>
      </c>
      <c r="AM185" s="668">
        <f t="shared" si="18"/>
        <v>104477.6</v>
      </c>
      <c r="AN185" s="668"/>
      <c r="AO185" s="668"/>
      <c r="AP185" s="668">
        <f t="shared" si="19"/>
        <v>0</v>
      </c>
      <c r="AQ185" s="668">
        <f t="shared" si="20"/>
        <v>0</v>
      </c>
      <c r="AR185" s="668">
        <f t="shared" si="20"/>
        <v>0</v>
      </c>
      <c r="AS185" s="668"/>
      <c r="AT185" s="668"/>
      <c r="AV185" s="670">
        <f t="shared" si="21"/>
        <v>1776119.1999999997</v>
      </c>
      <c r="AW185" s="670">
        <f t="shared" si="22"/>
        <v>0</v>
      </c>
      <c r="AX185" s="671">
        <f t="shared" si="16"/>
        <v>0</v>
      </c>
    </row>
    <row r="186" spans="1:50">
      <c r="A186" s="664" t="s">
        <v>494</v>
      </c>
      <c r="B186" s="664"/>
      <c r="C186" s="664"/>
      <c r="D186" s="664">
        <v>1160505001</v>
      </c>
      <c r="E186" s="664">
        <v>0</v>
      </c>
      <c r="F186" s="664">
        <v>43660</v>
      </c>
      <c r="G186" s="665">
        <v>43143</v>
      </c>
      <c r="H186" s="665">
        <v>44239</v>
      </c>
      <c r="I186" s="664">
        <v>1040</v>
      </c>
      <c r="J186" s="666">
        <v>2811644</v>
      </c>
      <c r="K186" s="666">
        <v>0</v>
      </c>
      <c r="L186" s="666">
        <v>0</v>
      </c>
      <c r="M186" s="664" t="s">
        <v>495</v>
      </c>
      <c r="N186" s="666">
        <v>2811644</v>
      </c>
      <c r="O186" s="666">
        <v>0</v>
      </c>
      <c r="P186" s="666">
        <v>1462055</v>
      </c>
      <c r="Q186" s="664">
        <v>1</v>
      </c>
      <c r="R186" s="664" t="s">
        <v>496</v>
      </c>
      <c r="S186" s="664">
        <v>100</v>
      </c>
      <c r="T186" s="666">
        <v>2811644</v>
      </c>
      <c r="U186" s="666">
        <v>0</v>
      </c>
      <c r="V186" s="664">
        <v>100</v>
      </c>
      <c r="W186" s="666">
        <v>5458897</v>
      </c>
      <c r="X186" s="664">
        <v>2</v>
      </c>
      <c r="Y186" s="664">
        <v>1160902010</v>
      </c>
      <c r="Z186" s="664">
        <v>2023</v>
      </c>
      <c r="AA186" s="664">
        <v>12</v>
      </c>
      <c r="AB186" s="664">
        <v>5026003002</v>
      </c>
      <c r="AC186" s="664">
        <v>1160903005</v>
      </c>
      <c r="AD186" s="664">
        <v>0</v>
      </c>
      <c r="AE186" s="664">
        <v>0</v>
      </c>
      <c r="AF186" s="664">
        <v>0</v>
      </c>
      <c r="AG186" s="664">
        <v>1160605001</v>
      </c>
      <c r="AH186" s="664">
        <v>1040</v>
      </c>
      <c r="AI186" s="664" t="s">
        <v>499</v>
      </c>
      <c r="AJ186" s="667">
        <v>0.05</v>
      </c>
      <c r="AK186" s="668">
        <f t="shared" si="17"/>
        <v>140582.20000000001</v>
      </c>
      <c r="AL186" s="668">
        <f t="shared" si="18"/>
        <v>140582.20000000001</v>
      </c>
      <c r="AM186" s="668">
        <f t="shared" si="18"/>
        <v>140582.20000000001</v>
      </c>
      <c r="AN186" s="668"/>
      <c r="AO186" s="668"/>
      <c r="AP186" s="668">
        <f t="shared" si="19"/>
        <v>0</v>
      </c>
      <c r="AQ186" s="668">
        <f t="shared" si="20"/>
        <v>0</v>
      </c>
      <c r="AR186" s="668">
        <f t="shared" si="20"/>
        <v>0</v>
      </c>
      <c r="AS186" s="668"/>
      <c r="AT186" s="668"/>
      <c r="AV186" s="670">
        <f t="shared" si="21"/>
        <v>2389897.3999999994</v>
      </c>
      <c r="AW186" s="670">
        <f t="shared" si="22"/>
        <v>0</v>
      </c>
      <c r="AX186" s="671">
        <f t="shared" si="16"/>
        <v>0</v>
      </c>
    </row>
    <row r="187" spans="1:50">
      <c r="A187" s="664" t="s">
        <v>494</v>
      </c>
      <c r="B187" s="664"/>
      <c r="C187" s="664"/>
      <c r="D187" s="664">
        <v>1160505001</v>
      </c>
      <c r="E187" s="664">
        <v>0</v>
      </c>
      <c r="F187" s="664">
        <v>44427</v>
      </c>
      <c r="G187" s="665">
        <v>43226</v>
      </c>
      <c r="H187" s="665">
        <v>44322</v>
      </c>
      <c r="I187" s="664">
        <v>956</v>
      </c>
      <c r="J187" s="666">
        <v>10684000</v>
      </c>
      <c r="K187" s="666">
        <v>1891068</v>
      </c>
      <c r="L187" s="666">
        <v>0</v>
      </c>
      <c r="M187" s="664" t="s">
        <v>495</v>
      </c>
      <c r="N187" s="666">
        <v>10684000</v>
      </c>
      <c r="O187" s="666">
        <v>1891068</v>
      </c>
      <c r="P187" s="666">
        <v>5106952</v>
      </c>
      <c r="Q187" s="664">
        <v>1</v>
      </c>
      <c r="R187" s="664" t="s">
        <v>496</v>
      </c>
      <c r="S187" s="664">
        <v>100</v>
      </c>
      <c r="T187" s="666">
        <v>10684000</v>
      </c>
      <c r="U187" s="666">
        <v>1891068</v>
      </c>
      <c r="V187" s="664">
        <v>100</v>
      </c>
      <c r="W187" s="666">
        <v>5458897</v>
      </c>
      <c r="X187" s="664">
        <v>2</v>
      </c>
      <c r="Y187" s="664">
        <v>1160902010</v>
      </c>
      <c r="Z187" s="664">
        <v>2023</v>
      </c>
      <c r="AA187" s="664">
        <v>12</v>
      </c>
      <c r="AB187" s="664">
        <v>5026003002</v>
      </c>
      <c r="AC187" s="664">
        <v>1160903005</v>
      </c>
      <c r="AD187" s="664">
        <v>0</v>
      </c>
      <c r="AE187" s="664">
        <v>0</v>
      </c>
      <c r="AF187" s="664">
        <v>0</v>
      </c>
      <c r="AG187" s="664">
        <v>1160605001</v>
      </c>
      <c r="AH187" s="664">
        <v>1040</v>
      </c>
      <c r="AI187" s="664" t="s">
        <v>499</v>
      </c>
      <c r="AJ187" s="667">
        <v>0.05</v>
      </c>
      <c r="AK187" s="668">
        <f t="shared" si="17"/>
        <v>534200</v>
      </c>
      <c r="AL187" s="668">
        <f t="shared" si="18"/>
        <v>534200</v>
      </c>
      <c r="AM187" s="668">
        <f t="shared" si="18"/>
        <v>534200</v>
      </c>
      <c r="AN187" s="668"/>
      <c r="AO187" s="668"/>
      <c r="AP187" s="668">
        <f t="shared" si="19"/>
        <v>47276.700000000004</v>
      </c>
      <c r="AQ187" s="668">
        <f t="shared" si="20"/>
        <v>47276.700000000004</v>
      </c>
      <c r="AR187" s="668">
        <f t="shared" si="20"/>
        <v>47276.700000000004</v>
      </c>
      <c r="AS187" s="668"/>
      <c r="AT187" s="668"/>
      <c r="AV187" s="670">
        <f t="shared" si="21"/>
        <v>9081400</v>
      </c>
      <c r="AW187" s="670">
        <f t="shared" si="22"/>
        <v>1749237.9000000001</v>
      </c>
      <c r="AX187" s="671">
        <f t="shared" si="16"/>
        <v>0</v>
      </c>
    </row>
    <row r="188" spans="1:50">
      <c r="A188" s="664" t="s">
        <v>494</v>
      </c>
      <c r="B188" s="664"/>
      <c r="C188" s="664"/>
      <c r="D188" s="664">
        <v>1160505001</v>
      </c>
      <c r="E188" s="664">
        <v>0</v>
      </c>
      <c r="F188" s="664">
        <v>46838</v>
      </c>
      <c r="G188" s="665">
        <v>43618</v>
      </c>
      <c r="H188" s="665">
        <v>44714</v>
      </c>
      <c r="I188" s="664">
        <v>570</v>
      </c>
      <c r="J188" s="666">
        <v>35000000</v>
      </c>
      <c r="K188" s="666">
        <v>9450000</v>
      </c>
      <c r="L188" s="666">
        <v>0</v>
      </c>
      <c r="M188" s="664" t="s">
        <v>495</v>
      </c>
      <c r="N188" s="666">
        <v>35000000</v>
      </c>
      <c r="O188" s="666">
        <v>9450000</v>
      </c>
      <c r="P188" s="666">
        <v>9975000</v>
      </c>
      <c r="Q188" s="664">
        <v>1</v>
      </c>
      <c r="R188" s="664" t="s">
        <v>496</v>
      </c>
      <c r="S188" s="664">
        <v>100</v>
      </c>
      <c r="T188" s="666">
        <v>35000000</v>
      </c>
      <c r="U188" s="666">
        <v>9450000</v>
      </c>
      <c r="V188" s="664">
        <v>100</v>
      </c>
      <c r="W188" s="666">
        <v>8185259</v>
      </c>
      <c r="X188" s="664">
        <v>2</v>
      </c>
      <c r="Y188" s="664">
        <v>1160902010</v>
      </c>
      <c r="Z188" s="664">
        <v>2023</v>
      </c>
      <c r="AA188" s="664">
        <v>12</v>
      </c>
      <c r="AB188" s="664">
        <v>5026003002</v>
      </c>
      <c r="AC188" s="664">
        <v>1160903005</v>
      </c>
      <c r="AD188" s="664">
        <v>0</v>
      </c>
      <c r="AE188" s="664">
        <v>0</v>
      </c>
      <c r="AF188" s="664">
        <v>0</v>
      </c>
      <c r="AG188" s="664">
        <v>1160605001</v>
      </c>
      <c r="AH188" s="664">
        <v>570</v>
      </c>
      <c r="AI188" s="664" t="s">
        <v>498</v>
      </c>
      <c r="AJ188" s="667">
        <v>0.1</v>
      </c>
      <c r="AK188" s="668">
        <f t="shared" si="17"/>
        <v>3500000</v>
      </c>
      <c r="AL188" s="668">
        <f t="shared" si="18"/>
        <v>3500000</v>
      </c>
      <c r="AM188" s="668">
        <f t="shared" si="18"/>
        <v>3500000</v>
      </c>
      <c r="AN188" s="668"/>
      <c r="AO188" s="668"/>
      <c r="AP188" s="668">
        <f t="shared" si="19"/>
        <v>472500</v>
      </c>
      <c r="AQ188" s="668">
        <f t="shared" si="20"/>
        <v>472500</v>
      </c>
      <c r="AR188" s="668">
        <f t="shared" si="20"/>
        <v>472500</v>
      </c>
      <c r="AS188" s="668"/>
      <c r="AT188" s="668"/>
      <c r="AV188" s="670">
        <f t="shared" si="21"/>
        <v>24500000</v>
      </c>
      <c r="AW188" s="670">
        <f t="shared" si="22"/>
        <v>8032500</v>
      </c>
      <c r="AX188" s="671">
        <f t="shared" si="16"/>
        <v>0</v>
      </c>
    </row>
    <row r="189" spans="1:50">
      <c r="A189" s="664" t="s">
        <v>494</v>
      </c>
      <c r="B189" s="664"/>
      <c r="C189" s="664"/>
      <c r="D189" s="664">
        <v>1160505001</v>
      </c>
      <c r="E189" s="664">
        <v>0</v>
      </c>
      <c r="F189" s="664">
        <v>42272</v>
      </c>
      <c r="G189" s="665">
        <v>42882</v>
      </c>
      <c r="H189" s="665">
        <v>44708</v>
      </c>
      <c r="I189" s="664">
        <v>575</v>
      </c>
      <c r="J189" s="666">
        <v>1000000</v>
      </c>
      <c r="K189" s="666">
        <v>103636</v>
      </c>
      <c r="L189" s="666">
        <v>0</v>
      </c>
      <c r="M189" s="664" t="s">
        <v>495</v>
      </c>
      <c r="N189" s="666">
        <v>1000000</v>
      </c>
      <c r="O189" s="666">
        <v>103636</v>
      </c>
      <c r="P189" s="666">
        <v>287500</v>
      </c>
      <c r="Q189" s="664">
        <v>1</v>
      </c>
      <c r="R189" s="664" t="s">
        <v>496</v>
      </c>
      <c r="S189" s="664">
        <v>100</v>
      </c>
      <c r="T189" s="666">
        <v>1000000</v>
      </c>
      <c r="U189" s="666">
        <v>103636</v>
      </c>
      <c r="V189" s="664">
        <v>100</v>
      </c>
      <c r="W189" s="666">
        <v>5359931</v>
      </c>
      <c r="X189" s="664">
        <v>14</v>
      </c>
      <c r="Y189" s="664">
        <v>1160902010</v>
      </c>
      <c r="Z189" s="664">
        <v>2023</v>
      </c>
      <c r="AA189" s="664">
        <v>12</v>
      </c>
      <c r="AB189" s="664">
        <v>5026003002</v>
      </c>
      <c r="AC189" s="664">
        <v>1160903005</v>
      </c>
      <c r="AD189" s="664">
        <v>0</v>
      </c>
      <c r="AE189" s="664">
        <v>0</v>
      </c>
      <c r="AF189" s="664">
        <v>0</v>
      </c>
      <c r="AG189" s="664">
        <v>1160605001</v>
      </c>
      <c r="AH189" s="664">
        <v>575</v>
      </c>
      <c r="AI189" s="664" t="s">
        <v>498</v>
      </c>
      <c r="AJ189" s="667">
        <v>0.1</v>
      </c>
      <c r="AK189" s="668">
        <f t="shared" si="17"/>
        <v>100000</v>
      </c>
      <c r="AL189" s="668">
        <f t="shared" si="18"/>
        <v>100000</v>
      </c>
      <c r="AM189" s="668">
        <f t="shared" si="18"/>
        <v>100000</v>
      </c>
      <c r="AN189" s="668"/>
      <c r="AO189" s="668"/>
      <c r="AP189" s="668">
        <f t="shared" si="19"/>
        <v>5181.8</v>
      </c>
      <c r="AQ189" s="668">
        <f t="shared" si="20"/>
        <v>5181.8</v>
      </c>
      <c r="AR189" s="668">
        <f t="shared" si="20"/>
        <v>5181.8</v>
      </c>
      <c r="AS189" s="668"/>
      <c r="AT189" s="668"/>
      <c r="AV189" s="670">
        <f t="shared" si="21"/>
        <v>700000</v>
      </c>
      <c r="AW189" s="670">
        <f t="shared" si="22"/>
        <v>88090.599999999991</v>
      </c>
      <c r="AX189" s="671">
        <f t="shared" si="16"/>
        <v>0</v>
      </c>
    </row>
    <row r="190" spans="1:50">
      <c r="A190" s="664" t="s">
        <v>494</v>
      </c>
      <c r="B190" s="664"/>
      <c r="C190" s="664"/>
      <c r="D190" s="664">
        <v>1160505001</v>
      </c>
      <c r="E190" s="664">
        <v>0</v>
      </c>
      <c r="F190" s="664">
        <v>41272</v>
      </c>
      <c r="G190" s="665">
        <v>42765</v>
      </c>
      <c r="H190" s="665">
        <v>43860</v>
      </c>
      <c r="I190" s="664">
        <v>1412</v>
      </c>
      <c r="J190" s="666">
        <v>2000000</v>
      </c>
      <c r="K190" s="666">
        <v>0</v>
      </c>
      <c r="L190" s="666">
        <v>0</v>
      </c>
      <c r="M190" s="664" t="s">
        <v>495</v>
      </c>
      <c r="N190" s="666">
        <v>2000000</v>
      </c>
      <c r="O190" s="666">
        <v>0</v>
      </c>
      <c r="P190" s="666">
        <v>1412000</v>
      </c>
      <c r="Q190" s="664">
        <v>1</v>
      </c>
      <c r="R190" s="664" t="s">
        <v>496</v>
      </c>
      <c r="S190" s="664">
        <v>100</v>
      </c>
      <c r="T190" s="666">
        <v>2000000</v>
      </c>
      <c r="U190" s="666">
        <v>0</v>
      </c>
      <c r="V190" s="664">
        <v>100</v>
      </c>
      <c r="W190" s="666">
        <v>6308421</v>
      </c>
      <c r="X190" s="664">
        <v>2</v>
      </c>
      <c r="Y190" s="664">
        <v>1160902010</v>
      </c>
      <c r="Z190" s="664">
        <v>2023</v>
      </c>
      <c r="AA190" s="664">
        <v>12</v>
      </c>
      <c r="AB190" s="664">
        <v>5026003002</v>
      </c>
      <c r="AC190" s="664">
        <v>1160903005</v>
      </c>
      <c r="AD190" s="664">
        <v>0</v>
      </c>
      <c r="AE190" s="664">
        <v>0</v>
      </c>
      <c r="AF190" s="664">
        <v>0</v>
      </c>
      <c r="AG190" s="664">
        <v>1160605001</v>
      </c>
      <c r="AH190" s="664">
        <v>1412</v>
      </c>
      <c r="AI190" s="664" t="s">
        <v>497</v>
      </c>
      <c r="AJ190" s="667">
        <v>0.01</v>
      </c>
      <c r="AK190" s="668">
        <f t="shared" si="17"/>
        <v>20000</v>
      </c>
      <c r="AL190" s="668">
        <f t="shared" si="18"/>
        <v>20000</v>
      </c>
      <c r="AM190" s="668">
        <f t="shared" si="18"/>
        <v>20000</v>
      </c>
      <c r="AN190" s="668"/>
      <c r="AO190" s="668"/>
      <c r="AP190" s="668">
        <f t="shared" si="19"/>
        <v>0</v>
      </c>
      <c r="AQ190" s="668">
        <f t="shared" si="20"/>
        <v>0</v>
      </c>
      <c r="AR190" s="668">
        <f t="shared" si="20"/>
        <v>0</v>
      </c>
      <c r="AS190" s="668"/>
      <c r="AT190" s="668"/>
      <c r="AV190" s="670">
        <f t="shared" si="21"/>
        <v>1940000</v>
      </c>
      <c r="AW190" s="670">
        <f t="shared" si="22"/>
        <v>0</v>
      </c>
      <c r="AX190" s="671">
        <f t="shared" si="16"/>
        <v>0</v>
      </c>
    </row>
    <row r="191" spans="1:50">
      <c r="A191" s="664" t="s">
        <v>494</v>
      </c>
      <c r="B191" s="664"/>
      <c r="C191" s="664"/>
      <c r="D191" s="664">
        <v>1160505001</v>
      </c>
      <c r="E191" s="664">
        <v>0</v>
      </c>
      <c r="F191" s="664">
        <v>46823</v>
      </c>
      <c r="G191" s="665">
        <v>43618</v>
      </c>
      <c r="H191" s="665">
        <v>44714</v>
      </c>
      <c r="I191" s="664">
        <v>570</v>
      </c>
      <c r="J191" s="666">
        <v>2332000</v>
      </c>
      <c r="K191" s="666">
        <v>195888</v>
      </c>
      <c r="L191" s="666">
        <v>0</v>
      </c>
      <c r="M191" s="664" t="s">
        <v>495</v>
      </c>
      <c r="N191" s="666">
        <v>2332000</v>
      </c>
      <c r="O191" s="666">
        <v>195888</v>
      </c>
      <c r="P191" s="666">
        <v>664620</v>
      </c>
      <c r="Q191" s="664">
        <v>1</v>
      </c>
      <c r="R191" s="664" t="s">
        <v>496</v>
      </c>
      <c r="S191" s="664">
        <v>100</v>
      </c>
      <c r="T191" s="666">
        <v>2332000</v>
      </c>
      <c r="U191" s="666">
        <v>195888</v>
      </c>
      <c r="V191" s="664">
        <v>100</v>
      </c>
      <c r="W191" s="666">
        <v>3911866</v>
      </c>
      <c r="X191" s="664">
        <v>2</v>
      </c>
      <c r="Y191" s="664">
        <v>1160902010</v>
      </c>
      <c r="Z191" s="664">
        <v>2023</v>
      </c>
      <c r="AA191" s="664">
        <v>12</v>
      </c>
      <c r="AB191" s="664">
        <v>5026003002</v>
      </c>
      <c r="AC191" s="664">
        <v>1160903005</v>
      </c>
      <c r="AD191" s="664">
        <v>0</v>
      </c>
      <c r="AE191" s="664">
        <v>0</v>
      </c>
      <c r="AF191" s="664">
        <v>0</v>
      </c>
      <c r="AG191" s="664">
        <v>1160605001</v>
      </c>
      <c r="AH191" s="664">
        <v>570</v>
      </c>
      <c r="AI191" s="664" t="s">
        <v>498</v>
      </c>
      <c r="AJ191" s="667">
        <v>0.1</v>
      </c>
      <c r="AK191" s="668">
        <f t="shared" si="17"/>
        <v>233200</v>
      </c>
      <c r="AL191" s="668">
        <f t="shared" si="18"/>
        <v>233200</v>
      </c>
      <c r="AM191" s="668">
        <f t="shared" si="18"/>
        <v>233200</v>
      </c>
      <c r="AN191" s="668"/>
      <c r="AO191" s="668"/>
      <c r="AP191" s="668">
        <f t="shared" si="19"/>
        <v>9794.4</v>
      </c>
      <c r="AQ191" s="668">
        <f t="shared" si="20"/>
        <v>9794.4</v>
      </c>
      <c r="AR191" s="668">
        <f t="shared" si="20"/>
        <v>9794.4</v>
      </c>
      <c r="AS191" s="668"/>
      <c r="AT191" s="668"/>
      <c r="AV191" s="670">
        <f t="shared" si="21"/>
        <v>1632400</v>
      </c>
      <c r="AW191" s="670">
        <f t="shared" si="22"/>
        <v>166504.80000000002</v>
      </c>
      <c r="AX191" s="671">
        <f t="shared" si="16"/>
        <v>0</v>
      </c>
    </row>
    <row r="192" spans="1:50">
      <c r="A192" s="664" t="s">
        <v>494</v>
      </c>
      <c r="B192" s="664"/>
      <c r="C192" s="664"/>
      <c r="D192" s="664">
        <v>1160505001</v>
      </c>
      <c r="E192" s="664">
        <v>0</v>
      </c>
      <c r="F192" s="664">
        <v>46975</v>
      </c>
      <c r="G192" s="665">
        <v>43639</v>
      </c>
      <c r="H192" s="665">
        <v>44005</v>
      </c>
      <c r="I192" s="664">
        <v>1269</v>
      </c>
      <c r="J192" s="666">
        <v>27850000</v>
      </c>
      <c r="K192" s="666">
        <v>5013000</v>
      </c>
      <c r="L192" s="666">
        <v>0</v>
      </c>
      <c r="M192" s="664" t="s">
        <v>495</v>
      </c>
      <c r="N192" s="666">
        <v>27850000</v>
      </c>
      <c r="O192" s="666">
        <v>5013000</v>
      </c>
      <c r="P192" s="666">
        <v>17670825</v>
      </c>
      <c r="Q192" s="664">
        <v>1</v>
      </c>
      <c r="R192" s="664" t="s">
        <v>496</v>
      </c>
      <c r="S192" s="664">
        <v>100</v>
      </c>
      <c r="T192" s="666">
        <v>27850000</v>
      </c>
      <c r="U192" s="666">
        <v>5013000</v>
      </c>
      <c r="V192" s="664">
        <v>100</v>
      </c>
      <c r="W192" s="666">
        <v>30978533</v>
      </c>
      <c r="X192" s="664">
        <v>2</v>
      </c>
      <c r="Y192" s="664">
        <v>1160902010</v>
      </c>
      <c r="Z192" s="664">
        <v>2023</v>
      </c>
      <c r="AA192" s="664">
        <v>12</v>
      </c>
      <c r="AB192" s="664">
        <v>5026003002</v>
      </c>
      <c r="AC192" s="664">
        <v>1160903005</v>
      </c>
      <c r="AD192" s="664">
        <v>0</v>
      </c>
      <c r="AE192" s="664">
        <v>0</v>
      </c>
      <c r="AF192" s="664">
        <v>0</v>
      </c>
      <c r="AG192" s="664">
        <v>1160605001</v>
      </c>
      <c r="AH192" s="664">
        <v>1269</v>
      </c>
      <c r="AI192" s="664" t="s">
        <v>503</v>
      </c>
      <c r="AJ192" s="667">
        <v>0</v>
      </c>
      <c r="AK192" s="668">
        <f t="shared" si="17"/>
        <v>0</v>
      </c>
      <c r="AL192" s="668">
        <f t="shared" si="18"/>
        <v>0</v>
      </c>
      <c r="AM192" s="668">
        <f t="shared" si="18"/>
        <v>0</v>
      </c>
      <c r="AN192" s="668"/>
      <c r="AO192" s="668"/>
      <c r="AP192" s="668">
        <f t="shared" si="19"/>
        <v>0</v>
      </c>
      <c r="AQ192" s="668">
        <f t="shared" si="20"/>
        <v>0</v>
      </c>
      <c r="AR192" s="668">
        <f t="shared" si="20"/>
        <v>0</v>
      </c>
      <c r="AS192" s="668"/>
      <c r="AT192" s="668"/>
      <c r="AV192" s="670">
        <f t="shared" si="21"/>
        <v>27850000</v>
      </c>
      <c r="AW192" s="670">
        <f t="shared" si="22"/>
        <v>5013000</v>
      </c>
      <c r="AX192" s="671">
        <f t="shared" si="16"/>
        <v>0</v>
      </c>
    </row>
    <row r="193" spans="1:50">
      <c r="A193" s="664" t="s">
        <v>494</v>
      </c>
      <c r="B193" s="664"/>
      <c r="C193" s="664"/>
      <c r="D193" s="664">
        <v>1160505004</v>
      </c>
      <c r="E193" s="664">
        <v>31457</v>
      </c>
      <c r="F193" s="664">
        <v>37486</v>
      </c>
      <c r="G193" s="665">
        <v>42079</v>
      </c>
      <c r="H193" s="665">
        <v>43175</v>
      </c>
      <c r="I193" s="664">
        <v>2086</v>
      </c>
      <c r="J193" s="666">
        <v>2739152</v>
      </c>
      <c r="K193" s="666">
        <v>0</v>
      </c>
      <c r="L193" s="666">
        <v>0</v>
      </c>
      <c r="M193" s="664" t="s">
        <v>495</v>
      </c>
      <c r="N193" s="666">
        <v>2739152</v>
      </c>
      <c r="O193" s="666">
        <v>0</v>
      </c>
      <c r="P193" s="666">
        <v>2856936</v>
      </c>
      <c r="Q193" s="664">
        <v>1</v>
      </c>
      <c r="R193" s="664" t="s">
        <v>496</v>
      </c>
      <c r="S193" s="664">
        <v>100</v>
      </c>
      <c r="T193" s="666">
        <v>2739152</v>
      </c>
      <c r="U193" s="666">
        <v>0</v>
      </c>
      <c r="V193" s="664">
        <v>100</v>
      </c>
      <c r="W193" s="666">
        <v>0</v>
      </c>
      <c r="X193" s="664">
        <v>5</v>
      </c>
      <c r="Y193" s="664">
        <v>1160902010</v>
      </c>
      <c r="Z193" s="664">
        <v>2023</v>
      </c>
      <c r="AA193" s="664">
        <v>12</v>
      </c>
      <c r="AB193" s="664">
        <v>5026003002</v>
      </c>
      <c r="AC193" s="664">
        <v>1160903005</v>
      </c>
      <c r="AD193" s="664">
        <v>0</v>
      </c>
      <c r="AE193" s="664">
        <v>0</v>
      </c>
      <c r="AF193" s="664">
        <v>0</v>
      </c>
      <c r="AG193" s="664">
        <v>1160605001</v>
      </c>
      <c r="AH193" s="664">
        <v>2086</v>
      </c>
      <c r="AI193" s="664" t="s">
        <v>497</v>
      </c>
      <c r="AJ193" s="667">
        <v>0.01</v>
      </c>
      <c r="AK193" s="668">
        <f t="shared" si="17"/>
        <v>27391.52</v>
      </c>
      <c r="AL193" s="668">
        <f t="shared" si="18"/>
        <v>27391.52</v>
      </c>
      <c r="AM193" s="668">
        <f t="shared" si="18"/>
        <v>27391.52</v>
      </c>
      <c r="AN193" s="668"/>
      <c r="AO193" s="668"/>
      <c r="AP193" s="668">
        <f t="shared" si="19"/>
        <v>0</v>
      </c>
      <c r="AQ193" s="668">
        <f t="shared" si="20"/>
        <v>0</v>
      </c>
      <c r="AR193" s="668">
        <f t="shared" si="20"/>
        <v>0</v>
      </c>
      <c r="AS193" s="668"/>
      <c r="AT193" s="668"/>
      <c r="AV193" s="670">
        <f t="shared" si="21"/>
        <v>2656977.44</v>
      </c>
      <c r="AW193" s="670">
        <f t="shared" si="22"/>
        <v>0</v>
      </c>
      <c r="AX193" s="671">
        <f t="shared" si="16"/>
        <v>0</v>
      </c>
    </row>
    <row r="194" spans="1:50">
      <c r="A194" s="664" t="s">
        <v>494</v>
      </c>
      <c r="B194" s="664"/>
      <c r="C194" s="664"/>
      <c r="D194" s="664">
        <v>1160505001</v>
      </c>
      <c r="E194" s="664">
        <v>0</v>
      </c>
      <c r="F194" s="664">
        <v>45567</v>
      </c>
      <c r="G194" s="665">
        <v>43451</v>
      </c>
      <c r="H194" s="665">
        <v>43816</v>
      </c>
      <c r="I194" s="664">
        <v>1455</v>
      </c>
      <c r="J194" s="666">
        <v>4872138</v>
      </c>
      <c r="K194" s="666">
        <v>0</v>
      </c>
      <c r="L194" s="666">
        <v>0</v>
      </c>
      <c r="M194" s="664" t="s">
        <v>495</v>
      </c>
      <c r="N194" s="666">
        <v>4872138</v>
      </c>
      <c r="O194" s="666">
        <v>0</v>
      </c>
      <c r="P194" s="666">
        <v>3544480</v>
      </c>
      <c r="Q194" s="664">
        <v>1</v>
      </c>
      <c r="R194" s="664" t="s">
        <v>496</v>
      </c>
      <c r="S194" s="664">
        <v>100</v>
      </c>
      <c r="T194" s="666">
        <v>4872138</v>
      </c>
      <c r="U194" s="666">
        <v>0</v>
      </c>
      <c r="V194" s="664">
        <v>100</v>
      </c>
      <c r="W194" s="666">
        <v>8261800</v>
      </c>
      <c r="X194" s="664">
        <v>2</v>
      </c>
      <c r="Y194" s="664">
        <v>1160902010</v>
      </c>
      <c r="Z194" s="664">
        <v>2023</v>
      </c>
      <c r="AA194" s="664">
        <v>12</v>
      </c>
      <c r="AB194" s="664">
        <v>5026003002</v>
      </c>
      <c r="AC194" s="664">
        <v>1160903005</v>
      </c>
      <c r="AD194" s="664">
        <v>0</v>
      </c>
      <c r="AE194" s="664">
        <v>0</v>
      </c>
      <c r="AF194" s="664">
        <v>0</v>
      </c>
      <c r="AG194" s="664">
        <v>1160605001</v>
      </c>
      <c r="AH194" s="664">
        <v>1455</v>
      </c>
      <c r="AI194" s="664" t="s">
        <v>497</v>
      </c>
      <c r="AJ194" s="667">
        <v>0.01</v>
      </c>
      <c r="AK194" s="668">
        <f t="shared" si="17"/>
        <v>48721.38</v>
      </c>
      <c r="AL194" s="668">
        <f t="shared" si="18"/>
        <v>48721.38</v>
      </c>
      <c r="AM194" s="668">
        <f t="shared" si="18"/>
        <v>48721.38</v>
      </c>
      <c r="AN194" s="668"/>
      <c r="AO194" s="668"/>
      <c r="AP194" s="668">
        <f t="shared" si="19"/>
        <v>0</v>
      </c>
      <c r="AQ194" s="668">
        <f t="shared" si="20"/>
        <v>0</v>
      </c>
      <c r="AR194" s="668">
        <f t="shared" si="20"/>
        <v>0</v>
      </c>
      <c r="AS194" s="668"/>
      <c r="AT194" s="668"/>
      <c r="AV194" s="670">
        <f t="shared" si="21"/>
        <v>4725973.8600000003</v>
      </c>
      <c r="AW194" s="670">
        <f t="shared" si="22"/>
        <v>0</v>
      </c>
      <c r="AX194" s="671">
        <f t="shared" si="16"/>
        <v>0</v>
      </c>
    </row>
    <row r="195" spans="1:50">
      <c r="A195" s="664" t="s">
        <v>494</v>
      </c>
      <c r="B195" s="664"/>
      <c r="C195" s="664"/>
      <c r="D195" s="664">
        <v>1160505001</v>
      </c>
      <c r="E195" s="664">
        <v>0</v>
      </c>
      <c r="F195" s="664">
        <v>45060</v>
      </c>
      <c r="G195" s="665">
        <v>43307</v>
      </c>
      <c r="H195" s="665">
        <v>45133</v>
      </c>
      <c r="I195" s="664">
        <v>156</v>
      </c>
      <c r="J195" s="666">
        <v>12000000</v>
      </c>
      <c r="K195" s="666">
        <v>7095000</v>
      </c>
      <c r="L195" s="666">
        <v>0</v>
      </c>
      <c r="M195" s="664" t="s">
        <v>495</v>
      </c>
      <c r="N195" s="666">
        <v>12000000</v>
      </c>
      <c r="O195" s="666">
        <v>7095000</v>
      </c>
      <c r="P195" s="666">
        <v>936000</v>
      </c>
      <c r="Q195" s="664">
        <v>1</v>
      </c>
      <c r="R195" s="664" t="s">
        <v>496</v>
      </c>
      <c r="S195" s="664">
        <v>100</v>
      </c>
      <c r="T195" s="666">
        <v>12000000</v>
      </c>
      <c r="U195" s="666">
        <v>7095000</v>
      </c>
      <c r="V195" s="664">
        <v>100</v>
      </c>
      <c r="W195" s="666">
        <v>8261800</v>
      </c>
      <c r="X195" s="664">
        <v>14</v>
      </c>
      <c r="Y195" s="664">
        <v>1160902010</v>
      </c>
      <c r="Z195" s="664">
        <v>2023</v>
      </c>
      <c r="AA195" s="664">
        <v>12</v>
      </c>
      <c r="AB195" s="664">
        <v>5026003002</v>
      </c>
      <c r="AC195" s="664">
        <v>1160903005</v>
      </c>
      <c r="AD195" s="664">
        <v>0</v>
      </c>
      <c r="AE195" s="664">
        <v>0</v>
      </c>
      <c r="AF195" s="664">
        <v>0</v>
      </c>
      <c r="AG195" s="664">
        <v>1160605001</v>
      </c>
      <c r="AH195" s="664">
        <v>1455</v>
      </c>
      <c r="AI195" s="664" t="s">
        <v>497</v>
      </c>
      <c r="AJ195" s="667">
        <v>0.01</v>
      </c>
      <c r="AK195" s="668">
        <f t="shared" si="17"/>
        <v>120000</v>
      </c>
      <c r="AL195" s="668">
        <f t="shared" si="18"/>
        <v>120000</v>
      </c>
      <c r="AM195" s="668">
        <f t="shared" si="18"/>
        <v>120000</v>
      </c>
      <c r="AN195" s="668"/>
      <c r="AO195" s="668"/>
      <c r="AP195" s="668">
        <f t="shared" si="19"/>
        <v>35475</v>
      </c>
      <c r="AQ195" s="668">
        <f t="shared" si="20"/>
        <v>35475</v>
      </c>
      <c r="AR195" s="668">
        <f t="shared" si="20"/>
        <v>35475</v>
      </c>
      <c r="AS195" s="668"/>
      <c r="AT195" s="668"/>
      <c r="AV195" s="670">
        <f t="shared" si="21"/>
        <v>11640000</v>
      </c>
      <c r="AW195" s="670">
        <f t="shared" si="22"/>
        <v>6988575</v>
      </c>
      <c r="AX195" s="671">
        <f t="shared" si="16"/>
        <v>0</v>
      </c>
    </row>
    <row r="196" spans="1:50">
      <c r="A196" s="664" t="s">
        <v>494</v>
      </c>
      <c r="B196" s="664"/>
      <c r="C196" s="664"/>
      <c r="D196" s="664">
        <v>1160505001</v>
      </c>
      <c r="E196" s="664">
        <v>0</v>
      </c>
      <c r="F196" s="664">
        <v>44755</v>
      </c>
      <c r="G196" s="665">
        <v>43268</v>
      </c>
      <c r="H196" s="665">
        <v>43633</v>
      </c>
      <c r="I196" s="664">
        <v>1635</v>
      </c>
      <c r="J196" s="666">
        <v>5000000</v>
      </c>
      <c r="K196" s="666">
        <v>0</v>
      </c>
      <c r="L196" s="666">
        <v>0</v>
      </c>
      <c r="M196" s="664" t="s">
        <v>495</v>
      </c>
      <c r="N196" s="666">
        <v>5000000</v>
      </c>
      <c r="O196" s="666">
        <v>0</v>
      </c>
      <c r="P196" s="666">
        <v>4087500</v>
      </c>
      <c r="Q196" s="664">
        <v>1</v>
      </c>
      <c r="R196" s="664" t="s">
        <v>496</v>
      </c>
      <c r="S196" s="664">
        <v>100</v>
      </c>
      <c r="T196" s="666">
        <v>5000000</v>
      </c>
      <c r="U196" s="666">
        <v>0</v>
      </c>
      <c r="V196" s="664">
        <v>100</v>
      </c>
      <c r="W196" s="666">
        <v>6189204</v>
      </c>
      <c r="X196" s="664">
        <v>2</v>
      </c>
      <c r="Y196" s="664">
        <v>1160902010</v>
      </c>
      <c r="Z196" s="664">
        <v>2023</v>
      </c>
      <c r="AA196" s="664">
        <v>12</v>
      </c>
      <c r="AB196" s="664">
        <v>5026003002</v>
      </c>
      <c r="AC196" s="664">
        <v>1160903005</v>
      </c>
      <c r="AD196" s="664">
        <v>0</v>
      </c>
      <c r="AE196" s="664">
        <v>0</v>
      </c>
      <c r="AF196" s="664">
        <v>0</v>
      </c>
      <c r="AG196" s="664">
        <v>1160605001</v>
      </c>
      <c r="AH196" s="664">
        <v>1635</v>
      </c>
      <c r="AI196" s="664" t="s">
        <v>497</v>
      </c>
      <c r="AJ196" s="667">
        <v>0.01</v>
      </c>
      <c r="AK196" s="668">
        <f t="shared" si="17"/>
        <v>50000</v>
      </c>
      <c r="AL196" s="668">
        <f t="shared" si="18"/>
        <v>50000</v>
      </c>
      <c r="AM196" s="668">
        <f t="shared" si="18"/>
        <v>50000</v>
      </c>
      <c r="AN196" s="668"/>
      <c r="AO196" s="668"/>
      <c r="AP196" s="668">
        <f t="shared" si="19"/>
        <v>0</v>
      </c>
      <c r="AQ196" s="668">
        <f t="shared" si="20"/>
        <v>0</v>
      </c>
      <c r="AR196" s="668">
        <f t="shared" si="20"/>
        <v>0</v>
      </c>
      <c r="AS196" s="668"/>
      <c r="AT196" s="668"/>
      <c r="AV196" s="670">
        <f t="shared" si="21"/>
        <v>4850000</v>
      </c>
      <c r="AW196" s="670">
        <f t="shared" si="22"/>
        <v>0</v>
      </c>
      <c r="AX196" s="671">
        <f t="shared" si="16"/>
        <v>0</v>
      </c>
    </row>
    <row r="197" spans="1:50">
      <c r="A197" s="664" t="s">
        <v>494</v>
      </c>
      <c r="B197" s="664"/>
      <c r="C197" s="664"/>
      <c r="D197" s="664">
        <v>1160505004</v>
      </c>
      <c r="E197" s="664">
        <v>41118</v>
      </c>
      <c r="F197" s="664">
        <v>45394</v>
      </c>
      <c r="G197" s="665">
        <v>43394</v>
      </c>
      <c r="H197" s="665">
        <v>44490</v>
      </c>
      <c r="I197" s="664">
        <v>791</v>
      </c>
      <c r="J197" s="666">
        <v>10563458</v>
      </c>
      <c r="K197" s="666">
        <v>0</v>
      </c>
      <c r="L197" s="666">
        <v>0</v>
      </c>
      <c r="M197" s="664" t="s">
        <v>495</v>
      </c>
      <c r="N197" s="666">
        <v>10563458</v>
      </c>
      <c r="O197" s="666">
        <v>0</v>
      </c>
      <c r="P197" s="666">
        <v>4177848</v>
      </c>
      <c r="Q197" s="664">
        <v>1</v>
      </c>
      <c r="R197" s="664" t="s">
        <v>496</v>
      </c>
      <c r="S197" s="664">
        <v>100</v>
      </c>
      <c r="T197" s="666">
        <v>10563458</v>
      </c>
      <c r="U197" s="666">
        <v>0</v>
      </c>
      <c r="V197" s="664">
        <v>500</v>
      </c>
      <c r="W197" s="666">
        <v>2752236</v>
      </c>
      <c r="X197" s="664">
        <v>5</v>
      </c>
      <c r="Y197" s="664">
        <v>1160902010</v>
      </c>
      <c r="Z197" s="664">
        <v>2023</v>
      </c>
      <c r="AA197" s="664">
        <v>12</v>
      </c>
      <c r="AB197" s="664">
        <v>5026003002</v>
      </c>
      <c r="AC197" s="664">
        <v>1160903005</v>
      </c>
      <c r="AD197" s="664">
        <v>0</v>
      </c>
      <c r="AE197" s="664">
        <v>0</v>
      </c>
      <c r="AF197" s="664">
        <v>0</v>
      </c>
      <c r="AG197" s="664">
        <v>1160605001</v>
      </c>
      <c r="AH197" s="664">
        <v>791</v>
      </c>
      <c r="AI197" s="664" t="s">
        <v>499</v>
      </c>
      <c r="AJ197" s="667">
        <v>0.05</v>
      </c>
      <c r="AK197" s="668">
        <f t="shared" si="17"/>
        <v>528172.9</v>
      </c>
      <c r="AL197" s="668">
        <f t="shared" si="18"/>
        <v>528172.9</v>
      </c>
      <c r="AM197" s="668">
        <f t="shared" si="18"/>
        <v>528172.9</v>
      </c>
      <c r="AN197" s="668"/>
      <c r="AO197" s="668"/>
      <c r="AP197" s="668">
        <f t="shared" si="19"/>
        <v>0</v>
      </c>
      <c r="AQ197" s="668">
        <f t="shared" si="20"/>
        <v>0</v>
      </c>
      <c r="AR197" s="668">
        <f t="shared" si="20"/>
        <v>0</v>
      </c>
      <c r="AS197" s="668"/>
      <c r="AT197" s="668"/>
      <c r="AV197" s="670">
        <f t="shared" si="21"/>
        <v>8978939.2999999989</v>
      </c>
      <c r="AW197" s="670">
        <f t="shared" si="22"/>
        <v>0</v>
      </c>
      <c r="AX197" s="671">
        <f t="shared" si="16"/>
        <v>0</v>
      </c>
    </row>
    <row r="198" spans="1:50">
      <c r="A198" s="664" t="s">
        <v>494</v>
      </c>
      <c r="B198" s="664"/>
      <c r="C198" s="664"/>
      <c r="D198" s="664">
        <v>1160505004</v>
      </c>
      <c r="E198" s="664">
        <v>0</v>
      </c>
      <c r="F198" s="664">
        <v>45394</v>
      </c>
      <c r="G198" s="665">
        <v>43394</v>
      </c>
      <c r="H198" s="665">
        <v>44490</v>
      </c>
      <c r="I198" s="664">
        <v>791</v>
      </c>
      <c r="J198" s="666">
        <v>0</v>
      </c>
      <c r="K198" s="666">
        <v>2831027</v>
      </c>
      <c r="L198" s="666">
        <v>0</v>
      </c>
      <c r="M198" s="664" t="s">
        <v>495</v>
      </c>
      <c r="N198" s="666">
        <v>0</v>
      </c>
      <c r="O198" s="666">
        <v>2831027</v>
      </c>
      <c r="P198" s="666">
        <v>0</v>
      </c>
      <c r="Q198" s="664">
        <v>1</v>
      </c>
      <c r="R198" s="664" t="s">
        <v>496</v>
      </c>
      <c r="S198" s="664">
        <v>100</v>
      </c>
      <c r="T198" s="666">
        <v>0</v>
      </c>
      <c r="U198" s="666">
        <v>2831027</v>
      </c>
      <c r="V198" s="664">
        <v>500</v>
      </c>
      <c r="W198" s="666">
        <v>2752236</v>
      </c>
      <c r="X198" s="664">
        <v>5</v>
      </c>
      <c r="Y198" s="664">
        <v>1160902010</v>
      </c>
      <c r="Z198" s="664">
        <v>2023</v>
      </c>
      <c r="AA198" s="664">
        <v>12</v>
      </c>
      <c r="AB198" s="664">
        <v>5026003002</v>
      </c>
      <c r="AC198" s="664">
        <v>1160903005</v>
      </c>
      <c r="AD198" s="664">
        <v>0</v>
      </c>
      <c r="AE198" s="664">
        <v>0</v>
      </c>
      <c r="AF198" s="664">
        <v>0</v>
      </c>
      <c r="AG198" s="664">
        <v>1160605001</v>
      </c>
      <c r="AH198" s="664">
        <v>791</v>
      </c>
      <c r="AI198" s="664" t="s">
        <v>499</v>
      </c>
      <c r="AJ198" s="667">
        <v>0.05</v>
      </c>
      <c r="AK198" s="668">
        <f t="shared" si="17"/>
        <v>0</v>
      </c>
      <c r="AL198" s="668">
        <f t="shared" si="18"/>
        <v>0</v>
      </c>
      <c r="AM198" s="668">
        <f t="shared" si="18"/>
        <v>0</v>
      </c>
      <c r="AN198" s="668"/>
      <c r="AO198" s="668"/>
      <c r="AP198" s="668">
        <f t="shared" si="19"/>
        <v>70775.675000000003</v>
      </c>
      <c r="AQ198" s="668">
        <f t="shared" si="20"/>
        <v>70775.675000000003</v>
      </c>
      <c r="AR198" s="668">
        <f t="shared" si="20"/>
        <v>70775.675000000003</v>
      </c>
      <c r="AS198" s="668"/>
      <c r="AT198" s="668"/>
      <c r="AV198" s="670">
        <f t="shared" si="21"/>
        <v>0</v>
      </c>
      <c r="AW198" s="670">
        <f t="shared" si="22"/>
        <v>2618699.9750000006</v>
      </c>
      <c r="AX198" s="671">
        <f t="shared" ref="AX198:AX261" si="23">+J198-N198</f>
        <v>0</v>
      </c>
    </row>
    <row r="199" spans="1:50">
      <c r="A199" s="664" t="s">
        <v>494</v>
      </c>
      <c r="B199" s="664"/>
      <c r="C199" s="664"/>
      <c r="D199" s="664">
        <v>1160505004</v>
      </c>
      <c r="E199" s="664">
        <v>42088</v>
      </c>
      <c r="F199" s="664">
        <v>46726</v>
      </c>
      <c r="G199" s="665">
        <v>43601</v>
      </c>
      <c r="H199" s="665">
        <v>44697</v>
      </c>
      <c r="I199" s="664">
        <v>586</v>
      </c>
      <c r="J199" s="666">
        <v>4456167</v>
      </c>
      <c r="K199" s="666">
        <v>302648</v>
      </c>
      <c r="L199" s="666">
        <v>0</v>
      </c>
      <c r="M199" s="664" t="s">
        <v>495</v>
      </c>
      <c r="N199" s="666">
        <v>4456167</v>
      </c>
      <c r="O199" s="666">
        <v>302648</v>
      </c>
      <c r="P199" s="666">
        <v>1305657</v>
      </c>
      <c r="Q199" s="664">
        <v>1</v>
      </c>
      <c r="R199" s="664" t="s">
        <v>496</v>
      </c>
      <c r="S199" s="664">
        <v>100</v>
      </c>
      <c r="T199" s="666">
        <v>4456167</v>
      </c>
      <c r="U199" s="666">
        <v>302648</v>
      </c>
      <c r="V199" s="664">
        <v>100</v>
      </c>
      <c r="W199" s="666">
        <v>8070700</v>
      </c>
      <c r="X199" s="664">
        <v>5</v>
      </c>
      <c r="Y199" s="664">
        <v>1160902010</v>
      </c>
      <c r="Z199" s="664">
        <v>2023</v>
      </c>
      <c r="AA199" s="664">
        <v>12</v>
      </c>
      <c r="AB199" s="664">
        <v>5026003002</v>
      </c>
      <c r="AC199" s="664">
        <v>1160903005</v>
      </c>
      <c r="AD199" s="664">
        <v>0</v>
      </c>
      <c r="AE199" s="664">
        <v>0</v>
      </c>
      <c r="AF199" s="664">
        <v>0</v>
      </c>
      <c r="AG199" s="664">
        <v>1160605001</v>
      </c>
      <c r="AH199" s="664">
        <v>586</v>
      </c>
      <c r="AI199" s="664" t="s">
        <v>498</v>
      </c>
      <c r="AJ199" s="667">
        <v>0.1</v>
      </c>
      <c r="AK199" s="668">
        <f t="shared" ref="AK199:AK262" si="24">+$J199*$AJ199</f>
        <v>445616.7</v>
      </c>
      <c r="AL199" s="668">
        <f t="shared" ref="AL199:AM262" si="25">IF(($J199-$AK199)&gt;0,$J199*$AJ199,0)</f>
        <v>445616.7</v>
      </c>
      <c r="AM199" s="668">
        <f t="shared" si="25"/>
        <v>445616.7</v>
      </c>
      <c r="AN199" s="668"/>
      <c r="AO199" s="668"/>
      <c r="AP199" s="668">
        <f t="shared" ref="AP199:AP262" si="26">+K199*(AJ199/2)</f>
        <v>15132.400000000001</v>
      </c>
      <c r="AQ199" s="668">
        <f t="shared" ref="AQ199:AR262" si="27">AP199</f>
        <v>15132.400000000001</v>
      </c>
      <c r="AR199" s="668">
        <f t="shared" si="27"/>
        <v>15132.400000000001</v>
      </c>
      <c r="AS199" s="668"/>
      <c r="AT199" s="668"/>
      <c r="AV199" s="670">
        <f t="shared" ref="AV199:AV262" si="28">J199-AK199-AL199-AM199</f>
        <v>3119316.8999999994</v>
      </c>
      <c r="AW199" s="670">
        <f t="shared" ref="AW199:AW262" si="29">+K199-AP199-AQ199-AR199</f>
        <v>257250.79999999996</v>
      </c>
      <c r="AX199" s="671">
        <f t="shared" si="23"/>
        <v>0</v>
      </c>
    </row>
    <row r="200" spans="1:50">
      <c r="A200" s="664" t="s">
        <v>494</v>
      </c>
      <c r="B200" s="664"/>
      <c r="C200" s="664"/>
      <c r="D200" s="664">
        <v>1160505004</v>
      </c>
      <c r="E200" s="664">
        <v>0</v>
      </c>
      <c r="F200" s="664">
        <v>46721</v>
      </c>
      <c r="G200" s="665">
        <v>43601</v>
      </c>
      <c r="H200" s="665">
        <v>44697</v>
      </c>
      <c r="I200" s="664">
        <v>586</v>
      </c>
      <c r="J200" s="666">
        <v>0</v>
      </c>
      <c r="K200" s="666">
        <v>708361</v>
      </c>
      <c r="L200" s="666">
        <v>0</v>
      </c>
      <c r="M200" s="664" t="s">
        <v>495</v>
      </c>
      <c r="N200" s="666">
        <v>0</v>
      </c>
      <c r="O200" s="666">
        <v>708361</v>
      </c>
      <c r="P200" s="666">
        <v>0</v>
      </c>
      <c r="Q200" s="664">
        <v>1</v>
      </c>
      <c r="R200" s="664" t="s">
        <v>496</v>
      </c>
      <c r="S200" s="664">
        <v>100</v>
      </c>
      <c r="T200" s="666">
        <v>0</v>
      </c>
      <c r="U200" s="666">
        <v>708361</v>
      </c>
      <c r="V200" s="664">
        <v>100</v>
      </c>
      <c r="W200" s="666">
        <v>8070700</v>
      </c>
      <c r="X200" s="664">
        <v>5</v>
      </c>
      <c r="Y200" s="664">
        <v>1160902010</v>
      </c>
      <c r="Z200" s="664">
        <v>2023</v>
      </c>
      <c r="AA200" s="664">
        <v>12</v>
      </c>
      <c r="AB200" s="664">
        <v>5026003002</v>
      </c>
      <c r="AC200" s="664">
        <v>1160903005</v>
      </c>
      <c r="AD200" s="664">
        <v>0</v>
      </c>
      <c r="AE200" s="664">
        <v>0</v>
      </c>
      <c r="AF200" s="664">
        <v>0</v>
      </c>
      <c r="AG200" s="664">
        <v>1160605001</v>
      </c>
      <c r="AH200" s="664">
        <v>586</v>
      </c>
      <c r="AI200" s="664" t="s">
        <v>498</v>
      </c>
      <c r="AJ200" s="667">
        <v>0.1</v>
      </c>
      <c r="AK200" s="668">
        <f t="shared" si="24"/>
        <v>0</v>
      </c>
      <c r="AL200" s="668">
        <f t="shared" si="25"/>
        <v>0</v>
      </c>
      <c r="AM200" s="668">
        <f t="shared" si="25"/>
        <v>0</v>
      </c>
      <c r="AN200" s="668"/>
      <c r="AO200" s="668"/>
      <c r="AP200" s="668">
        <f t="shared" si="26"/>
        <v>35418.050000000003</v>
      </c>
      <c r="AQ200" s="668">
        <f t="shared" si="27"/>
        <v>35418.050000000003</v>
      </c>
      <c r="AR200" s="668">
        <f t="shared" si="27"/>
        <v>35418.050000000003</v>
      </c>
      <c r="AS200" s="668"/>
      <c r="AT200" s="668"/>
      <c r="AV200" s="670">
        <f t="shared" si="28"/>
        <v>0</v>
      </c>
      <c r="AW200" s="670">
        <f t="shared" si="29"/>
        <v>602106.84999999986</v>
      </c>
      <c r="AX200" s="671">
        <f t="shared" si="23"/>
        <v>0</v>
      </c>
    </row>
    <row r="201" spans="1:50">
      <c r="A201" s="664" t="s">
        <v>494</v>
      </c>
      <c r="B201" s="664"/>
      <c r="C201" s="664"/>
      <c r="D201" s="664">
        <v>1160504001</v>
      </c>
      <c r="E201" s="664">
        <v>0</v>
      </c>
      <c r="F201" s="664">
        <v>44119</v>
      </c>
      <c r="G201" s="665">
        <v>43184</v>
      </c>
      <c r="H201" s="665">
        <v>45010</v>
      </c>
      <c r="I201" s="664">
        <v>277</v>
      </c>
      <c r="J201" s="666">
        <v>1195380</v>
      </c>
      <c r="K201" s="666">
        <v>115948</v>
      </c>
      <c r="L201" s="666">
        <v>0</v>
      </c>
      <c r="M201" s="664" t="s">
        <v>495</v>
      </c>
      <c r="N201" s="666">
        <v>1195380</v>
      </c>
      <c r="O201" s="666">
        <v>115948</v>
      </c>
      <c r="P201" s="666">
        <v>165560</v>
      </c>
      <c r="Q201" s="664">
        <v>1</v>
      </c>
      <c r="R201" s="664" t="s">
        <v>501</v>
      </c>
      <c r="S201" s="664">
        <v>100</v>
      </c>
      <c r="T201" s="666">
        <v>1195380</v>
      </c>
      <c r="U201" s="666">
        <v>115948</v>
      </c>
      <c r="V201" s="664">
        <v>100</v>
      </c>
      <c r="W201" s="666">
        <v>686395</v>
      </c>
      <c r="X201" s="664">
        <v>14</v>
      </c>
      <c r="Y201" s="664">
        <v>1160902008</v>
      </c>
      <c r="Z201" s="664">
        <v>2023</v>
      </c>
      <c r="AA201" s="664">
        <v>12</v>
      </c>
      <c r="AB201" s="664">
        <v>5026003002</v>
      </c>
      <c r="AC201" s="664">
        <v>1160903004</v>
      </c>
      <c r="AD201" s="664">
        <v>0</v>
      </c>
      <c r="AE201" s="664">
        <v>0</v>
      </c>
      <c r="AF201" s="664">
        <v>0</v>
      </c>
      <c r="AG201" s="664">
        <v>1160604001</v>
      </c>
      <c r="AH201" s="664">
        <v>277</v>
      </c>
      <c r="AI201" s="664" t="s">
        <v>500</v>
      </c>
      <c r="AJ201" s="667">
        <v>0.3</v>
      </c>
      <c r="AK201" s="668">
        <f t="shared" si="24"/>
        <v>358614</v>
      </c>
      <c r="AL201" s="668">
        <f t="shared" si="25"/>
        <v>358614</v>
      </c>
      <c r="AM201" s="668">
        <f t="shared" si="25"/>
        <v>358614</v>
      </c>
      <c r="AN201" s="668"/>
      <c r="AO201" s="668"/>
      <c r="AP201" s="668">
        <f t="shared" si="26"/>
        <v>17392.2</v>
      </c>
      <c r="AQ201" s="668">
        <f t="shared" si="27"/>
        <v>17392.2</v>
      </c>
      <c r="AR201" s="668">
        <f t="shared" si="27"/>
        <v>17392.2</v>
      </c>
      <c r="AS201" s="668"/>
      <c r="AT201" s="668"/>
      <c r="AV201" s="670">
        <f t="shared" si="28"/>
        <v>119538</v>
      </c>
      <c r="AW201" s="670">
        <f t="shared" si="29"/>
        <v>63771.400000000009</v>
      </c>
      <c r="AX201" s="671">
        <f t="shared" si="23"/>
        <v>0</v>
      </c>
    </row>
    <row r="202" spans="1:50">
      <c r="A202" s="664" t="s">
        <v>494</v>
      </c>
      <c r="B202" s="664"/>
      <c r="C202" s="664"/>
      <c r="D202" s="664">
        <v>1160505001</v>
      </c>
      <c r="E202" s="664">
        <v>0</v>
      </c>
      <c r="F202" s="664">
        <v>44168</v>
      </c>
      <c r="G202" s="665">
        <v>43193</v>
      </c>
      <c r="H202" s="665">
        <v>44289</v>
      </c>
      <c r="I202" s="664">
        <v>989</v>
      </c>
      <c r="J202" s="666">
        <v>300000</v>
      </c>
      <c r="K202" s="666">
        <v>1620000</v>
      </c>
      <c r="L202" s="666">
        <v>0</v>
      </c>
      <c r="M202" s="664" t="s">
        <v>495</v>
      </c>
      <c r="N202" s="666">
        <v>300000</v>
      </c>
      <c r="O202" s="666">
        <v>1620000</v>
      </c>
      <c r="P202" s="666">
        <v>148350</v>
      </c>
      <c r="Q202" s="664">
        <v>1</v>
      </c>
      <c r="R202" s="664" t="s">
        <v>496</v>
      </c>
      <c r="S202" s="664">
        <v>100</v>
      </c>
      <c r="T202" s="666">
        <v>300000</v>
      </c>
      <c r="U202" s="666">
        <v>1620000</v>
      </c>
      <c r="V202" s="664">
        <v>100</v>
      </c>
      <c r="W202" s="666">
        <v>6245640</v>
      </c>
      <c r="X202" s="664">
        <v>2</v>
      </c>
      <c r="Y202" s="664">
        <v>1160902010</v>
      </c>
      <c r="Z202" s="664">
        <v>2023</v>
      </c>
      <c r="AA202" s="664">
        <v>12</v>
      </c>
      <c r="AB202" s="664">
        <v>5026003002</v>
      </c>
      <c r="AC202" s="664">
        <v>1160903005</v>
      </c>
      <c r="AD202" s="664">
        <v>0</v>
      </c>
      <c r="AE202" s="664">
        <v>0</v>
      </c>
      <c r="AF202" s="664">
        <v>0</v>
      </c>
      <c r="AG202" s="664">
        <v>1160605001</v>
      </c>
      <c r="AH202" s="664">
        <v>989</v>
      </c>
      <c r="AI202" s="664" t="s">
        <v>499</v>
      </c>
      <c r="AJ202" s="667">
        <v>0.05</v>
      </c>
      <c r="AK202" s="668">
        <f t="shared" si="24"/>
        <v>15000</v>
      </c>
      <c r="AL202" s="668">
        <f t="shared" si="25"/>
        <v>15000</v>
      </c>
      <c r="AM202" s="668">
        <f t="shared" si="25"/>
        <v>15000</v>
      </c>
      <c r="AN202" s="668"/>
      <c r="AO202" s="668"/>
      <c r="AP202" s="668">
        <f t="shared" si="26"/>
        <v>40500</v>
      </c>
      <c r="AQ202" s="668">
        <f t="shared" si="27"/>
        <v>40500</v>
      </c>
      <c r="AR202" s="668">
        <f t="shared" si="27"/>
        <v>40500</v>
      </c>
      <c r="AS202" s="668"/>
      <c r="AT202" s="668"/>
      <c r="AV202" s="670">
        <f t="shared" si="28"/>
        <v>255000</v>
      </c>
      <c r="AW202" s="670">
        <f t="shared" si="29"/>
        <v>1498500</v>
      </c>
      <c r="AX202" s="671">
        <f t="shared" si="23"/>
        <v>0</v>
      </c>
    </row>
    <row r="203" spans="1:50">
      <c r="A203" s="664" t="s">
        <v>494</v>
      </c>
      <c r="B203" s="664"/>
      <c r="C203" s="664"/>
      <c r="D203" s="664">
        <v>1160505001</v>
      </c>
      <c r="E203" s="664">
        <v>0</v>
      </c>
      <c r="F203" s="664">
        <v>1444168</v>
      </c>
      <c r="G203" s="665">
        <v>43193</v>
      </c>
      <c r="H203" s="665">
        <v>44289</v>
      </c>
      <c r="I203" s="664">
        <v>989</v>
      </c>
      <c r="J203" s="666">
        <v>15000000</v>
      </c>
      <c r="K203" s="666">
        <v>6097500</v>
      </c>
      <c r="L203" s="666">
        <v>0</v>
      </c>
      <c r="M203" s="664" t="s">
        <v>495</v>
      </c>
      <c r="N203" s="666">
        <v>15000000</v>
      </c>
      <c r="O203" s="666">
        <v>6097500</v>
      </c>
      <c r="P203" s="666">
        <v>7417500</v>
      </c>
      <c r="Q203" s="664">
        <v>1</v>
      </c>
      <c r="R203" s="664" t="s">
        <v>496</v>
      </c>
      <c r="S203" s="664">
        <v>100</v>
      </c>
      <c r="T203" s="666">
        <v>15000000</v>
      </c>
      <c r="U203" s="666">
        <v>6097500</v>
      </c>
      <c r="V203" s="664">
        <v>100</v>
      </c>
      <c r="W203" s="666">
        <v>6245640</v>
      </c>
      <c r="X203" s="664">
        <v>14</v>
      </c>
      <c r="Y203" s="664">
        <v>1160902010</v>
      </c>
      <c r="Z203" s="664">
        <v>2023</v>
      </c>
      <c r="AA203" s="664">
        <v>12</v>
      </c>
      <c r="AB203" s="664">
        <v>5026003002</v>
      </c>
      <c r="AC203" s="664">
        <v>1160903005</v>
      </c>
      <c r="AD203" s="664">
        <v>0</v>
      </c>
      <c r="AE203" s="664">
        <v>0</v>
      </c>
      <c r="AF203" s="664">
        <v>0</v>
      </c>
      <c r="AG203" s="664">
        <v>1160605001</v>
      </c>
      <c r="AH203" s="664">
        <v>989</v>
      </c>
      <c r="AI203" s="664" t="s">
        <v>499</v>
      </c>
      <c r="AJ203" s="667">
        <v>0.05</v>
      </c>
      <c r="AK203" s="668">
        <f t="shared" si="24"/>
        <v>750000</v>
      </c>
      <c r="AL203" s="668">
        <f t="shared" si="25"/>
        <v>750000</v>
      </c>
      <c r="AM203" s="668">
        <f t="shared" si="25"/>
        <v>750000</v>
      </c>
      <c r="AN203" s="668"/>
      <c r="AO203" s="668"/>
      <c r="AP203" s="668">
        <f t="shared" si="26"/>
        <v>152437.5</v>
      </c>
      <c r="AQ203" s="668">
        <f t="shared" si="27"/>
        <v>152437.5</v>
      </c>
      <c r="AR203" s="668">
        <f t="shared" si="27"/>
        <v>152437.5</v>
      </c>
      <c r="AS203" s="668"/>
      <c r="AT203" s="668"/>
      <c r="AV203" s="670">
        <f t="shared" si="28"/>
        <v>12750000</v>
      </c>
      <c r="AW203" s="670">
        <f t="shared" si="29"/>
        <v>5640187.5</v>
      </c>
      <c r="AX203" s="671">
        <f t="shared" si="23"/>
        <v>0</v>
      </c>
    </row>
    <row r="204" spans="1:50">
      <c r="A204" s="664" t="s">
        <v>494</v>
      </c>
      <c r="B204" s="664"/>
      <c r="C204" s="664"/>
      <c r="D204" s="664">
        <v>1160505001</v>
      </c>
      <c r="E204" s="664">
        <v>0</v>
      </c>
      <c r="F204" s="664">
        <v>42534</v>
      </c>
      <c r="G204" s="665">
        <v>42918</v>
      </c>
      <c r="H204" s="665">
        <v>44744</v>
      </c>
      <c r="I204" s="664">
        <v>540</v>
      </c>
      <c r="J204" s="666">
        <v>14000000</v>
      </c>
      <c r="K204" s="666">
        <v>9100020</v>
      </c>
      <c r="L204" s="666">
        <v>0</v>
      </c>
      <c r="M204" s="664" t="s">
        <v>495</v>
      </c>
      <c r="N204" s="666">
        <v>14000000</v>
      </c>
      <c r="O204" s="666">
        <v>9100020</v>
      </c>
      <c r="P204" s="666">
        <v>3780000</v>
      </c>
      <c r="Q204" s="664">
        <v>1</v>
      </c>
      <c r="R204" s="664" t="s">
        <v>496</v>
      </c>
      <c r="S204" s="664">
        <v>100</v>
      </c>
      <c r="T204" s="666">
        <v>14000000</v>
      </c>
      <c r="U204" s="666">
        <v>9100020</v>
      </c>
      <c r="V204" s="664">
        <v>100</v>
      </c>
      <c r="W204" s="666">
        <v>3969394</v>
      </c>
      <c r="X204" s="664">
        <v>14</v>
      </c>
      <c r="Y204" s="664">
        <v>1160902010</v>
      </c>
      <c r="Z204" s="664">
        <v>2023</v>
      </c>
      <c r="AA204" s="664">
        <v>12</v>
      </c>
      <c r="AB204" s="664">
        <v>5026003002</v>
      </c>
      <c r="AC204" s="664">
        <v>1160903005</v>
      </c>
      <c r="AD204" s="664">
        <v>0</v>
      </c>
      <c r="AE204" s="664">
        <v>0</v>
      </c>
      <c r="AF204" s="664">
        <v>0</v>
      </c>
      <c r="AG204" s="664">
        <v>1160605001</v>
      </c>
      <c r="AH204" s="664">
        <v>540</v>
      </c>
      <c r="AI204" s="664" t="s">
        <v>498</v>
      </c>
      <c r="AJ204" s="667">
        <v>0.1</v>
      </c>
      <c r="AK204" s="668">
        <f t="shared" si="24"/>
        <v>1400000</v>
      </c>
      <c r="AL204" s="668">
        <f t="shared" si="25"/>
        <v>1400000</v>
      </c>
      <c r="AM204" s="668">
        <f t="shared" si="25"/>
        <v>1400000</v>
      </c>
      <c r="AN204" s="668"/>
      <c r="AO204" s="668"/>
      <c r="AP204" s="668">
        <f t="shared" si="26"/>
        <v>455001</v>
      </c>
      <c r="AQ204" s="668">
        <f t="shared" si="27"/>
        <v>455001</v>
      </c>
      <c r="AR204" s="668">
        <f t="shared" si="27"/>
        <v>455001</v>
      </c>
      <c r="AS204" s="668"/>
      <c r="AT204" s="668"/>
      <c r="AV204" s="670">
        <f t="shared" si="28"/>
        <v>9800000</v>
      </c>
      <c r="AW204" s="670">
        <f t="shared" si="29"/>
        <v>7735017</v>
      </c>
      <c r="AX204" s="671">
        <f t="shared" si="23"/>
        <v>0</v>
      </c>
    </row>
    <row r="205" spans="1:50">
      <c r="A205" s="664" t="s">
        <v>494</v>
      </c>
      <c r="B205" s="664"/>
      <c r="C205" s="664"/>
      <c r="D205" s="664">
        <v>1160505001</v>
      </c>
      <c r="E205" s="664">
        <v>0</v>
      </c>
      <c r="F205" s="664">
        <v>42026</v>
      </c>
      <c r="G205" s="665">
        <v>42853</v>
      </c>
      <c r="H205" s="665">
        <v>43218</v>
      </c>
      <c r="I205" s="664">
        <v>2044</v>
      </c>
      <c r="J205" s="666">
        <v>5491406</v>
      </c>
      <c r="K205" s="666">
        <v>494232</v>
      </c>
      <c r="L205" s="666">
        <v>0</v>
      </c>
      <c r="M205" s="664" t="s">
        <v>495</v>
      </c>
      <c r="N205" s="666">
        <v>5491406</v>
      </c>
      <c r="O205" s="666">
        <v>494232</v>
      </c>
      <c r="P205" s="666">
        <v>5612217</v>
      </c>
      <c r="Q205" s="664">
        <v>1</v>
      </c>
      <c r="R205" s="664" t="s">
        <v>496</v>
      </c>
      <c r="S205" s="664">
        <v>100</v>
      </c>
      <c r="T205" s="666">
        <v>5491406</v>
      </c>
      <c r="U205" s="666">
        <v>494232</v>
      </c>
      <c r="V205" s="664">
        <v>100</v>
      </c>
      <c r="W205" s="666">
        <v>2548273</v>
      </c>
      <c r="X205" s="664">
        <v>2</v>
      </c>
      <c r="Y205" s="664">
        <v>1160902010</v>
      </c>
      <c r="Z205" s="664">
        <v>2023</v>
      </c>
      <c r="AA205" s="664">
        <v>12</v>
      </c>
      <c r="AB205" s="664">
        <v>5026003002</v>
      </c>
      <c r="AC205" s="664">
        <v>1160903005</v>
      </c>
      <c r="AD205" s="664">
        <v>0</v>
      </c>
      <c r="AE205" s="664">
        <v>0</v>
      </c>
      <c r="AF205" s="664">
        <v>0</v>
      </c>
      <c r="AG205" s="664">
        <v>1160605001</v>
      </c>
      <c r="AH205" s="664">
        <v>2044</v>
      </c>
      <c r="AI205" s="664" t="s">
        <v>497</v>
      </c>
      <c r="AJ205" s="667">
        <v>0.01</v>
      </c>
      <c r="AK205" s="668">
        <f t="shared" si="24"/>
        <v>54914.06</v>
      </c>
      <c r="AL205" s="668">
        <f t="shared" si="25"/>
        <v>54914.06</v>
      </c>
      <c r="AM205" s="668">
        <f t="shared" si="25"/>
        <v>54914.06</v>
      </c>
      <c r="AN205" s="668"/>
      <c r="AO205" s="668"/>
      <c r="AP205" s="668">
        <f t="shared" si="26"/>
        <v>2471.16</v>
      </c>
      <c r="AQ205" s="668">
        <f t="shared" si="27"/>
        <v>2471.16</v>
      </c>
      <c r="AR205" s="668">
        <f t="shared" si="27"/>
        <v>2471.16</v>
      </c>
      <c r="AS205" s="668"/>
      <c r="AT205" s="668"/>
      <c r="AV205" s="670">
        <f t="shared" si="28"/>
        <v>5326663.8200000012</v>
      </c>
      <c r="AW205" s="670">
        <f t="shared" si="29"/>
        <v>486818.52000000008</v>
      </c>
      <c r="AX205" s="671">
        <f t="shared" si="23"/>
        <v>0</v>
      </c>
    </row>
    <row r="206" spans="1:50">
      <c r="A206" s="664" t="s">
        <v>494</v>
      </c>
      <c r="B206" s="664"/>
      <c r="C206" s="664"/>
      <c r="D206" s="664">
        <v>1160505001</v>
      </c>
      <c r="E206" s="664">
        <v>0</v>
      </c>
      <c r="F206" s="664">
        <v>45665</v>
      </c>
      <c r="G206" s="665">
        <v>43471</v>
      </c>
      <c r="H206" s="665">
        <v>43836</v>
      </c>
      <c r="I206" s="664">
        <v>1436</v>
      </c>
      <c r="J206" s="666">
        <v>12000000</v>
      </c>
      <c r="K206" s="666">
        <v>1080000</v>
      </c>
      <c r="L206" s="666">
        <v>0</v>
      </c>
      <c r="M206" s="664" t="s">
        <v>495</v>
      </c>
      <c r="N206" s="666">
        <v>12000000</v>
      </c>
      <c r="O206" s="666">
        <v>1080000</v>
      </c>
      <c r="P206" s="666">
        <v>8616000</v>
      </c>
      <c r="Q206" s="664">
        <v>1</v>
      </c>
      <c r="R206" s="664" t="s">
        <v>496</v>
      </c>
      <c r="S206" s="664">
        <v>100</v>
      </c>
      <c r="T206" s="666">
        <v>12000000</v>
      </c>
      <c r="U206" s="666">
        <v>1080000</v>
      </c>
      <c r="V206" s="664">
        <v>100</v>
      </c>
      <c r="W206" s="666">
        <v>8349596</v>
      </c>
      <c r="X206" s="664">
        <v>2</v>
      </c>
      <c r="Y206" s="664">
        <v>1160902010</v>
      </c>
      <c r="Z206" s="664">
        <v>2023</v>
      </c>
      <c r="AA206" s="664">
        <v>12</v>
      </c>
      <c r="AB206" s="664">
        <v>5026003002</v>
      </c>
      <c r="AC206" s="664">
        <v>1160903005</v>
      </c>
      <c r="AD206" s="664">
        <v>0</v>
      </c>
      <c r="AE206" s="664">
        <v>0</v>
      </c>
      <c r="AF206" s="664">
        <v>0</v>
      </c>
      <c r="AG206" s="664">
        <v>1160605001</v>
      </c>
      <c r="AH206" s="664">
        <v>1436</v>
      </c>
      <c r="AI206" s="664" t="s">
        <v>497</v>
      </c>
      <c r="AJ206" s="667">
        <v>0.01</v>
      </c>
      <c r="AK206" s="668">
        <f t="shared" si="24"/>
        <v>120000</v>
      </c>
      <c r="AL206" s="668">
        <f t="shared" si="25"/>
        <v>120000</v>
      </c>
      <c r="AM206" s="668">
        <f t="shared" si="25"/>
        <v>120000</v>
      </c>
      <c r="AN206" s="668"/>
      <c r="AO206" s="668"/>
      <c r="AP206" s="668">
        <f t="shared" si="26"/>
        <v>5400</v>
      </c>
      <c r="AQ206" s="668">
        <f t="shared" si="27"/>
        <v>5400</v>
      </c>
      <c r="AR206" s="668">
        <f t="shared" si="27"/>
        <v>5400</v>
      </c>
      <c r="AS206" s="668"/>
      <c r="AT206" s="668"/>
      <c r="AV206" s="670">
        <f t="shared" si="28"/>
        <v>11640000</v>
      </c>
      <c r="AW206" s="670">
        <f t="shared" si="29"/>
        <v>1063800</v>
      </c>
      <c r="AX206" s="671">
        <f t="shared" si="23"/>
        <v>0</v>
      </c>
    </row>
    <row r="207" spans="1:50">
      <c r="A207" s="664" t="s">
        <v>494</v>
      </c>
      <c r="B207" s="664"/>
      <c r="C207" s="664"/>
      <c r="D207" s="664">
        <v>1160505001</v>
      </c>
      <c r="E207" s="664">
        <v>0</v>
      </c>
      <c r="F207" s="664">
        <v>44124</v>
      </c>
      <c r="G207" s="665">
        <v>43184</v>
      </c>
      <c r="H207" s="665">
        <v>45010</v>
      </c>
      <c r="I207" s="664">
        <v>277</v>
      </c>
      <c r="J207" s="666">
        <v>10000000</v>
      </c>
      <c r="K207" s="666">
        <v>3552500</v>
      </c>
      <c r="L207" s="666">
        <v>0</v>
      </c>
      <c r="M207" s="664" t="s">
        <v>495</v>
      </c>
      <c r="N207" s="666">
        <v>10000000</v>
      </c>
      <c r="O207" s="666">
        <v>3552500</v>
      </c>
      <c r="P207" s="666">
        <v>1385000</v>
      </c>
      <c r="Q207" s="664">
        <v>1</v>
      </c>
      <c r="R207" s="664" t="s">
        <v>496</v>
      </c>
      <c r="S207" s="664">
        <v>100</v>
      </c>
      <c r="T207" s="666">
        <v>10000000</v>
      </c>
      <c r="U207" s="666">
        <v>3552500</v>
      </c>
      <c r="V207" s="664">
        <v>100</v>
      </c>
      <c r="W207" s="666">
        <v>8349596</v>
      </c>
      <c r="X207" s="664">
        <v>14</v>
      </c>
      <c r="Y207" s="664">
        <v>1160902010</v>
      </c>
      <c r="Z207" s="664">
        <v>2023</v>
      </c>
      <c r="AA207" s="664">
        <v>12</v>
      </c>
      <c r="AB207" s="664">
        <v>5026003002</v>
      </c>
      <c r="AC207" s="664">
        <v>1160903005</v>
      </c>
      <c r="AD207" s="664">
        <v>0</v>
      </c>
      <c r="AE207" s="664">
        <v>0</v>
      </c>
      <c r="AF207" s="664">
        <v>0</v>
      </c>
      <c r="AG207" s="664">
        <v>1160605001</v>
      </c>
      <c r="AH207" s="664">
        <v>1436</v>
      </c>
      <c r="AI207" s="664" t="s">
        <v>497</v>
      </c>
      <c r="AJ207" s="667">
        <v>0.01</v>
      </c>
      <c r="AK207" s="668">
        <f t="shared" si="24"/>
        <v>100000</v>
      </c>
      <c r="AL207" s="668">
        <f t="shared" si="25"/>
        <v>100000</v>
      </c>
      <c r="AM207" s="668">
        <f t="shared" si="25"/>
        <v>100000</v>
      </c>
      <c r="AN207" s="668"/>
      <c r="AO207" s="668"/>
      <c r="AP207" s="668">
        <f t="shared" si="26"/>
        <v>17762.5</v>
      </c>
      <c r="AQ207" s="668">
        <f t="shared" si="27"/>
        <v>17762.5</v>
      </c>
      <c r="AR207" s="668">
        <f t="shared" si="27"/>
        <v>17762.5</v>
      </c>
      <c r="AS207" s="668"/>
      <c r="AT207" s="668"/>
      <c r="AV207" s="670">
        <f t="shared" si="28"/>
        <v>9700000</v>
      </c>
      <c r="AW207" s="670">
        <f t="shared" si="29"/>
        <v>3499212.5</v>
      </c>
      <c r="AX207" s="671">
        <f t="shared" si="23"/>
        <v>0</v>
      </c>
    </row>
    <row r="208" spans="1:50">
      <c r="A208" s="664" t="s">
        <v>494</v>
      </c>
      <c r="B208" s="664"/>
      <c r="C208" s="664"/>
      <c r="D208" s="664">
        <v>1160505001</v>
      </c>
      <c r="E208" s="664">
        <v>0</v>
      </c>
      <c r="F208" s="664">
        <v>45076</v>
      </c>
      <c r="G208" s="665">
        <v>43309</v>
      </c>
      <c r="H208" s="665">
        <v>43674</v>
      </c>
      <c r="I208" s="664">
        <v>1594</v>
      </c>
      <c r="J208" s="666">
        <v>645829</v>
      </c>
      <c r="K208" s="666">
        <v>0</v>
      </c>
      <c r="L208" s="666">
        <v>0</v>
      </c>
      <c r="M208" s="664" t="s">
        <v>495</v>
      </c>
      <c r="N208" s="666">
        <v>645829</v>
      </c>
      <c r="O208" s="666">
        <v>0</v>
      </c>
      <c r="P208" s="666">
        <v>514726</v>
      </c>
      <c r="Q208" s="664">
        <v>1</v>
      </c>
      <c r="R208" s="664" t="s">
        <v>496</v>
      </c>
      <c r="S208" s="664">
        <v>100</v>
      </c>
      <c r="T208" s="666">
        <v>645829</v>
      </c>
      <c r="U208" s="666">
        <v>0</v>
      </c>
      <c r="V208" s="664">
        <v>200</v>
      </c>
      <c r="W208" s="666">
        <v>4394643</v>
      </c>
      <c r="X208" s="664">
        <v>2</v>
      </c>
      <c r="Y208" s="664">
        <v>1160902010</v>
      </c>
      <c r="Z208" s="664">
        <v>2023</v>
      </c>
      <c r="AA208" s="664">
        <v>12</v>
      </c>
      <c r="AB208" s="664">
        <v>5026003002</v>
      </c>
      <c r="AC208" s="664">
        <v>1160903005</v>
      </c>
      <c r="AD208" s="664">
        <v>0</v>
      </c>
      <c r="AE208" s="664">
        <v>0</v>
      </c>
      <c r="AF208" s="664">
        <v>0</v>
      </c>
      <c r="AG208" s="664">
        <v>1160605001</v>
      </c>
      <c r="AH208" s="664">
        <v>1594</v>
      </c>
      <c r="AI208" s="664" t="s">
        <v>497</v>
      </c>
      <c r="AJ208" s="667">
        <v>0.01</v>
      </c>
      <c r="AK208" s="668">
        <f t="shared" si="24"/>
        <v>6458.29</v>
      </c>
      <c r="AL208" s="668">
        <f t="shared" si="25"/>
        <v>6458.29</v>
      </c>
      <c r="AM208" s="668">
        <f t="shared" si="25"/>
        <v>6458.29</v>
      </c>
      <c r="AN208" s="668"/>
      <c r="AO208" s="668"/>
      <c r="AP208" s="668">
        <f t="shared" si="26"/>
        <v>0</v>
      </c>
      <c r="AQ208" s="668">
        <f t="shared" si="27"/>
        <v>0</v>
      </c>
      <c r="AR208" s="668">
        <f t="shared" si="27"/>
        <v>0</v>
      </c>
      <c r="AS208" s="668"/>
      <c r="AT208" s="668"/>
      <c r="AV208" s="670">
        <f t="shared" si="28"/>
        <v>626454.12999999989</v>
      </c>
      <c r="AW208" s="670">
        <f t="shared" si="29"/>
        <v>0</v>
      </c>
      <c r="AX208" s="671">
        <f t="shared" si="23"/>
        <v>0</v>
      </c>
    </row>
    <row r="209" spans="1:51">
      <c r="A209" s="664" t="s">
        <v>494</v>
      </c>
      <c r="B209" s="664"/>
      <c r="C209" s="664"/>
      <c r="D209" s="664">
        <v>1160505001</v>
      </c>
      <c r="E209" s="664">
        <v>0</v>
      </c>
      <c r="F209" s="664">
        <v>41088</v>
      </c>
      <c r="G209" s="665">
        <v>42743</v>
      </c>
      <c r="H209" s="665">
        <v>43838</v>
      </c>
      <c r="I209" s="664">
        <v>1434</v>
      </c>
      <c r="J209" s="666">
        <v>4000000</v>
      </c>
      <c r="K209" s="666">
        <v>382559</v>
      </c>
      <c r="L209" s="666">
        <v>0</v>
      </c>
      <c r="M209" s="664" t="s">
        <v>495</v>
      </c>
      <c r="N209" s="666">
        <v>4000000</v>
      </c>
      <c r="O209" s="666">
        <v>382559</v>
      </c>
      <c r="P209" s="666">
        <v>2868000</v>
      </c>
      <c r="Q209" s="664">
        <v>1</v>
      </c>
      <c r="R209" s="664" t="s">
        <v>496</v>
      </c>
      <c r="S209" s="664">
        <v>100</v>
      </c>
      <c r="T209" s="666">
        <v>4000000</v>
      </c>
      <c r="U209" s="666">
        <v>382559</v>
      </c>
      <c r="V209" s="664">
        <v>100</v>
      </c>
      <c r="W209" s="666">
        <v>4394643</v>
      </c>
      <c r="X209" s="664">
        <v>14</v>
      </c>
      <c r="Y209" s="664">
        <v>1160902010</v>
      </c>
      <c r="Z209" s="664">
        <v>2023</v>
      </c>
      <c r="AA209" s="664">
        <v>12</v>
      </c>
      <c r="AB209" s="664">
        <v>5026003002</v>
      </c>
      <c r="AC209" s="664">
        <v>1160903005</v>
      </c>
      <c r="AD209" s="664">
        <v>0</v>
      </c>
      <c r="AE209" s="664">
        <v>0</v>
      </c>
      <c r="AF209" s="664">
        <v>0</v>
      </c>
      <c r="AG209" s="664">
        <v>1160605001</v>
      </c>
      <c r="AH209" s="664">
        <v>1594</v>
      </c>
      <c r="AI209" s="664" t="s">
        <v>497</v>
      </c>
      <c r="AJ209" s="667">
        <v>0.01</v>
      </c>
      <c r="AK209" s="668">
        <f t="shared" si="24"/>
        <v>40000</v>
      </c>
      <c r="AL209" s="668">
        <f t="shared" si="25"/>
        <v>40000</v>
      </c>
      <c r="AM209" s="668">
        <f t="shared" si="25"/>
        <v>40000</v>
      </c>
      <c r="AN209" s="668"/>
      <c r="AO209" s="668"/>
      <c r="AP209" s="668">
        <f t="shared" si="26"/>
        <v>1912.7950000000001</v>
      </c>
      <c r="AQ209" s="668">
        <f t="shared" si="27"/>
        <v>1912.7950000000001</v>
      </c>
      <c r="AR209" s="668">
        <f t="shared" si="27"/>
        <v>1912.7950000000001</v>
      </c>
      <c r="AS209" s="668"/>
      <c r="AT209" s="668"/>
      <c r="AV209" s="670">
        <f t="shared" si="28"/>
        <v>3880000</v>
      </c>
      <c r="AW209" s="670">
        <f t="shared" si="29"/>
        <v>376820.61500000005</v>
      </c>
      <c r="AX209" s="671">
        <f t="shared" si="23"/>
        <v>0</v>
      </c>
    </row>
    <row r="210" spans="1:51">
      <c r="A210" s="664" t="s">
        <v>494</v>
      </c>
      <c r="B210" s="664"/>
      <c r="C210" s="664"/>
      <c r="D210" s="664">
        <v>1160505001</v>
      </c>
      <c r="E210" s="664">
        <v>0</v>
      </c>
      <c r="F210" s="664">
        <v>46280</v>
      </c>
      <c r="G210" s="665">
        <v>43528</v>
      </c>
      <c r="H210" s="665">
        <v>44624</v>
      </c>
      <c r="I210" s="664">
        <v>658</v>
      </c>
      <c r="J210" s="666">
        <v>3000000</v>
      </c>
      <c r="K210" s="666">
        <v>1350000</v>
      </c>
      <c r="L210" s="666">
        <v>0</v>
      </c>
      <c r="M210" s="664" t="s">
        <v>495</v>
      </c>
      <c r="N210" s="666">
        <v>3000000</v>
      </c>
      <c r="O210" s="666">
        <v>1350000</v>
      </c>
      <c r="P210" s="666">
        <v>987000</v>
      </c>
      <c r="Q210" s="664">
        <v>1</v>
      </c>
      <c r="R210" s="664" t="s">
        <v>496</v>
      </c>
      <c r="S210" s="664">
        <v>100</v>
      </c>
      <c r="T210" s="666">
        <v>3000000</v>
      </c>
      <c r="U210" s="666">
        <v>1350000</v>
      </c>
      <c r="V210" s="664">
        <v>100</v>
      </c>
      <c r="W210" s="666">
        <v>4394643</v>
      </c>
      <c r="X210" s="664">
        <v>14</v>
      </c>
      <c r="Y210" s="664">
        <v>1160902010</v>
      </c>
      <c r="Z210" s="664">
        <v>2023</v>
      </c>
      <c r="AA210" s="664">
        <v>12</v>
      </c>
      <c r="AB210" s="664">
        <v>5026003002</v>
      </c>
      <c r="AC210" s="664">
        <v>1160903005</v>
      </c>
      <c r="AD210" s="664">
        <v>0</v>
      </c>
      <c r="AE210" s="664">
        <v>0</v>
      </c>
      <c r="AF210" s="664">
        <v>0</v>
      </c>
      <c r="AG210" s="664">
        <v>1160605001</v>
      </c>
      <c r="AH210" s="664">
        <v>1594</v>
      </c>
      <c r="AI210" s="664" t="s">
        <v>497</v>
      </c>
      <c r="AJ210" s="667">
        <v>0.01</v>
      </c>
      <c r="AK210" s="668">
        <f t="shared" si="24"/>
        <v>30000</v>
      </c>
      <c r="AL210" s="668">
        <f t="shared" si="25"/>
        <v>30000</v>
      </c>
      <c r="AM210" s="668">
        <f t="shared" si="25"/>
        <v>30000</v>
      </c>
      <c r="AN210" s="668"/>
      <c r="AO210" s="668"/>
      <c r="AP210" s="668">
        <f t="shared" si="26"/>
        <v>6750</v>
      </c>
      <c r="AQ210" s="668">
        <f t="shared" si="27"/>
        <v>6750</v>
      </c>
      <c r="AR210" s="668">
        <f t="shared" si="27"/>
        <v>6750</v>
      </c>
      <c r="AS210" s="668"/>
      <c r="AT210" s="668"/>
      <c r="AV210" s="670">
        <f t="shared" si="28"/>
        <v>2910000</v>
      </c>
      <c r="AW210" s="670">
        <f t="shared" si="29"/>
        <v>1329750</v>
      </c>
      <c r="AX210" s="671">
        <f t="shared" si="23"/>
        <v>0</v>
      </c>
    </row>
    <row r="211" spans="1:51">
      <c r="A211" s="664" t="s">
        <v>494</v>
      </c>
      <c r="B211" s="664"/>
      <c r="C211" s="664"/>
      <c r="D211" s="664">
        <v>1160501001</v>
      </c>
      <c r="E211" s="664">
        <v>0</v>
      </c>
      <c r="F211" s="664">
        <v>47150</v>
      </c>
      <c r="G211" s="665">
        <v>43668</v>
      </c>
      <c r="H211" s="665">
        <v>45313</v>
      </c>
      <c r="I211" s="664">
        <v>0</v>
      </c>
      <c r="J211" s="666">
        <v>4597600</v>
      </c>
      <c r="K211" s="666">
        <v>1199974</v>
      </c>
      <c r="L211" s="666">
        <v>0</v>
      </c>
      <c r="M211" s="664" t="s">
        <v>495</v>
      </c>
      <c r="N211" s="666">
        <v>0</v>
      </c>
      <c r="O211" s="666">
        <v>0</v>
      </c>
      <c r="P211" s="666">
        <v>0</v>
      </c>
      <c r="Q211" s="664">
        <v>1</v>
      </c>
      <c r="R211" s="664" t="s">
        <v>502</v>
      </c>
      <c r="S211" s="664">
        <v>0</v>
      </c>
      <c r="T211" s="666">
        <v>0</v>
      </c>
      <c r="U211" s="666">
        <v>0</v>
      </c>
      <c r="V211" s="664">
        <v>100</v>
      </c>
      <c r="W211" s="666">
        <v>7996599</v>
      </c>
      <c r="X211" s="664">
        <v>2</v>
      </c>
      <c r="Y211" s="664">
        <v>1160902002</v>
      </c>
      <c r="Z211" s="664">
        <v>2023</v>
      </c>
      <c r="AA211" s="664">
        <v>12</v>
      </c>
      <c r="AB211" s="664">
        <v>5026003002</v>
      </c>
      <c r="AC211" s="664">
        <v>1160903001</v>
      </c>
      <c r="AD211" s="664">
        <v>0</v>
      </c>
      <c r="AE211" s="664">
        <v>0</v>
      </c>
      <c r="AF211" s="664">
        <v>0</v>
      </c>
      <c r="AG211" s="664">
        <v>1160601004</v>
      </c>
      <c r="AH211" s="664">
        <v>0</v>
      </c>
      <c r="AI211" s="664" t="s">
        <v>500</v>
      </c>
      <c r="AJ211" s="667">
        <v>0.3</v>
      </c>
      <c r="AK211" s="668">
        <f t="shared" si="24"/>
        <v>1379280</v>
      </c>
      <c r="AL211" s="668">
        <f t="shared" si="25"/>
        <v>1379280</v>
      </c>
      <c r="AM211" s="668">
        <f t="shared" si="25"/>
        <v>1379280</v>
      </c>
      <c r="AN211" s="668"/>
      <c r="AO211" s="668"/>
      <c r="AP211" s="668">
        <f t="shared" si="26"/>
        <v>179996.1</v>
      </c>
      <c r="AQ211" s="668">
        <f t="shared" si="27"/>
        <v>179996.1</v>
      </c>
      <c r="AR211" s="668">
        <f t="shared" si="27"/>
        <v>179996.1</v>
      </c>
      <c r="AS211" s="668"/>
      <c r="AT211" s="668"/>
      <c r="AV211" s="670">
        <f t="shared" si="28"/>
        <v>459760</v>
      </c>
      <c r="AW211" s="670">
        <f t="shared" si="29"/>
        <v>659985.70000000007</v>
      </c>
      <c r="AX211" s="671">
        <f t="shared" si="23"/>
        <v>4597600</v>
      </c>
      <c r="AY211" s="671">
        <f>+AX211-L211</f>
        <v>4597600</v>
      </c>
    </row>
    <row r="212" spans="1:51">
      <c r="A212" s="664" t="s">
        <v>494</v>
      </c>
      <c r="B212" s="664"/>
      <c r="C212" s="664"/>
      <c r="D212" s="664">
        <v>1160505001</v>
      </c>
      <c r="E212" s="664">
        <v>0</v>
      </c>
      <c r="F212" s="664">
        <v>46754</v>
      </c>
      <c r="G212" s="665">
        <v>43604</v>
      </c>
      <c r="H212" s="665">
        <v>44700</v>
      </c>
      <c r="I212" s="664">
        <v>583</v>
      </c>
      <c r="J212" s="666">
        <v>1332000</v>
      </c>
      <c r="K212" s="666">
        <v>46287</v>
      </c>
      <c r="L212" s="666">
        <v>0</v>
      </c>
      <c r="M212" s="664" t="s">
        <v>495</v>
      </c>
      <c r="N212" s="666">
        <v>1332000</v>
      </c>
      <c r="O212" s="666">
        <v>46287</v>
      </c>
      <c r="P212" s="666">
        <v>388278</v>
      </c>
      <c r="Q212" s="664">
        <v>1</v>
      </c>
      <c r="R212" s="664" t="s">
        <v>496</v>
      </c>
      <c r="S212" s="664">
        <v>100</v>
      </c>
      <c r="T212" s="666">
        <v>1332000</v>
      </c>
      <c r="U212" s="666">
        <v>46287</v>
      </c>
      <c r="V212" s="664">
        <v>100</v>
      </c>
      <c r="W212" s="666">
        <v>6867346</v>
      </c>
      <c r="X212" s="664">
        <v>2</v>
      </c>
      <c r="Y212" s="664">
        <v>1160902010</v>
      </c>
      <c r="Z212" s="664">
        <v>2023</v>
      </c>
      <c r="AA212" s="664">
        <v>12</v>
      </c>
      <c r="AB212" s="664">
        <v>5026003002</v>
      </c>
      <c r="AC212" s="664">
        <v>1160903005</v>
      </c>
      <c r="AD212" s="664">
        <v>0</v>
      </c>
      <c r="AE212" s="664">
        <v>0</v>
      </c>
      <c r="AF212" s="664">
        <v>0</v>
      </c>
      <c r="AG212" s="664">
        <v>1160605001</v>
      </c>
      <c r="AH212" s="664">
        <v>583</v>
      </c>
      <c r="AI212" s="664" t="s">
        <v>498</v>
      </c>
      <c r="AJ212" s="667">
        <v>0.1</v>
      </c>
      <c r="AK212" s="668">
        <f t="shared" si="24"/>
        <v>133200</v>
      </c>
      <c r="AL212" s="668">
        <f t="shared" si="25"/>
        <v>133200</v>
      </c>
      <c r="AM212" s="668">
        <f t="shared" si="25"/>
        <v>133200</v>
      </c>
      <c r="AN212" s="668"/>
      <c r="AO212" s="668"/>
      <c r="AP212" s="668">
        <f t="shared" si="26"/>
        <v>2314.35</v>
      </c>
      <c r="AQ212" s="668">
        <f t="shared" si="27"/>
        <v>2314.35</v>
      </c>
      <c r="AR212" s="668">
        <f t="shared" si="27"/>
        <v>2314.35</v>
      </c>
      <c r="AS212" s="668"/>
      <c r="AT212" s="668"/>
      <c r="AV212" s="670">
        <f t="shared" si="28"/>
        <v>932400</v>
      </c>
      <c r="AW212" s="670">
        <f t="shared" si="29"/>
        <v>39343.950000000004</v>
      </c>
      <c r="AX212" s="671">
        <f t="shared" si="23"/>
        <v>0</v>
      </c>
    </row>
    <row r="213" spans="1:51">
      <c r="A213" s="664" t="s">
        <v>494</v>
      </c>
      <c r="B213" s="664"/>
      <c r="C213" s="664"/>
      <c r="D213" s="664">
        <v>1160505001</v>
      </c>
      <c r="E213" s="664">
        <v>0</v>
      </c>
      <c r="F213" s="664">
        <v>46888</v>
      </c>
      <c r="G213" s="665">
        <v>43625</v>
      </c>
      <c r="H213" s="665">
        <v>44721</v>
      </c>
      <c r="I213" s="664">
        <v>563</v>
      </c>
      <c r="J213" s="666">
        <v>666666</v>
      </c>
      <c r="K213" s="666">
        <v>19333</v>
      </c>
      <c r="L213" s="666">
        <v>0</v>
      </c>
      <c r="M213" s="664" t="s">
        <v>495</v>
      </c>
      <c r="N213" s="666">
        <v>666666</v>
      </c>
      <c r="O213" s="666">
        <v>19333</v>
      </c>
      <c r="P213" s="666">
        <v>187666</v>
      </c>
      <c r="Q213" s="664">
        <v>1</v>
      </c>
      <c r="R213" s="664" t="s">
        <v>496</v>
      </c>
      <c r="S213" s="664">
        <v>100</v>
      </c>
      <c r="T213" s="666">
        <v>666666</v>
      </c>
      <c r="U213" s="666">
        <v>19333</v>
      </c>
      <c r="V213" s="664">
        <v>100</v>
      </c>
      <c r="W213" s="666">
        <v>6867346</v>
      </c>
      <c r="X213" s="664">
        <v>14</v>
      </c>
      <c r="Y213" s="664">
        <v>1160902010</v>
      </c>
      <c r="Z213" s="664">
        <v>2023</v>
      </c>
      <c r="AA213" s="664">
        <v>12</v>
      </c>
      <c r="AB213" s="664">
        <v>5026003002</v>
      </c>
      <c r="AC213" s="664">
        <v>1160903005</v>
      </c>
      <c r="AD213" s="664">
        <v>0</v>
      </c>
      <c r="AE213" s="664">
        <v>0</v>
      </c>
      <c r="AF213" s="664">
        <v>0</v>
      </c>
      <c r="AG213" s="664">
        <v>1160605001</v>
      </c>
      <c r="AH213" s="664">
        <v>583</v>
      </c>
      <c r="AI213" s="664" t="s">
        <v>498</v>
      </c>
      <c r="AJ213" s="667">
        <v>0.1</v>
      </c>
      <c r="AK213" s="668">
        <f t="shared" si="24"/>
        <v>66666.600000000006</v>
      </c>
      <c r="AL213" s="668">
        <f t="shared" si="25"/>
        <v>66666.600000000006</v>
      </c>
      <c r="AM213" s="668">
        <f t="shared" si="25"/>
        <v>66666.600000000006</v>
      </c>
      <c r="AN213" s="668"/>
      <c r="AO213" s="668"/>
      <c r="AP213" s="668">
        <f t="shared" si="26"/>
        <v>966.65000000000009</v>
      </c>
      <c r="AQ213" s="668">
        <f t="shared" si="27"/>
        <v>966.65000000000009</v>
      </c>
      <c r="AR213" s="668">
        <f t="shared" si="27"/>
        <v>966.65000000000009</v>
      </c>
      <c r="AS213" s="668"/>
      <c r="AT213" s="668"/>
      <c r="AV213" s="670">
        <f t="shared" si="28"/>
        <v>466666.20000000007</v>
      </c>
      <c r="AW213" s="670">
        <f t="shared" si="29"/>
        <v>16433.049999999996</v>
      </c>
      <c r="AX213" s="671">
        <f t="shared" si="23"/>
        <v>0</v>
      </c>
    </row>
    <row r="214" spans="1:51">
      <c r="A214" s="664" t="s">
        <v>494</v>
      </c>
      <c r="B214" s="664"/>
      <c r="C214" s="664"/>
      <c r="D214" s="664">
        <v>1160505001</v>
      </c>
      <c r="E214" s="664">
        <v>0</v>
      </c>
      <c r="F214" s="664">
        <v>42618</v>
      </c>
      <c r="G214" s="665">
        <v>42932</v>
      </c>
      <c r="H214" s="665">
        <v>44758</v>
      </c>
      <c r="I214" s="664">
        <v>526</v>
      </c>
      <c r="J214" s="666">
        <v>2000000</v>
      </c>
      <c r="K214" s="666">
        <v>252782</v>
      </c>
      <c r="L214" s="666">
        <v>0</v>
      </c>
      <c r="M214" s="664" t="s">
        <v>495</v>
      </c>
      <c r="N214" s="666">
        <v>2000000</v>
      </c>
      <c r="O214" s="666">
        <v>252782</v>
      </c>
      <c r="P214" s="666">
        <v>526000</v>
      </c>
      <c r="Q214" s="664">
        <v>1</v>
      </c>
      <c r="R214" s="664" t="s">
        <v>496</v>
      </c>
      <c r="S214" s="664">
        <v>100</v>
      </c>
      <c r="T214" s="666">
        <v>2000000</v>
      </c>
      <c r="U214" s="666">
        <v>252782</v>
      </c>
      <c r="V214" s="664">
        <v>100</v>
      </c>
      <c r="W214" s="666">
        <v>5386748</v>
      </c>
      <c r="X214" s="664">
        <v>14</v>
      </c>
      <c r="Y214" s="664">
        <v>1160902010</v>
      </c>
      <c r="Z214" s="664">
        <v>2023</v>
      </c>
      <c r="AA214" s="664">
        <v>12</v>
      </c>
      <c r="AB214" s="664">
        <v>5026003002</v>
      </c>
      <c r="AC214" s="664">
        <v>1160903005</v>
      </c>
      <c r="AD214" s="664">
        <v>0</v>
      </c>
      <c r="AE214" s="664">
        <v>0</v>
      </c>
      <c r="AF214" s="664">
        <v>0</v>
      </c>
      <c r="AG214" s="664">
        <v>1160605001</v>
      </c>
      <c r="AH214" s="664">
        <v>526</v>
      </c>
      <c r="AI214" s="664" t="s">
        <v>498</v>
      </c>
      <c r="AJ214" s="667">
        <v>0.1</v>
      </c>
      <c r="AK214" s="668">
        <f t="shared" si="24"/>
        <v>200000</v>
      </c>
      <c r="AL214" s="668">
        <f t="shared" si="25"/>
        <v>200000</v>
      </c>
      <c r="AM214" s="668">
        <f t="shared" si="25"/>
        <v>200000</v>
      </c>
      <c r="AN214" s="668"/>
      <c r="AO214" s="668"/>
      <c r="AP214" s="668">
        <f t="shared" si="26"/>
        <v>12639.1</v>
      </c>
      <c r="AQ214" s="668">
        <f t="shared" si="27"/>
        <v>12639.1</v>
      </c>
      <c r="AR214" s="668">
        <f t="shared" si="27"/>
        <v>12639.1</v>
      </c>
      <c r="AS214" s="668"/>
      <c r="AT214" s="668"/>
      <c r="AV214" s="670">
        <f t="shared" si="28"/>
        <v>1400000</v>
      </c>
      <c r="AW214" s="670">
        <f t="shared" si="29"/>
        <v>214864.69999999998</v>
      </c>
      <c r="AX214" s="671">
        <f t="shared" si="23"/>
        <v>0</v>
      </c>
    </row>
    <row r="215" spans="1:51">
      <c r="A215" s="664" t="s">
        <v>494</v>
      </c>
      <c r="B215" s="664"/>
      <c r="C215" s="664"/>
      <c r="D215" s="664">
        <v>1160505001</v>
      </c>
      <c r="E215" s="664">
        <v>0</v>
      </c>
      <c r="F215" s="664">
        <v>42988</v>
      </c>
      <c r="G215" s="665">
        <v>43022</v>
      </c>
      <c r="H215" s="665">
        <v>44848</v>
      </c>
      <c r="I215" s="664">
        <v>438</v>
      </c>
      <c r="J215" s="666">
        <v>800000</v>
      </c>
      <c r="K215" s="666">
        <v>73380</v>
      </c>
      <c r="L215" s="666">
        <v>0</v>
      </c>
      <c r="M215" s="664" t="s">
        <v>495</v>
      </c>
      <c r="N215" s="666">
        <v>800000</v>
      </c>
      <c r="O215" s="666">
        <v>73380</v>
      </c>
      <c r="P215" s="666">
        <v>175200</v>
      </c>
      <c r="Q215" s="664">
        <v>1</v>
      </c>
      <c r="R215" s="664" t="s">
        <v>496</v>
      </c>
      <c r="S215" s="664">
        <v>100</v>
      </c>
      <c r="T215" s="666">
        <v>800000</v>
      </c>
      <c r="U215" s="666">
        <v>73380</v>
      </c>
      <c r="V215" s="664">
        <v>100</v>
      </c>
      <c r="W215" s="666">
        <v>5386748</v>
      </c>
      <c r="X215" s="664">
        <v>14</v>
      </c>
      <c r="Y215" s="664">
        <v>1160902010</v>
      </c>
      <c r="Z215" s="664">
        <v>2023</v>
      </c>
      <c r="AA215" s="664">
        <v>12</v>
      </c>
      <c r="AB215" s="664">
        <v>5026003002</v>
      </c>
      <c r="AC215" s="664">
        <v>1160903005</v>
      </c>
      <c r="AD215" s="664">
        <v>0</v>
      </c>
      <c r="AE215" s="664">
        <v>0</v>
      </c>
      <c r="AF215" s="664">
        <v>0</v>
      </c>
      <c r="AG215" s="664">
        <v>1160605001</v>
      </c>
      <c r="AH215" s="664">
        <v>526</v>
      </c>
      <c r="AI215" s="664" t="s">
        <v>498</v>
      </c>
      <c r="AJ215" s="667">
        <v>0.1</v>
      </c>
      <c r="AK215" s="668">
        <f t="shared" si="24"/>
        <v>80000</v>
      </c>
      <c r="AL215" s="668">
        <f t="shared" si="25"/>
        <v>80000</v>
      </c>
      <c r="AM215" s="668">
        <f t="shared" si="25"/>
        <v>80000</v>
      </c>
      <c r="AN215" s="668"/>
      <c r="AO215" s="668"/>
      <c r="AP215" s="668">
        <f t="shared" si="26"/>
        <v>3669</v>
      </c>
      <c r="AQ215" s="668">
        <f t="shared" si="27"/>
        <v>3669</v>
      </c>
      <c r="AR215" s="668">
        <f t="shared" si="27"/>
        <v>3669</v>
      </c>
      <c r="AS215" s="668"/>
      <c r="AT215" s="668"/>
      <c r="AV215" s="670">
        <f t="shared" si="28"/>
        <v>560000</v>
      </c>
      <c r="AW215" s="670">
        <f t="shared" si="29"/>
        <v>62373</v>
      </c>
      <c r="AX215" s="671">
        <f t="shared" si="23"/>
        <v>0</v>
      </c>
    </row>
    <row r="216" spans="1:51">
      <c r="A216" s="664" t="s">
        <v>494</v>
      </c>
      <c r="B216" s="664"/>
      <c r="C216" s="664"/>
      <c r="D216" s="664">
        <v>1160505001</v>
      </c>
      <c r="E216" s="664">
        <v>0</v>
      </c>
      <c r="F216" s="664">
        <v>41936</v>
      </c>
      <c r="G216" s="665">
        <v>42835</v>
      </c>
      <c r="H216" s="665">
        <v>43931</v>
      </c>
      <c r="I216" s="664">
        <v>1342</v>
      </c>
      <c r="J216" s="666">
        <v>10000000</v>
      </c>
      <c r="K216" s="666">
        <v>2461399</v>
      </c>
      <c r="L216" s="666">
        <v>0</v>
      </c>
      <c r="M216" s="664" t="s">
        <v>495</v>
      </c>
      <c r="N216" s="666">
        <v>10000000</v>
      </c>
      <c r="O216" s="666">
        <v>2461399</v>
      </c>
      <c r="P216" s="666">
        <v>6710000</v>
      </c>
      <c r="Q216" s="664">
        <v>1</v>
      </c>
      <c r="R216" s="664" t="s">
        <v>496</v>
      </c>
      <c r="S216" s="664">
        <v>100</v>
      </c>
      <c r="T216" s="666">
        <v>10000000</v>
      </c>
      <c r="U216" s="666">
        <v>2461399</v>
      </c>
      <c r="V216" s="664">
        <v>100</v>
      </c>
      <c r="W216" s="666">
        <v>3552697</v>
      </c>
      <c r="X216" s="664">
        <v>2</v>
      </c>
      <c r="Y216" s="664">
        <v>1160902010</v>
      </c>
      <c r="Z216" s="664">
        <v>2023</v>
      </c>
      <c r="AA216" s="664">
        <v>12</v>
      </c>
      <c r="AB216" s="664">
        <v>5026003002</v>
      </c>
      <c r="AC216" s="664">
        <v>1160903005</v>
      </c>
      <c r="AD216" s="664">
        <v>0</v>
      </c>
      <c r="AE216" s="664">
        <v>0</v>
      </c>
      <c r="AF216" s="664">
        <v>0</v>
      </c>
      <c r="AG216" s="664">
        <v>1160605001</v>
      </c>
      <c r="AH216" s="664">
        <v>1342</v>
      </c>
      <c r="AI216" s="664" t="s">
        <v>497</v>
      </c>
      <c r="AJ216" s="667">
        <v>0.01</v>
      </c>
      <c r="AK216" s="668">
        <f t="shared" si="24"/>
        <v>100000</v>
      </c>
      <c r="AL216" s="668">
        <f t="shared" si="25"/>
        <v>100000</v>
      </c>
      <c r="AM216" s="668">
        <f t="shared" si="25"/>
        <v>100000</v>
      </c>
      <c r="AN216" s="668"/>
      <c r="AO216" s="668"/>
      <c r="AP216" s="668">
        <f t="shared" si="26"/>
        <v>12306.995000000001</v>
      </c>
      <c r="AQ216" s="668">
        <f t="shared" si="27"/>
        <v>12306.995000000001</v>
      </c>
      <c r="AR216" s="668">
        <f t="shared" si="27"/>
        <v>12306.995000000001</v>
      </c>
      <c r="AS216" s="668"/>
      <c r="AT216" s="668"/>
      <c r="AV216" s="670">
        <f t="shared" si="28"/>
        <v>9700000</v>
      </c>
      <c r="AW216" s="670">
        <f t="shared" si="29"/>
        <v>2424478.0149999997</v>
      </c>
      <c r="AX216" s="671">
        <f t="shared" si="23"/>
        <v>0</v>
      </c>
    </row>
    <row r="217" spans="1:51">
      <c r="A217" s="664" t="s">
        <v>494</v>
      </c>
      <c r="B217" s="664"/>
      <c r="C217" s="664"/>
      <c r="D217" s="664">
        <v>1160505001</v>
      </c>
      <c r="E217" s="664">
        <v>0</v>
      </c>
      <c r="F217" s="664">
        <v>43446</v>
      </c>
      <c r="G217" s="665">
        <v>43128</v>
      </c>
      <c r="H217" s="665">
        <v>43858</v>
      </c>
      <c r="I217" s="664">
        <v>1414</v>
      </c>
      <c r="J217" s="666">
        <v>3000000</v>
      </c>
      <c r="K217" s="666">
        <v>540000</v>
      </c>
      <c r="L217" s="666">
        <v>0</v>
      </c>
      <c r="M217" s="664" t="s">
        <v>495</v>
      </c>
      <c r="N217" s="666">
        <v>3000000</v>
      </c>
      <c r="O217" s="666">
        <v>540000</v>
      </c>
      <c r="P217" s="666">
        <v>2121000</v>
      </c>
      <c r="Q217" s="664">
        <v>1</v>
      </c>
      <c r="R217" s="664" t="s">
        <v>496</v>
      </c>
      <c r="S217" s="664">
        <v>100</v>
      </c>
      <c r="T217" s="666">
        <v>3000000</v>
      </c>
      <c r="U217" s="666">
        <v>540000</v>
      </c>
      <c r="V217" s="664">
        <v>100</v>
      </c>
      <c r="W217" s="666">
        <v>1688360</v>
      </c>
      <c r="X217" s="664">
        <v>2</v>
      </c>
      <c r="Y217" s="664">
        <v>1160902010</v>
      </c>
      <c r="Z217" s="664">
        <v>2023</v>
      </c>
      <c r="AA217" s="664">
        <v>12</v>
      </c>
      <c r="AB217" s="664">
        <v>5026003002</v>
      </c>
      <c r="AC217" s="664">
        <v>1160903005</v>
      </c>
      <c r="AD217" s="664">
        <v>0</v>
      </c>
      <c r="AE217" s="664">
        <v>0</v>
      </c>
      <c r="AF217" s="664">
        <v>0</v>
      </c>
      <c r="AG217" s="664">
        <v>1160605001</v>
      </c>
      <c r="AH217" s="664">
        <v>1414</v>
      </c>
      <c r="AI217" s="664" t="s">
        <v>497</v>
      </c>
      <c r="AJ217" s="667">
        <v>0.01</v>
      </c>
      <c r="AK217" s="668">
        <f t="shared" si="24"/>
        <v>30000</v>
      </c>
      <c r="AL217" s="668">
        <f t="shared" si="25"/>
        <v>30000</v>
      </c>
      <c r="AM217" s="668">
        <f t="shared" si="25"/>
        <v>30000</v>
      </c>
      <c r="AN217" s="668"/>
      <c r="AO217" s="668"/>
      <c r="AP217" s="668">
        <f t="shared" si="26"/>
        <v>2700</v>
      </c>
      <c r="AQ217" s="668">
        <f t="shared" si="27"/>
        <v>2700</v>
      </c>
      <c r="AR217" s="668">
        <f t="shared" si="27"/>
        <v>2700</v>
      </c>
      <c r="AS217" s="668"/>
      <c r="AT217" s="668"/>
      <c r="AV217" s="670">
        <f t="shared" si="28"/>
        <v>2910000</v>
      </c>
      <c r="AW217" s="670">
        <f t="shared" si="29"/>
        <v>531900</v>
      </c>
      <c r="AX217" s="671">
        <f t="shared" si="23"/>
        <v>0</v>
      </c>
    </row>
    <row r="218" spans="1:51">
      <c r="A218" s="664" t="s">
        <v>494</v>
      </c>
      <c r="B218" s="664"/>
      <c r="C218" s="664"/>
      <c r="D218" s="664">
        <v>1160505004</v>
      </c>
      <c r="E218" s="664">
        <v>46471</v>
      </c>
      <c r="F218" s="664">
        <v>46472</v>
      </c>
      <c r="G218" s="665">
        <v>43552</v>
      </c>
      <c r="H218" s="665">
        <v>44648</v>
      </c>
      <c r="I218" s="664">
        <v>634</v>
      </c>
      <c r="J218" s="666">
        <v>13230600</v>
      </c>
      <c r="K218" s="666">
        <v>5953788</v>
      </c>
      <c r="L218" s="666">
        <v>0</v>
      </c>
      <c r="M218" s="664" t="s">
        <v>495</v>
      </c>
      <c r="N218" s="666">
        <v>13230600</v>
      </c>
      <c r="O218" s="666">
        <v>5953788</v>
      </c>
      <c r="P218" s="666">
        <v>4194100</v>
      </c>
      <c r="Q218" s="664">
        <v>1</v>
      </c>
      <c r="R218" s="664" t="s">
        <v>496</v>
      </c>
      <c r="S218" s="664">
        <v>100</v>
      </c>
      <c r="T218" s="666">
        <v>13230600</v>
      </c>
      <c r="U218" s="666">
        <v>5953788</v>
      </c>
      <c r="V218" s="664">
        <v>100</v>
      </c>
      <c r="W218" s="666">
        <v>13305858</v>
      </c>
      <c r="X218" s="664">
        <v>5</v>
      </c>
      <c r="Y218" s="664">
        <v>1160902010</v>
      </c>
      <c r="Z218" s="664">
        <v>2023</v>
      </c>
      <c r="AA218" s="664">
        <v>12</v>
      </c>
      <c r="AB218" s="664">
        <v>5026003002</v>
      </c>
      <c r="AC218" s="664">
        <v>1160903005</v>
      </c>
      <c r="AD218" s="664">
        <v>0</v>
      </c>
      <c r="AE218" s="664">
        <v>0</v>
      </c>
      <c r="AF218" s="664">
        <v>0</v>
      </c>
      <c r="AG218" s="664">
        <v>1160605001</v>
      </c>
      <c r="AH218" s="664">
        <v>634</v>
      </c>
      <c r="AI218" s="664" t="s">
        <v>498</v>
      </c>
      <c r="AJ218" s="667">
        <v>0.1</v>
      </c>
      <c r="AK218" s="668">
        <f t="shared" si="24"/>
        <v>1323060</v>
      </c>
      <c r="AL218" s="668">
        <f t="shared" si="25"/>
        <v>1323060</v>
      </c>
      <c r="AM218" s="668">
        <f t="shared" si="25"/>
        <v>1323060</v>
      </c>
      <c r="AN218" s="668"/>
      <c r="AO218" s="668"/>
      <c r="AP218" s="668">
        <f t="shared" si="26"/>
        <v>297689.40000000002</v>
      </c>
      <c r="AQ218" s="668">
        <f t="shared" si="27"/>
        <v>297689.40000000002</v>
      </c>
      <c r="AR218" s="668">
        <f t="shared" si="27"/>
        <v>297689.40000000002</v>
      </c>
      <c r="AS218" s="668"/>
      <c r="AT218" s="668"/>
      <c r="AV218" s="670">
        <f t="shared" si="28"/>
        <v>9261420</v>
      </c>
      <c r="AW218" s="670">
        <f t="shared" si="29"/>
        <v>5060719.7999999989</v>
      </c>
      <c r="AX218" s="671">
        <f t="shared" si="23"/>
        <v>0</v>
      </c>
    </row>
    <row r="219" spans="1:51">
      <c r="A219" s="664" t="s">
        <v>494</v>
      </c>
      <c r="B219" s="664"/>
      <c r="C219" s="664"/>
      <c r="D219" s="664">
        <v>1160505004</v>
      </c>
      <c r="E219" s="664">
        <v>0</v>
      </c>
      <c r="F219" s="664">
        <v>41875</v>
      </c>
      <c r="G219" s="665">
        <v>43552</v>
      </c>
      <c r="H219" s="665">
        <v>44648</v>
      </c>
      <c r="I219" s="664">
        <v>634</v>
      </c>
      <c r="J219" s="666">
        <v>0</v>
      </c>
      <c r="K219" s="666">
        <v>4143094</v>
      </c>
      <c r="L219" s="666">
        <v>0</v>
      </c>
      <c r="M219" s="664" t="s">
        <v>495</v>
      </c>
      <c r="N219" s="666">
        <v>0</v>
      </c>
      <c r="O219" s="666">
        <v>4143094</v>
      </c>
      <c r="P219" s="666">
        <v>0</v>
      </c>
      <c r="Q219" s="664">
        <v>1</v>
      </c>
      <c r="R219" s="664" t="s">
        <v>496</v>
      </c>
      <c r="S219" s="664">
        <v>100</v>
      </c>
      <c r="T219" s="666">
        <v>0</v>
      </c>
      <c r="U219" s="666">
        <v>4143094</v>
      </c>
      <c r="V219" s="664">
        <v>100</v>
      </c>
      <c r="W219" s="666">
        <v>13305858</v>
      </c>
      <c r="X219" s="664">
        <v>5</v>
      </c>
      <c r="Y219" s="664">
        <v>1160902010</v>
      </c>
      <c r="Z219" s="664">
        <v>2023</v>
      </c>
      <c r="AA219" s="664">
        <v>12</v>
      </c>
      <c r="AB219" s="664">
        <v>5026003002</v>
      </c>
      <c r="AC219" s="664">
        <v>1160903005</v>
      </c>
      <c r="AD219" s="664">
        <v>0</v>
      </c>
      <c r="AE219" s="664">
        <v>0</v>
      </c>
      <c r="AF219" s="664">
        <v>0</v>
      </c>
      <c r="AG219" s="664">
        <v>1160605001</v>
      </c>
      <c r="AH219" s="664">
        <v>634</v>
      </c>
      <c r="AI219" s="664" t="s">
        <v>498</v>
      </c>
      <c r="AJ219" s="667">
        <v>0.1</v>
      </c>
      <c r="AK219" s="668">
        <f t="shared" si="24"/>
        <v>0</v>
      </c>
      <c r="AL219" s="668">
        <f t="shared" si="25"/>
        <v>0</v>
      </c>
      <c r="AM219" s="668">
        <f t="shared" si="25"/>
        <v>0</v>
      </c>
      <c r="AN219" s="668"/>
      <c r="AO219" s="668"/>
      <c r="AP219" s="668">
        <f t="shared" si="26"/>
        <v>207154.7</v>
      </c>
      <c r="AQ219" s="668">
        <f t="shared" si="27"/>
        <v>207154.7</v>
      </c>
      <c r="AR219" s="668">
        <f t="shared" si="27"/>
        <v>207154.7</v>
      </c>
      <c r="AS219" s="668"/>
      <c r="AT219" s="668"/>
      <c r="AV219" s="670">
        <f t="shared" si="28"/>
        <v>0</v>
      </c>
      <c r="AW219" s="670">
        <f t="shared" si="29"/>
        <v>3521629.8999999994</v>
      </c>
      <c r="AX219" s="671">
        <f t="shared" si="23"/>
        <v>0</v>
      </c>
    </row>
    <row r="220" spans="1:51">
      <c r="A220" s="664" t="s">
        <v>494</v>
      </c>
      <c r="B220" s="664"/>
      <c r="C220" s="664"/>
      <c r="D220" s="664">
        <v>1160505001</v>
      </c>
      <c r="E220" s="664">
        <v>0</v>
      </c>
      <c r="F220" s="664">
        <v>45571</v>
      </c>
      <c r="G220" s="665">
        <v>43451</v>
      </c>
      <c r="H220" s="665">
        <v>44182</v>
      </c>
      <c r="I220" s="664">
        <v>1095</v>
      </c>
      <c r="J220" s="666">
        <v>1628980</v>
      </c>
      <c r="K220" s="666">
        <v>178368</v>
      </c>
      <c r="L220" s="666">
        <v>0</v>
      </c>
      <c r="M220" s="664" t="s">
        <v>495</v>
      </c>
      <c r="N220" s="666">
        <v>1628980</v>
      </c>
      <c r="O220" s="666">
        <v>178368</v>
      </c>
      <c r="P220" s="666">
        <v>891867</v>
      </c>
      <c r="Q220" s="664">
        <v>1</v>
      </c>
      <c r="R220" s="664" t="s">
        <v>496</v>
      </c>
      <c r="S220" s="664">
        <v>100</v>
      </c>
      <c r="T220" s="666">
        <v>1628980</v>
      </c>
      <c r="U220" s="666">
        <v>178368</v>
      </c>
      <c r="V220" s="664">
        <v>100</v>
      </c>
      <c r="W220" s="666">
        <v>7545205</v>
      </c>
      <c r="X220" s="664">
        <v>2</v>
      </c>
      <c r="Y220" s="664">
        <v>1160902010</v>
      </c>
      <c r="Z220" s="664">
        <v>2023</v>
      </c>
      <c r="AA220" s="664">
        <v>12</v>
      </c>
      <c r="AB220" s="664">
        <v>5026003002</v>
      </c>
      <c r="AC220" s="664">
        <v>1160903005</v>
      </c>
      <c r="AD220" s="664">
        <v>0</v>
      </c>
      <c r="AE220" s="664">
        <v>0</v>
      </c>
      <c r="AF220" s="664">
        <v>0</v>
      </c>
      <c r="AG220" s="664">
        <v>1160605001</v>
      </c>
      <c r="AH220" s="664">
        <v>1095</v>
      </c>
      <c r="AI220" s="664" t="s">
        <v>497</v>
      </c>
      <c r="AJ220" s="667">
        <v>0.01</v>
      </c>
      <c r="AK220" s="668">
        <f t="shared" si="24"/>
        <v>16289.800000000001</v>
      </c>
      <c r="AL220" s="668">
        <f t="shared" si="25"/>
        <v>16289.800000000001</v>
      </c>
      <c r="AM220" s="668">
        <f t="shared" si="25"/>
        <v>16289.800000000001</v>
      </c>
      <c r="AN220" s="668"/>
      <c r="AO220" s="668"/>
      <c r="AP220" s="668">
        <f t="shared" si="26"/>
        <v>891.84</v>
      </c>
      <c r="AQ220" s="668">
        <f t="shared" si="27"/>
        <v>891.84</v>
      </c>
      <c r="AR220" s="668">
        <f t="shared" si="27"/>
        <v>891.84</v>
      </c>
      <c r="AS220" s="668"/>
      <c r="AT220" s="668"/>
      <c r="AV220" s="670">
        <f t="shared" si="28"/>
        <v>1580110.5999999999</v>
      </c>
      <c r="AW220" s="670">
        <f t="shared" si="29"/>
        <v>175692.48</v>
      </c>
      <c r="AX220" s="671">
        <f t="shared" si="23"/>
        <v>0</v>
      </c>
    </row>
    <row r="221" spans="1:51">
      <c r="A221" s="664" t="s">
        <v>494</v>
      </c>
      <c r="B221" s="664"/>
      <c r="C221" s="664"/>
      <c r="D221" s="664">
        <v>1160505004</v>
      </c>
      <c r="E221" s="664">
        <v>43466</v>
      </c>
      <c r="F221" s="664">
        <v>46609</v>
      </c>
      <c r="G221" s="665">
        <v>43576</v>
      </c>
      <c r="H221" s="665">
        <v>44672</v>
      </c>
      <c r="I221" s="664">
        <v>611</v>
      </c>
      <c r="J221" s="666">
        <v>12954668</v>
      </c>
      <c r="K221" s="666">
        <v>3873455</v>
      </c>
      <c r="L221" s="666">
        <v>0</v>
      </c>
      <c r="M221" s="664" t="s">
        <v>495</v>
      </c>
      <c r="N221" s="666">
        <v>12954668</v>
      </c>
      <c r="O221" s="666">
        <v>3873455</v>
      </c>
      <c r="P221" s="666">
        <v>3957651</v>
      </c>
      <c r="Q221" s="664">
        <v>1</v>
      </c>
      <c r="R221" s="664" t="s">
        <v>496</v>
      </c>
      <c r="S221" s="664">
        <v>100</v>
      </c>
      <c r="T221" s="666">
        <v>12954668</v>
      </c>
      <c r="U221" s="666">
        <v>3873455</v>
      </c>
      <c r="V221" s="664">
        <v>100</v>
      </c>
      <c r="W221" s="666">
        <v>7545205</v>
      </c>
      <c r="X221" s="664">
        <v>5</v>
      </c>
      <c r="Y221" s="664">
        <v>1160902010</v>
      </c>
      <c r="Z221" s="664">
        <v>2023</v>
      </c>
      <c r="AA221" s="664">
        <v>12</v>
      </c>
      <c r="AB221" s="664">
        <v>5026003002</v>
      </c>
      <c r="AC221" s="664">
        <v>1160903005</v>
      </c>
      <c r="AD221" s="664">
        <v>0</v>
      </c>
      <c r="AE221" s="664">
        <v>0</v>
      </c>
      <c r="AF221" s="664">
        <v>0</v>
      </c>
      <c r="AG221" s="664">
        <v>1160605001</v>
      </c>
      <c r="AH221" s="664">
        <v>1095</v>
      </c>
      <c r="AI221" s="664" t="s">
        <v>497</v>
      </c>
      <c r="AJ221" s="667">
        <v>0.01</v>
      </c>
      <c r="AK221" s="668">
        <f t="shared" si="24"/>
        <v>129546.68000000001</v>
      </c>
      <c r="AL221" s="668">
        <f t="shared" si="25"/>
        <v>129546.68000000001</v>
      </c>
      <c r="AM221" s="668">
        <f t="shared" si="25"/>
        <v>129546.68000000001</v>
      </c>
      <c r="AN221" s="668"/>
      <c r="AO221" s="668"/>
      <c r="AP221" s="668">
        <f t="shared" si="26"/>
        <v>19367.275000000001</v>
      </c>
      <c r="AQ221" s="668">
        <f t="shared" si="27"/>
        <v>19367.275000000001</v>
      </c>
      <c r="AR221" s="668">
        <f t="shared" si="27"/>
        <v>19367.275000000001</v>
      </c>
      <c r="AS221" s="668"/>
      <c r="AT221" s="668"/>
      <c r="AV221" s="670">
        <f t="shared" si="28"/>
        <v>12566027.960000001</v>
      </c>
      <c r="AW221" s="670">
        <f t="shared" si="29"/>
        <v>3815353.1750000003</v>
      </c>
      <c r="AX221" s="671">
        <f t="shared" si="23"/>
        <v>0</v>
      </c>
    </row>
    <row r="222" spans="1:51">
      <c r="A222" s="664" t="s">
        <v>494</v>
      </c>
      <c r="B222" s="664"/>
      <c r="C222" s="664"/>
      <c r="D222" s="664">
        <v>1160505004</v>
      </c>
      <c r="E222" s="664">
        <v>0</v>
      </c>
      <c r="F222" s="664">
        <v>46608</v>
      </c>
      <c r="G222" s="665">
        <v>43576</v>
      </c>
      <c r="H222" s="665">
        <v>44672</v>
      </c>
      <c r="I222" s="664">
        <v>611</v>
      </c>
      <c r="J222" s="666">
        <v>0</v>
      </c>
      <c r="K222" s="666">
        <v>2085482</v>
      </c>
      <c r="L222" s="666">
        <v>0</v>
      </c>
      <c r="M222" s="664" t="s">
        <v>495</v>
      </c>
      <c r="N222" s="666">
        <v>0</v>
      </c>
      <c r="O222" s="666">
        <v>2085482</v>
      </c>
      <c r="P222" s="666">
        <v>0</v>
      </c>
      <c r="Q222" s="664">
        <v>1</v>
      </c>
      <c r="R222" s="664" t="s">
        <v>496</v>
      </c>
      <c r="S222" s="664">
        <v>100</v>
      </c>
      <c r="T222" s="666">
        <v>0</v>
      </c>
      <c r="U222" s="666">
        <v>2085482</v>
      </c>
      <c r="V222" s="664">
        <v>100</v>
      </c>
      <c r="W222" s="666">
        <v>7545205</v>
      </c>
      <c r="X222" s="664">
        <v>5</v>
      </c>
      <c r="Y222" s="664">
        <v>1160902010</v>
      </c>
      <c r="Z222" s="664">
        <v>2023</v>
      </c>
      <c r="AA222" s="664">
        <v>12</v>
      </c>
      <c r="AB222" s="664">
        <v>5026003002</v>
      </c>
      <c r="AC222" s="664">
        <v>1160903005</v>
      </c>
      <c r="AD222" s="664">
        <v>0</v>
      </c>
      <c r="AE222" s="664">
        <v>0</v>
      </c>
      <c r="AF222" s="664">
        <v>0</v>
      </c>
      <c r="AG222" s="664">
        <v>1160605001</v>
      </c>
      <c r="AH222" s="664">
        <v>1095</v>
      </c>
      <c r="AI222" s="664" t="s">
        <v>497</v>
      </c>
      <c r="AJ222" s="667">
        <v>0.01</v>
      </c>
      <c r="AK222" s="668">
        <f t="shared" si="24"/>
        <v>0</v>
      </c>
      <c r="AL222" s="668">
        <f t="shared" si="25"/>
        <v>0</v>
      </c>
      <c r="AM222" s="668">
        <f t="shared" si="25"/>
        <v>0</v>
      </c>
      <c r="AN222" s="668"/>
      <c r="AO222" s="668"/>
      <c r="AP222" s="668">
        <f t="shared" si="26"/>
        <v>10427.41</v>
      </c>
      <c r="AQ222" s="668">
        <f t="shared" si="27"/>
        <v>10427.41</v>
      </c>
      <c r="AR222" s="668">
        <f t="shared" si="27"/>
        <v>10427.41</v>
      </c>
      <c r="AS222" s="668"/>
      <c r="AT222" s="668"/>
      <c r="AV222" s="670">
        <f t="shared" si="28"/>
        <v>0</v>
      </c>
      <c r="AW222" s="670">
        <f t="shared" si="29"/>
        <v>2054199.7700000003</v>
      </c>
      <c r="AX222" s="671">
        <f t="shared" si="23"/>
        <v>0</v>
      </c>
    </row>
    <row r="223" spans="1:51">
      <c r="A223" s="664" t="s">
        <v>494</v>
      </c>
      <c r="B223" s="664"/>
      <c r="C223" s="664"/>
      <c r="D223" s="664">
        <v>1160505001</v>
      </c>
      <c r="E223" s="664">
        <v>0</v>
      </c>
      <c r="F223" s="664">
        <v>41705</v>
      </c>
      <c r="G223" s="665">
        <v>42808</v>
      </c>
      <c r="H223" s="665">
        <v>43173</v>
      </c>
      <c r="I223" s="664">
        <v>2088</v>
      </c>
      <c r="J223" s="666">
        <v>11113356</v>
      </c>
      <c r="K223" s="666">
        <v>1000200</v>
      </c>
      <c r="L223" s="666">
        <v>0</v>
      </c>
      <c r="M223" s="664" t="s">
        <v>495</v>
      </c>
      <c r="N223" s="666">
        <v>11113356</v>
      </c>
      <c r="O223" s="666">
        <v>1000200</v>
      </c>
      <c r="P223" s="666">
        <v>11602344</v>
      </c>
      <c r="Q223" s="664">
        <v>1</v>
      </c>
      <c r="R223" s="664" t="s">
        <v>496</v>
      </c>
      <c r="S223" s="664">
        <v>100</v>
      </c>
      <c r="T223" s="666">
        <v>11113356</v>
      </c>
      <c r="U223" s="666">
        <v>1000200</v>
      </c>
      <c r="V223" s="664">
        <v>100</v>
      </c>
      <c r="W223" s="666">
        <v>9454898</v>
      </c>
      <c r="X223" s="664">
        <v>2</v>
      </c>
      <c r="Y223" s="664">
        <v>1160902010</v>
      </c>
      <c r="Z223" s="664">
        <v>2023</v>
      </c>
      <c r="AA223" s="664">
        <v>12</v>
      </c>
      <c r="AB223" s="664">
        <v>5026003002</v>
      </c>
      <c r="AC223" s="664">
        <v>1160903005</v>
      </c>
      <c r="AD223" s="664">
        <v>0</v>
      </c>
      <c r="AE223" s="664">
        <v>0</v>
      </c>
      <c r="AF223" s="664">
        <v>0</v>
      </c>
      <c r="AG223" s="664">
        <v>1160605001</v>
      </c>
      <c r="AH223" s="664">
        <v>2088</v>
      </c>
      <c r="AI223" s="664" t="s">
        <v>497</v>
      </c>
      <c r="AJ223" s="667">
        <v>0.01</v>
      </c>
      <c r="AK223" s="668">
        <f t="shared" si="24"/>
        <v>111133.56</v>
      </c>
      <c r="AL223" s="668">
        <f t="shared" si="25"/>
        <v>111133.56</v>
      </c>
      <c r="AM223" s="668">
        <f t="shared" si="25"/>
        <v>111133.56</v>
      </c>
      <c r="AN223" s="668"/>
      <c r="AO223" s="668"/>
      <c r="AP223" s="668">
        <f t="shared" si="26"/>
        <v>5001</v>
      </c>
      <c r="AQ223" s="668">
        <f t="shared" si="27"/>
        <v>5001</v>
      </c>
      <c r="AR223" s="668">
        <f t="shared" si="27"/>
        <v>5001</v>
      </c>
      <c r="AS223" s="668"/>
      <c r="AT223" s="668"/>
      <c r="AV223" s="670">
        <f t="shared" si="28"/>
        <v>10779955.319999998</v>
      </c>
      <c r="AW223" s="670">
        <f t="shared" si="29"/>
        <v>985197</v>
      </c>
      <c r="AX223" s="671">
        <f t="shared" si="23"/>
        <v>0</v>
      </c>
    </row>
    <row r="224" spans="1:51">
      <c r="A224" s="664" t="s">
        <v>494</v>
      </c>
      <c r="B224" s="664"/>
      <c r="C224" s="664"/>
      <c r="D224" s="664">
        <v>1160505002</v>
      </c>
      <c r="E224" s="664">
        <v>0</v>
      </c>
      <c r="F224" s="664">
        <v>43193</v>
      </c>
      <c r="G224" s="665">
        <v>43091</v>
      </c>
      <c r="H224" s="665">
        <v>43456</v>
      </c>
      <c r="I224" s="664">
        <v>1810</v>
      </c>
      <c r="J224" s="666">
        <v>2866940</v>
      </c>
      <c r="K224" s="666">
        <v>258024</v>
      </c>
      <c r="L224" s="666">
        <v>0</v>
      </c>
      <c r="M224" s="664" t="s">
        <v>495</v>
      </c>
      <c r="N224" s="666">
        <v>2866940</v>
      </c>
      <c r="O224" s="666">
        <v>258024</v>
      </c>
      <c r="P224" s="666">
        <v>2594581</v>
      </c>
      <c r="Q224" s="664">
        <v>1</v>
      </c>
      <c r="R224" s="664" t="s">
        <v>496</v>
      </c>
      <c r="S224" s="664">
        <v>100</v>
      </c>
      <c r="T224" s="666">
        <v>2866940</v>
      </c>
      <c r="U224" s="666">
        <v>258024</v>
      </c>
      <c r="V224" s="664">
        <v>100</v>
      </c>
      <c r="W224" s="666">
        <v>2357034</v>
      </c>
      <c r="X224" s="664">
        <v>6</v>
      </c>
      <c r="Y224" s="664">
        <v>1160902010</v>
      </c>
      <c r="Z224" s="664">
        <v>2023</v>
      </c>
      <c r="AA224" s="664">
        <v>12</v>
      </c>
      <c r="AB224" s="664">
        <v>5026003002</v>
      </c>
      <c r="AC224" s="664">
        <v>1160903005</v>
      </c>
      <c r="AD224" s="664">
        <v>0</v>
      </c>
      <c r="AE224" s="664">
        <v>0</v>
      </c>
      <c r="AF224" s="664">
        <v>0</v>
      </c>
      <c r="AG224" s="664">
        <v>1160605001</v>
      </c>
      <c r="AH224" s="664">
        <v>1810</v>
      </c>
      <c r="AI224" s="664" t="s">
        <v>497</v>
      </c>
      <c r="AJ224" s="667">
        <v>0.01</v>
      </c>
      <c r="AK224" s="668">
        <f t="shared" si="24"/>
        <v>28669.4</v>
      </c>
      <c r="AL224" s="668">
        <f t="shared" si="25"/>
        <v>28669.4</v>
      </c>
      <c r="AM224" s="668">
        <f t="shared" si="25"/>
        <v>28669.4</v>
      </c>
      <c r="AN224" s="668"/>
      <c r="AO224" s="668"/>
      <c r="AP224" s="668">
        <f t="shared" si="26"/>
        <v>1290.1200000000001</v>
      </c>
      <c r="AQ224" s="668">
        <f t="shared" si="27"/>
        <v>1290.1200000000001</v>
      </c>
      <c r="AR224" s="668">
        <f t="shared" si="27"/>
        <v>1290.1200000000001</v>
      </c>
      <c r="AS224" s="668"/>
      <c r="AT224" s="668"/>
      <c r="AV224" s="670">
        <f t="shared" si="28"/>
        <v>2780931.8000000003</v>
      </c>
      <c r="AW224" s="670">
        <f t="shared" si="29"/>
        <v>254153.64</v>
      </c>
      <c r="AX224" s="671">
        <f t="shared" si="23"/>
        <v>0</v>
      </c>
    </row>
    <row r="225" spans="1:50">
      <c r="A225" s="664" t="s">
        <v>494</v>
      </c>
      <c r="B225" s="664"/>
      <c r="C225" s="664"/>
      <c r="D225" s="664">
        <v>1160505001</v>
      </c>
      <c r="E225" s="664">
        <v>0</v>
      </c>
      <c r="F225" s="664">
        <v>40859</v>
      </c>
      <c r="G225" s="665">
        <v>42699</v>
      </c>
      <c r="H225" s="665">
        <v>44525</v>
      </c>
      <c r="I225" s="664">
        <v>757</v>
      </c>
      <c r="J225" s="666">
        <v>2400000</v>
      </c>
      <c r="K225" s="666">
        <v>1248000</v>
      </c>
      <c r="L225" s="666">
        <v>0</v>
      </c>
      <c r="M225" s="664" t="s">
        <v>495</v>
      </c>
      <c r="N225" s="666">
        <v>2400000</v>
      </c>
      <c r="O225" s="666">
        <v>1248000</v>
      </c>
      <c r="P225" s="666">
        <v>908400</v>
      </c>
      <c r="Q225" s="664">
        <v>1</v>
      </c>
      <c r="R225" s="664" t="s">
        <v>496</v>
      </c>
      <c r="S225" s="664">
        <v>100</v>
      </c>
      <c r="T225" s="666">
        <v>2400000</v>
      </c>
      <c r="U225" s="666">
        <v>1248000</v>
      </c>
      <c r="V225" s="664">
        <v>100</v>
      </c>
      <c r="W225" s="666">
        <v>2357034</v>
      </c>
      <c r="X225" s="664">
        <v>14</v>
      </c>
      <c r="Y225" s="664">
        <v>1160902010</v>
      </c>
      <c r="Z225" s="664">
        <v>2023</v>
      </c>
      <c r="AA225" s="664">
        <v>12</v>
      </c>
      <c r="AB225" s="664">
        <v>5026003002</v>
      </c>
      <c r="AC225" s="664">
        <v>1160903005</v>
      </c>
      <c r="AD225" s="664">
        <v>0</v>
      </c>
      <c r="AE225" s="664">
        <v>0</v>
      </c>
      <c r="AF225" s="664">
        <v>0</v>
      </c>
      <c r="AG225" s="664">
        <v>1160605001</v>
      </c>
      <c r="AH225" s="664">
        <v>1810</v>
      </c>
      <c r="AI225" s="664" t="s">
        <v>497</v>
      </c>
      <c r="AJ225" s="667">
        <v>0.01</v>
      </c>
      <c r="AK225" s="668">
        <f t="shared" si="24"/>
        <v>24000</v>
      </c>
      <c r="AL225" s="668">
        <f t="shared" si="25"/>
        <v>24000</v>
      </c>
      <c r="AM225" s="668">
        <f t="shared" si="25"/>
        <v>24000</v>
      </c>
      <c r="AN225" s="668"/>
      <c r="AO225" s="668"/>
      <c r="AP225" s="668">
        <f t="shared" si="26"/>
        <v>6240</v>
      </c>
      <c r="AQ225" s="668">
        <f t="shared" si="27"/>
        <v>6240</v>
      </c>
      <c r="AR225" s="668">
        <f t="shared" si="27"/>
        <v>6240</v>
      </c>
      <c r="AS225" s="668"/>
      <c r="AT225" s="668"/>
      <c r="AV225" s="670">
        <f t="shared" si="28"/>
        <v>2328000</v>
      </c>
      <c r="AW225" s="670">
        <f t="shared" si="29"/>
        <v>1229280</v>
      </c>
      <c r="AX225" s="671">
        <f t="shared" si="23"/>
        <v>0</v>
      </c>
    </row>
    <row r="226" spans="1:50">
      <c r="A226" s="664" t="s">
        <v>494</v>
      </c>
      <c r="B226" s="664"/>
      <c r="C226" s="664"/>
      <c r="D226" s="664">
        <v>1160505001</v>
      </c>
      <c r="E226" s="664">
        <v>0</v>
      </c>
      <c r="F226" s="664">
        <v>46928</v>
      </c>
      <c r="G226" s="665">
        <v>43632</v>
      </c>
      <c r="H226" s="665">
        <v>44728</v>
      </c>
      <c r="I226" s="664">
        <v>556</v>
      </c>
      <c r="J226" s="666">
        <v>1666000</v>
      </c>
      <c r="K226" s="666">
        <v>148274</v>
      </c>
      <c r="L226" s="666">
        <v>0</v>
      </c>
      <c r="M226" s="664" t="s">
        <v>495</v>
      </c>
      <c r="N226" s="666">
        <v>1666000</v>
      </c>
      <c r="O226" s="666">
        <v>148274</v>
      </c>
      <c r="P226" s="666">
        <v>463148</v>
      </c>
      <c r="Q226" s="664">
        <v>1</v>
      </c>
      <c r="R226" s="664" t="s">
        <v>496</v>
      </c>
      <c r="S226" s="664">
        <v>100</v>
      </c>
      <c r="T226" s="666">
        <v>1666000</v>
      </c>
      <c r="U226" s="666">
        <v>148274</v>
      </c>
      <c r="V226" s="664">
        <v>100</v>
      </c>
      <c r="W226" s="666">
        <v>8178867</v>
      </c>
      <c r="X226" s="664">
        <v>2</v>
      </c>
      <c r="Y226" s="664">
        <v>1160902010</v>
      </c>
      <c r="Z226" s="664">
        <v>2023</v>
      </c>
      <c r="AA226" s="664">
        <v>12</v>
      </c>
      <c r="AB226" s="664">
        <v>5026003002</v>
      </c>
      <c r="AC226" s="664">
        <v>1160903005</v>
      </c>
      <c r="AD226" s="664">
        <v>0</v>
      </c>
      <c r="AE226" s="664">
        <v>0</v>
      </c>
      <c r="AF226" s="664">
        <v>0</v>
      </c>
      <c r="AG226" s="664">
        <v>1160605001</v>
      </c>
      <c r="AH226" s="664">
        <v>556</v>
      </c>
      <c r="AI226" s="664" t="s">
        <v>498</v>
      </c>
      <c r="AJ226" s="667">
        <v>0.1</v>
      </c>
      <c r="AK226" s="668">
        <f t="shared" si="24"/>
        <v>166600</v>
      </c>
      <c r="AL226" s="668">
        <f t="shared" si="25"/>
        <v>166600</v>
      </c>
      <c r="AM226" s="668">
        <f t="shared" si="25"/>
        <v>166600</v>
      </c>
      <c r="AN226" s="668"/>
      <c r="AO226" s="668"/>
      <c r="AP226" s="668">
        <f t="shared" si="26"/>
        <v>7413.7000000000007</v>
      </c>
      <c r="AQ226" s="668">
        <f t="shared" si="27"/>
        <v>7413.7000000000007</v>
      </c>
      <c r="AR226" s="668">
        <f t="shared" si="27"/>
        <v>7413.7000000000007</v>
      </c>
      <c r="AS226" s="668"/>
      <c r="AT226" s="668"/>
      <c r="AV226" s="670">
        <f t="shared" si="28"/>
        <v>1166200</v>
      </c>
      <c r="AW226" s="670">
        <f t="shared" si="29"/>
        <v>126032.89999999998</v>
      </c>
      <c r="AX226" s="671">
        <f t="shared" si="23"/>
        <v>0</v>
      </c>
    </row>
    <row r="227" spans="1:50">
      <c r="A227" s="664" t="s">
        <v>494</v>
      </c>
      <c r="B227" s="664"/>
      <c r="C227" s="664"/>
      <c r="D227" s="664">
        <v>1160505001</v>
      </c>
      <c r="E227" s="664">
        <v>0</v>
      </c>
      <c r="F227" s="664">
        <v>45450</v>
      </c>
      <c r="G227" s="665">
        <v>43422</v>
      </c>
      <c r="H227" s="665">
        <v>45248</v>
      </c>
      <c r="I227" s="664">
        <v>44</v>
      </c>
      <c r="J227" s="666">
        <v>4080000</v>
      </c>
      <c r="K227" s="666">
        <v>739500</v>
      </c>
      <c r="L227" s="666">
        <v>0</v>
      </c>
      <c r="M227" s="664" t="s">
        <v>495</v>
      </c>
      <c r="N227" s="666">
        <v>4080000</v>
      </c>
      <c r="O227" s="666">
        <v>739500</v>
      </c>
      <c r="P227" s="666">
        <v>89760</v>
      </c>
      <c r="Q227" s="664">
        <v>1</v>
      </c>
      <c r="R227" s="664" t="s">
        <v>496</v>
      </c>
      <c r="S227" s="664">
        <v>100</v>
      </c>
      <c r="T227" s="666">
        <v>4080000</v>
      </c>
      <c r="U227" s="666">
        <v>739500</v>
      </c>
      <c r="V227" s="664">
        <v>100</v>
      </c>
      <c r="W227" s="666">
        <v>8178867</v>
      </c>
      <c r="X227" s="664">
        <v>14</v>
      </c>
      <c r="Y227" s="664">
        <v>1160902010</v>
      </c>
      <c r="Z227" s="664">
        <v>2023</v>
      </c>
      <c r="AA227" s="664">
        <v>12</v>
      </c>
      <c r="AB227" s="664">
        <v>5026003002</v>
      </c>
      <c r="AC227" s="664">
        <v>1160903005</v>
      </c>
      <c r="AD227" s="664">
        <v>0</v>
      </c>
      <c r="AE227" s="664">
        <v>0</v>
      </c>
      <c r="AF227" s="664">
        <v>0</v>
      </c>
      <c r="AG227" s="664">
        <v>1160605001</v>
      </c>
      <c r="AH227" s="664">
        <v>556</v>
      </c>
      <c r="AI227" s="664" t="s">
        <v>498</v>
      </c>
      <c r="AJ227" s="667">
        <v>0.1</v>
      </c>
      <c r="AK227" s="668">
        <f t="shared" si="24"/>
        <v>408000</v>
      </c>
      <c r="AL227" s="668">
        <f t="shared" si="25"/>
        <v>408000</v>
      </c>
      <c r="AM227" s="668">
        <f t="shared" si="25"/>
        <v>408000</v>
      </c>
      <c r="AN227" s="668"/>
      <c r="AO227" s="668"/>
      <c r="AP227" s="668">
        <f t="shared" si="26"/>
        <v>36975</v>
      </c>
      <c r="AQ227" s="668">
        <f t="shared" si="27"/>
        <v>36975</v>
      </c>
      <c r="AR227" s="668">
        <f t="shared" si="27"/>
        <v>36975</v>
      </c>
      <c r="AS227" s="668"/>
      <c r="AT227" s="668"/>
      <c r="AV227" s="670">
        <f t="shared" si="28"/>
        <v>2856000</v>
      </c>
      <c r="AW227" s="670">
        <f t="shared" si="29"/>
        <v>628575</v>
      </c>
      <c r="AX227" s="671">
        <f t="shared" si="23"/>
        <v>0</v>
      </c>
    </row>
    <row r="228" spans="1:50">
      <c r="A228" s="664" t="s">
        <v>494</v>
      </c>
      <c r="B228" s="664"/>
      <c r="C228" s="664"/>
      <c r="D228" s="664">
        <v>1160505001</v>
      </c>
      <c r="E228" s="664">
        <v>0</v>
      </c>
      <c r="F228" s="664">
        <v>41981</v>
      </c>
      <c r="G228" s="665">
        <v>42848</v>
      </c>
      <c r="H228" s="665">
        <v>43213</v>
      </c>
      <c r="I228" s="664">
        <v>2049</v>
      </c>
      <c r="J228" s="666">
        <v>8000000</v>
      </c>
      <c r="K228" s="666">
        <v>30000</v>
      </c>
      <c r="L228" s="666">
        <v>0</v>
      </c>
      <c r="M228" s="664" t="s">
        <v>495</v>
      </c>
      <c r="N228" s="666">
        <v>8000000</v>
      </c>
      <c r="O228" s="666">
        <v>30000</v>
      </c>
      <c r="P228" s="666">
        <v>8196000</v>
      </c>
      <c r="Q228" s="664">
        <v>1</v>
      </c>
      <c r="R228" s="664" t="s">
        <v>496</v>
      </c>
      <c r="S228" s="664">
        <v>100</v>
      </c>
      <c r="T228" s="666">
        <v>8000000</v>
      </c>
      <c r="U228" s="666">
        <v>30000</v>
      </c>
      <c r="V228" s="664">
        <v>100</v>
      </c>
      <c r="W228" s="666">
        <v>4482077</v>
      </c>
      <c r="X228" s="664">
        <v>2</v>
      </c>
      <c r="Y228" s="664">
        <v>1160902010</v>
      </c>
      <c r="Z228" s="664">
        <v>2023</v>
      </c>
      <c r="AA228" s="664">
        <v>12</v>
      </c>
      <c r="AB228" s="664">
        <v>5026003002</v>
      </c>
      <c r="AC228" s="664">
        <v>1160903005</v>
      </c>
      <c r="AD228" s="664">
        <v>0</v>
      </c>
      <c r="AE228" s="664">
        <v>0</v>
      </c>
      <c r="AF228" s="664">
        <v>0</v>
      </c>
      <c r="AG228" s="664">
        <v>1160605001</v>
      </c>
      <c r="AH228" s="664">
        <v>2049</v>
      </c>
      <c r="AI228" s="664" t="s">
        <v>497</v>
      </c>
      <c r="AJ228" s="667">
        <v>0.01</v>
      </c>
      <c r="AK228" s="668">
        <f t="shared" si="24"/>
        <v>80000</v>
      </c>
      <c r="AL228" s="668">
        <f t="shared" si="25"/>
        <v>80000</v>
      </c>
      <c r="AM228" s="668">
        <f t="shared" si="25"/>
        <v>80000</v>
      </c>
      <c r="AN228" s="668"/>
      <c r="AO228" s="668"/>
      <c r="AP228" s="668">
        <f t="shared" si="26"/>
        <v>150</v>
      </c>
      <c r="AQ228" s="668">
        <f t="shared" si="27"/>
        <v>150</v>
      </c>
      <c r="AR228" s="668">
        <f t="shared" si="27"/>
        <v>150</v>
      </c>
      <c r="AS228" s="668"/>
      <c r="AT228" s="668"/>
      <c r="AV228" s="670">
        <f t="shared" si="28"/>
        <v>7760000</v>
      </c>
      <c r="AW228" s="670">
        <f t="shared" si="29"/>
        <v>29550</v>
      </c>
      <c r="AX228" s="671">
        <f t="shared" si="23"/>
        <v>0</v>
      </c>
    </row>
    <row r="229" spans="1:50">
      <c r="A229" s="664" t="s">
        <v>494</v>
      </c>
      <c r="B229" s="664"/>
      <c r="C229" s="664"/>
      <c r="D229" s="664">
        <v>1160505002</v>
      </c>
      <c r="E229" s="664">
        <v>0</v>
      </c>
      <c r="F229" s="664">
        <v>43295</v>
      </c>
      <c r="G229" s="665">
        <v>43114</v>
      </c>
      <c r="H229" s="665">
        <v>43479</v>
      </c>
      <c r="I229" s="664">
        <v>1788</v>
      </c>
      <c r="J229" s="666">
        <v>4425034</v>
      </c>
      <c r="K229" s="666">
        <v>398256</v>
      </c>
      <c r="L229" s="666">
        <v>0</v>
      </c>
      <c r="M229" s="664" t="s">
        <v>495</v>
      </c>
      <c r="N229" s="666">
        <v>4425034</v>
      </c>
      <c r="O229" s="666">
        <v>398256</v>
      </c>
      <c r="P229" s="666">
        <v>3955980</v>
      </c>
      <c r="Q229" s="664">
        <v>1</v>
      </c>
      <c r="R229" s="664" t="s">
        <v>496</v>
      </c>
      <c r="S229" s="664">
        <v>100</v>
      </c>
      <c r="T229" s="666">
        <v>4425034</v>
      </c>
      <c r="U229" s="666">
        <v>398256</v>
      </c>
      <c r="V229" s="664">
        <v>100</v>
      </c>
      <c r="W229" s="666">
        <v>4482077</v>
      </c>
      <c r="X229" s="664">
        <v>6</v>
      </c>
      <c r="Y229" s="664">
        <v>1160902010</v>
      </c>
      <c r="Z229" s="664">
        <v>2023</v>
      </c>
      <c r="AA229" s="664">
        <v>12</v>
      </c>
      <c r="AB229" s="664">
        <v>5026003002</v>
      </c>
      <c r="AC229" s="664">
        <v>1160903005</v>
      </c>
      <c r="AD229" s="664">
        <v>0</v>
      </c>
      <c r="AE229" s="664">
        <v>0</v>
      </c>
      <c r="AF229" s="664">
        <v>0</v>
      </c>
      <c r="AG229" s="664">
        <v>1160605001</v>
      </c>
      <c r="AH229" s="664">
        <v>2049</v>
      </c>
      <c r="AI229" s="664" t="s">
        <v>497</v>
      </c>
      <c r="AJ229" s="667">
        <v>0.01</v>
      </c>
      <c r="AK229" s="668">
        <f t="shared" si="24"/>
        <v>44250.340000000004</v>
      </c>
      <c r="AL229" s="668">
        <f t="shared" si="25"/>
        <v>44250.340000000004</v>
      </c>
      <c r="AM229" s="668">
        <f t="shared" si="25"/>
        <v>44250.340000000004</v>
      </c>
      <c r="AN229" s="668"/>
      <c r="AO229" s="668"/>
      <c r="AP229" s="668">
        <f t="shared" si="26"/>
        <v>1991.28</v>
      </c>
      <c r="AQ229" s="668">
        <f t="shared" si="27"/>
        <v>1991.28</v>
      </c>
      <c r="AR229" s="668">
        <f t="shared" si="27"/>
        <v>1991.28</v>
      </c>
      <c r="AS229" s="668"/>
      <c r="AT229" s="668"/>
      <c r="AV229" s="670">
        <f t="shared" si="28"/>
        <v>4292282.9800000004</v>
      </c>
      <c r="AW229" s="670">
        <f t="shared" si="29"/>
        <v>392282.15999999992</v>
      </c>
      <c r="AX229" s="671">
        <f t="shared" si="23"/>
        <v>0</v>
      </c>
    </row>
    <row r="230" spans="1:50">
      <c r="A230" s="664" t="s">
        <v>494</v>
      </c>
      <c r="B230" s="664"/>
      <c r="C230" s="664"/>
      <c r="D230" s="664">
        <v>1160505001</v>
      </c>
      <c r="E230" s="664">
        <v>0</v>
      </c>
      <c r="F230" s="664">
        <v>45501</v>
      </c>
      <c r="G230" s="665">
        <v>43440</v>
      </c>
      <c r="H230" s="665">
        <v>43805</v>
      </c>
      <c r="I230" s="664">
        <v>1466</v>
      </c>
      <c r="J230" s="666">
        <v>19242245</v>
      </c>
      <c r="K230" s="666">
        <v>0</v>
      </c>
      <c r="L230" s="666">
        <v>0</v>
      </c>
      <c r="M230" s="664" t="s">
        <v>495</v>
      </c>
      <c r="N230" s="666">
        <v>19242245</v>
      </c>
      <c r="O230" s="666">
        <v>0</v>
      </c>
      <c r="P230" s="666">
        <v>14104566</v>
      </c>
      <c r="Q230" s="664">
        <v>1</v>
      </c>
      <c r="R230" s="664" t="s">
        <v>496</v>
      </c>
      <c r="S230" s="664">
        <v>100</v>
      </c>
      <c r="T230" s="666">
        <v>19242245</v>
      </c>
      <c r="U230" s="666">
        <v>0</v>
      </c>
      <c r="V230" s="664">
        <v>200</v>
      </c>
      <c r="W230" s="666">
        <v>2150058</v>
      </c>
      <c r="X230" s="664">
        <v>2</v>
      </c>
      <c r="Y230" s="664">
        <v>1160902010</v>
      </c>
      <c r="Z230" s="664">
        <v>2023</v>
      </c>
      <c r="AA230" s="664">
        <v>12</v>
      </c>
      <c r="AB230" s="664">
        <v>5026003002</v>
      </c>
      <c r="AC230" s="664">
        <v>1160903005</v>
      </c>
      <c r="AD230" s="664">
        <v>0</v>
      </c>
      <c r="AE230" s="664">
        <v>0</v>
      </c>
      <c r="AF230" s="664">
        <v>0</v>
      </c>
      <c r="AG230" s="664">
        <v>1160605001</v>
      </c>
      <c r="AH230" s="664">
        <v>1466</v>
      </c>
      <c r="AI230" s="664" t="s">
        <v>503</v>
      </c>
      <c r="AJ230" s="667">
        <v>0</v>
      </c>
      <c r="AK230" s="668">
        <f t="shared" si="24"/>
        <v>0</v>
      </c>
      <c r="AL230" s="668">
        <f t="shared" si="25"/>
        <v>0</v>
      </c>
      <c r="AM230" s="668">
        <f t="shared" si="25"/>
        <v>0</v>
      </c>
      <c r="AN230" s="668"/>
      <c r="AO230" s="668"/>
      <c r="AP230" s="668">
        <f t="shared" si="26"/>
        <v>0</v>
      </c>
      <c r="AQ230" s="668">
        <f t="shared" si="27"/>
        <v>0</v>
      </c>
      <c r="AR230" s="668">
        <f t="shared" si="27"/>
        <v>0</v>
      </c>
      <c r="AS230" s="668"/>
      <c r="AT230" s="668"/>
      <c r="AV230" s="670">
        <f t="shared" si="28"/>
        <v>19242245</v>
      </c>
      <c r="AW230" s="670">
        <f t="shared" si="29"/>
        <v>0</v>
      </c>
      <c r="AX230" s="671">
        <f t="shared" si="23"/>
        <v>0</v>
      </c>
    </row>
    <row r="231" spans="1:50">
      <c r="A231" s="664" t="s">
        <v>494</v>
      </c>
      <c r="B231" s="664"/>
      <c r="C231" s="664"/>
      <c r="D231" s="664">
        <v>1160505001</v>
      </c>
      <c r="E231" s="664">
        <v>0</v>
      </c>
      <c r="F231" s="664">
        <v>44429</v>
      </c>
      <c r="G231" s="665">
        <v>43226</v>
      </c>
      <c r="H231" s="665">
        <v>44322</v>
      </c>
      <c r="I231" s="664">
        <v>956</v>
      </c>
      <c r="J231" s="666">
        <v>5000000</v>
      </c>
      <c r="K231" s="666">
        <v>1445000</v>
      </c>
      <c r="L231" s="666">
        <v>0</v>
      </c>
      <c r="M231" s="664" t="s">
        <v>495</v>
      </c>
      <c r="N231" s="666">
        <v>5000000</v>
      </c>
      <c r="O231" s="666">
        <v>1445000</v>
      </c>
      <c r="P231" s="666">
        <v>2390000</v>
      </c>
      <c r="Q231" s="664">
        <v>1</v>
      </c>
      <c r="R231" s="664" t="s">
        <v>496</v>
      </c>
      <c r="S231" s="664">
        <v>100</v>
      </c>
      <c r="T231" s="666">
        <v>5000000</v>
      </c>
      <c r="U231" s="666">
        <v>1445000</v>
      </c>
      <c r="V231" s="664">
        <v>100</v>
      </c>
      <c r="W231" s="666">
        <v>1051583</v>
      </c>
      <c r="X231" s="664">
        <v>2</v>
      </c>
      <c r="Y231" s="664">
        <v>1160902010</v>
      </c>
      <c r="Z231" s="664">
        <v>2023</v>
      </c>
      <c r="AA231" s="664">
        <v>12</v>
      </c>
      <c r="AB231" s="664">
        <v>5026003002</v>
      </c>
      <c r="AC231" s="664">
        <v>1160903005</v>
      </c>
      <c r="AD231" s="664">
        <v>0</v>
      </c>
      <c r="AE231" s="664">
        <v>0</v>
      </c>
      <c r="AF231" s="664">
        <v>0</v>
      </c>
      <c r="AG231" s="664">
        <v>1160605001</v>
      </c>
      <c r="AH231" s="664">
        <v>956</v>
      </c>
      <c r="AI231" s="664" t="s">
        <v>499</v>
      </c>
      <c r="AJ231" s="667">
        <v>0.05</v>
      </c>
      <c r="AK231" s="668">
        <f t="shared" si="24"/>
        <v>250000</v>
      </c>
      <c r="AL231" s="668">
        <f t="shared" si="25"/>
        <v>250000</v>
      </c>
      <c r="AM231" s="668">
        <f t="shared" si="25"/>
        <v>250000</v>
      </c>
      <c r="AN231" s="668"/>
      <c r="AO231" s="668"/>
      <c r="AP231" s="668">
        <f t="shared" si="26"/>
        <v>36125</v>
      </c>
      <c r="AQ231" s="668">
        <f t="shared" si="27"/>
        <v>36125</v>
      </c>
      <c r="AR231" s="668">
        <f t="shared" si="27"/>
        <v>36125</v>
      </c>
      <c r="AS231" s="668"/>
      <c r="AT231" s="668"/>
      <c r="AV231" s="670">
        <f t="shared" si="28"/>
        <v>4250000</v>
      </c>
      <c r="AW231" s="670">
        <f t="shared" si="29"/>
        <v>1336625</v>
      </c>
      <c r="AX231" s="671">
        <f t="shared" si="23"/>
        <v>0</v>
      </c>
    </row>
    <row r="232" spans="1:50">
      <c r="A232" s="664" t="s">
        <v>494</v>
      </c>
      <c r="B232" s="664"/>
      <c r="C232" s="664"/>
      <c r="D232" s="664">
        <v>1160505001</v>
      </c>
      <c r="E232" s="664">
        <v>0</v>
      </c>
      <c r="F232" s="664">
        <v>46018</v>
      </c>
      <c r="G232" s="665">
        <v>43506</v>
      </c>
      <c r="H232" s="665">
        <v>43871</v>
      </c>
      <c r="I232" s="664">
        <v>1402</v>
      </c>
      <c r="J232" s="666">
        <v>2000000</v>
      </c>
      <c r="K232" s="666">
        <v>240000</v>
      </c>
      <c r="L232" s="666">
        <v>0</v>
      </c>
      <c r="M232" s="664" t="s">
        <v>495</v>
      </c>
      <c r="N232" s="666">
        <v>2000000</v>
      </c>
      <c r="O232" s="666">
        <v>240000</v>
      </c>
      <c r="P232" s="666">
        <v>1402000</v>
      </c>
      <c r="Q232" s="664">
        <v>1</v>
      </c>
      <c r="R232" s="664" t="s">
        <v>496</v>
      </c>
      <c r="S232" s="664">
        <v>100</v>
      </c>
      <c r="T232" s="666">
        <v>2000000</v>
      </c>
      <c r="U232" s="666">
        <v>240000</v>
      </c>
      <c r="V232" s="664">
        <v>100</v>
      </c>
      <c r="W232" s="666">
        <v>5735126</v>
      </c>
      <c r="X232" s="664">
        <v>2</v>
      </c>
      <c r="Y232" s="664">
        <v>1160902010</v>
      </c>
      <c r="Z232" s="664">
        <v>2023</v>
      </c>
      <c r="AA232" s="664">
        <v>12</v>
      </c>
      <c r="AB232" s="664">
        <v>5026003002</v>
      </c>
      <c r="AC232" s="664">
        <v>1160903005</v>
      </c>
      <c r="AD232" s="664">
        <v>0</v>
      </c>
      <c r="AE232" s="664">
        <v>0</v>
      </c>
      <c r="AF232" s="664">
        <v>0</v>
      </c>
      <c r="AG232" s="664">
        <v>1160605001</v>
      </c>
      <c r="AH232" s="664">
        <v>1402</v>
      </c>
      <c r="AI232" s="664" t="s">
        <v>497</v>
      </c>
      <c r="AJ232" s="667">
        <v>0.01</v>
      </c>
      <c r="AK232" s="668">
        <f t="shared" si="24"/>
        <v>20000</v>
      </c>
      <c r="AL232" s="668">
        <f t="shared" si="25"/>
        <v>20000</v>
      </c>
      <c r="AM232" s="668">
        <f t="shared" si="25"/>
        <v>20000</v>
      </c>
      <c r="AN232" s="668"/>
      <c r="AO232" s="668"/>
      <c r="AP232" s="668">
        <f t="shared" si="26"/>
        <v>1200</v>
      </c>
      <c r="AQ232" s="668">
        <f t="shared" si="27"/>
        <v>1200</v>
      </c>
      <c r="AR232" s="668">
        <f t="shared" si="27"/>
        <v>1200</v>
      </c>
      <c r="AS232" s="668"/>
      <c r="AT232" s="668"/>
      <c r="AV232" s="670">
        <f t="shared" si="28"/>
        <v>1940000</v>
      </c>
      <c r="AW232" s="670">
        <f t="shared" si="29"/>
        <v>236400</v>
      </c>
      <c r="AX232" s="671">
        <f t="shared" si="23"/>
        <v>0</v>
      </c>
    </row>
    <row r="233" spans="1:50">
      <c r="A233" s="664" t="s">
        <v>494</v>
      </c>
      <c r="B233" s="664"/>
      <c r="C233" s="664"/>
      <c r="D233" s="664">
        <v>1160505001</v>
      </c>
      <c r="E233" s="664">
        <v>0</v>
      </c>
      <c r="F233" s="664">
        <v>45565</v>
      </c>
      <c r="G233" s="665">
        <v>43451</v>
      </c>
      <c r="H233" s="665">
        <v>43816</v>
      </c>
      <c r="I233" s="664">
        <v>1455</v>
      </c>
      <c r="J233" s="666">
        <v>5891592</v>
      </c>
      <c r="K233" s="666">
        <v>0</v>
      </c>
      <c r="L233" s="666">
        <v>0</v>
      </c>
      <c r="M233" s="664" t="s">
        <v>495</v>
      </c>
      <c r="N233" s="666">
        <v>5891592</v>
      </c>
      <c r="O233" s="666">
        <v>0</v>
      </c>
      <c r="P233" s="666">
        <v>4286133</v>
      </c>
      <c r="Q233" s="664">
        <v>1</v>
      </c>
      <c r="R233" s="664" t="s">
        <v>496</v>
      </c>
      <c r="S233" s="664">
        <v>100</v>
      </c>
      <c r="T233" s="666">
        <v>5891592</v>
      </c>
      <c r="U233" s="666">
        <v>0</v>
      </c>
      <c r="V233" s="664">
        <v>100</v>
      </c>
      <c r="W233" s="666">
        <v>2790776</v>
      </c>
      <c r="X233" s="664">
        <v>2</v>
      </c>
      <c r="Y233" s="664">
        <v>1160902010</v>
      </c>
      <c r="Z233" s="664">
        <v>2023</v>
      </c>
      <c r="AA233" s="664">
        <v>12</v>
      </c>
      <c r="AB233" s="664">
        <v>5026003002</v>
      </c>
      <c r="AC233" s="664">
        <v>1160903005</v>
      </c>
      <c r="AD233" s="664">
        <v>0</v>
      </c>
      <c r="AE233" s="664">
        <v>0</v>
      </c>
      <c r="AF233" s="664">
        <v>0</v>
      </c>
      <c r="AG233" s="664">
        <v>1160605001</v>
      </c>
      <c r="AH233" s="664">
        <v>1455</v>
      </c>
      <c r="AI233" s="664" t="s">
        <v>497</v>
      </c>
      <c r="AJ233" s="667">
        <v>0.01</v>
      </c>
      <c r="AK233" s="668">
        <f t="shared" si="24"/>
        <v>58915.92</v>
      </c>
      <c r="AL233" s="668">
        <f t="shared" si="25"/>
        <v>58915.92</v>
      </c>
      <c r="AM233" s="668">
        <f t="shared" si="25"/>
        <v>58915.92</v>
      </c>
      <c r="AN233" s="668"/>
      <c r="AO233" s="668"/>
      <c r="AP233" s="668">
        <f t="shared" si="26"/>
        <v>0</v>
      </c>
      <c r="AQ233" s="668">
        <f t="shared" si="27"/>
        <v>0</v>
      </c>
      <c r="AR233" s="668">
        <f t="shared" si="27"/>
        <v>0</v>
      </c>
      <c r="AS233" s="668"/>
      <c r="AT233" s="668"/>
      <c r="AV233" s="670">
        <f t="shared" si="28"/>
        <v>5714844.2400000002</v>
      </c>
      <c r="AW233" s="670">
        <f t="shared" si="29"/>
        <v>0</v>
      </c>
      <c r="AX233" s="671">
        <f t="shared" si="23"/>
        <v>0</v>
      </c>
    </row>
    <row r="234" spans="1:50">
      <c r="A234" s="664" t="s">
        <v>494</v>
      </c>
      <c r="B234" s="664"/>
      <c r="C234" s="664"/>
      <c r="D234" s="664">
        <v>1160505001</v>
      </c>
      <c r="E234" s="664">
        <v>0</v>
      </c>
      <c r="F234" s="664">
        <v>44287</v>
      </c>
      <c r="G234" s="665">
        <v>43206</v>
      </c>
      <c r="H234" s="665">
        <v>44302</v>
      </c>
      <c r="I234" s="664">
        <v>976</v>
      </c>
      <c r="J234" s="666">
        <v>6000000</v>
      </c>
      <c r="K234" s="666">
        <v>1620000</v>
      </c>
      <c r="L234" s="666">
        <v>0</v>
      </c>
      <c r="M234" s="664" t="s">
        <v>495</v>
      </c>
      <c r="N234" s="666">
        <v>6000000</v>
      </c>
      <c r="O234" s="666">
        <v>1620000</v>
      </c>
      <c r="P234" s="666">
        <v>2928000</v>
      </c>
      <c r="Q234" s="664">
        <v>1</v>
      </c>
      <c r="R234" s="664" t="s">
        <v>496</v>
      </c>
      <c r="S234" s="664">
        <v>100</v>
      </c>
      <c r="T234" s="666">
        <v>6000000</v>
      </c>
      <c r="U234" s="666">
        <v>1620000</v>
      </c>
      <c r="V234" s="664">
        <v>100</v>
      </c>
      <c r="W234" s="666">
        <v>1608656</v>
      </c>
      <c r="X234" s="664">
        <v>14</v>
      </c>
      <c r="Y234" s="664">
        <v>1160902010</v>
      </c>
      <c r="Z234" s="664">
        <v>2023</v>
      </c>
      <c r="AA234" s="664">
        <v>12</v>
      </c>
      <c r="AB234" s="664">
        <v>5026003002</v>
      </c>
      <c r="AC234" s="664">
        <v>1160903005</v>
      </c>
      <c r="AD234" s="664">
        <v>0</v>
      </c>
      <c r="AE234" s="664">
        <v>0</v>
      </c>
      <c r="AF234" s="664">
        <v>0</v>
      </c>
      <c r="AG234" s="664">
        <v>1160605001</v>
      </c>
      <c r="AH234" s="664">
        <v>976</v>
      </c>
      <c r="AI234" s="664" t="s">
        <v>499</v>
      </c>
      <c r="AJ234" s="667">
        <v>0.05</v>
      </c>
      <c r="AK234" s="668">
        <f t="shared" si="24"/>
        <v>300000</v>
      </c>
      <c r="AL234" s="668">
        <f t="shared" si="25"/>
        <v>300000</v>
      </c>
      <c r="AM234" s="668">
        <f t="shared" si="25"/>
        <v>300000</v>
      </c>
      <c r="AN234" s="668"/>
      <c r="AO234" s="668"/>
      <c r="AP234" s="668">
        <f t="shared" si="26"/>
        <v>40500</v>
      </c>
      <c r="AQ234" s="668">
        <f t="shared" si="27"/>
        <v>40500</v>
      </c>
      <c r="AR234" s="668">
        <f t="shared" si="27"/>
        <v>40500</v>
      </c>
      <c r="AS234" s="668"/>
      <c r="AT234" s="668"/>
      <c r="AV234" s="670">
        <f t="shared" si="28"/>
        <v>5100000</v>
      </c>
      <c r="AW234" s="670">
        <f t="shared" si="29"/>
        <v>1498500</v>
      </c>
      <c r="AX234" s="671">
        <f t="shared" si="23"/>
        <v>0</v>
      </c>
    </row>
    <row r="235" spans="1:50">
      <c r="A235" s="664" t="s">
        <v>494</v>
      </c>
      <c r="B235" s="664"/>
      <c r="C235" s="664"/>
      <c r="D235" s="664">
        <v>1160505002</v>
      </c>
      <c r="E235" s="664">
        <v>0</v>
      </c>
      <c r="F235" s="664">
        <v>46642</v>
      </c>
      <c r="G235" s="665">
        <v>43583</v>
      </c>
      <c r="H235" s="665">
        <v>43949</v>
      </c>
      <c r="I235" s="664">
        <v>1324</v>
      </c>
      <c r="J235" s="666">
        <v>4038100</v>
      </c>
      <c r="K235" s="666">
        <v>726863</v>
      </c>
      <c r="L235" s="666">
        <v>0</v>
      </c>
      <c r="M235" s="664" t="s">
        <v>495</v>
      </c>
      <c r="N235" s="666">
        <v>4038100</v>
      </c>
      <c r="O235" s="666">
        <v>726863</v>
      </c>
      <c r="P235" s="666">
        <v>2673222</v>
      </c>
      <c r="Q235" s="664">
        <v>1</v>
      </c>
      <c r="R235" s="664" t="s">
        <v>496</v>
      </c>
      <c r="S235" s="664">
        <v>100</v>
      </c>
      <c r="T235" s="666">
        <v>4038100</v>
      </c>
      <c r="U235" s="666">
        <v>726863</v>
      </c>
      <c r="V235" s="664">
        <v>200</v>
      </c>
      <c r="W235" s="666">
        <v>4515144</v>
      </c>
      <c r="X235" s="664">
        <v>6</v>
      </c>
      <c r="Y235" s="664">
        <v>1160902010</v>
      </c>
      <c r="Z235" s="664">
        <v>2023</v>
      </c>
      <c r="AA235" s="664">
        <v>12</v>
      </c>
      <c r="AB235" s="664">
        <v>5026003002</v>
      </c>
      <c r="AC235" s="664">
        <v>1160903005</v>
      </c>
      <c r="AD235" s="664">
        <v>0</v>
      </c>
      <c r="AE235" s="664">
        <v>0</v>
      </c>
      <c r="AF235" s="664">
        <v>0</v>
      </c>
      <c r="AG235" s="664">
        <v>1160605001</v>
      </c>
      <c r="AH235" s="664">
        <v>1324</v>
      </c>
      <c r="AI235" s="664" t="s">
        <v>497</v>
      </c>
      <c r="AJ235" s="667">
        <v>0.01</v>
      </c>
      <c r="AK235" s="668">
        <f t="shared" si="24"/>
        <v>40381</v>
      </c>
      <c r="AL235" s="668">
        <f t="shared" si="25"/>
        <v>40381</v>
      </c>
      <c r="AM235" s="668">
        <f t="shared" si="25"/>
        <v>40381</v>
      </c>
      <c r="AN235" s="668"/>
      <c r="AO235" s="668"/>
      <c r="AP235" s="668">
        <f t="shared" si="26"/>
        <v>3634.3150000000001</v>
      </c>
      <c r="AQ235" s="668">
        <f t="shared" si="27"/>
        <v>3634.3150000000001</v>
      </c>
      <c r="AR235" s="668">
        <f t="shared" si="27"/>
        <v>3634.3150000000001</v>
      </c>
      <c r="AS235" s="668"/>
      <c r="AT235" s="668"/>
      <c r="AV235" s="670">
        <f t="shared" si="28"/>
        <v>3916957</v>
      </c>
      <c r="AW235" s="670">
        <f t="shared" si="29"/>
        <v>715960.05500000017</v>
      </c>
      <c r="AX235" s="671">
        <f t="shared" si="23"/>
        <v>0</v>
      </c>
    </row>
    <row r="236" spans="1:50">
      <c r="A236" s="664" t="s">
        <v>494</v>
      </c>
      <c r="B236" s="664"/>
      <c r="C236" s="664"/>
      <c r="D236" s="664">
        <v>1160505001</v>
      </c>
      <c r="E236" s="664">
        <v>0</v>
      </c>
      <c r="F236" s="664">
        <v>46603</v>
      </c>
      <c r="G236" s="665">
        <v>43575</v>
      </c>
      <c r="H236" s="665">
        <v>44671</v>
      </c>
      <c r="I236" s="664">
        <v>612</v>
      </c>
      <c r="J236" s="666">
        <v>8000000</v>
      </c>
      <c r="K236" s="666">
        <v>4320000</v>
      </c>
      <c r="L236" s="666">
        <v>0</v>
      </c>
      <c r="M236" s="664" t="s">
        <v>495</v>
      </c>
      <c r="N236" s="666">
        <v>8000000</v>
      </c>
      <c r="O236" s="666">
        <v>4320000</v>
      </c>
      <c r="P236" s="666">
        <v>2448000</v>
      </c>
      <c r="Q236" s="664">
        <v>1</v>
      </c>
      <c r="R236" s="664" t="s">
        <v>496</v>
      </c>
      <c r="S236" s="664">
        <v>100</v>
      </c>
      <c r="T236" s="666">
        <v>8000000</v>
      </c>
      <c r="U236" s="666">
        <v>4320000</v>
      </c>
      <c r="V236" s="664">
        <v>100</v>
      </c>
      <c r="W236" s="666">
        <v>4515144</v>
      </c>
      <c r="X236" s="664">
        <v>14</v>
      </c>
      <c r="Y236" s="664">
        <v>1160902010</v>
      </c>
      <c r="Z236" s="664">
        <v>2023</v>
      </c>
      <c r="AA236" s="664">
        <v>12</v>
      </c>
      <c r="AB236" s="664">
        <v>5026003002</v>
      </c>
      <c r="AC236" s="664">
        <v>1160903005</v>
      </c>
      <c r="AD236" s="664">
        <v>0</v>
      </c>
      <c r="AE236" s="664">
        <v>0</v>
      </c>
      <c r="AF236" s="664">
        <v>0</v>
      </c>
      <c r="AG236" s="664">
        <v>1160605001</v>
      </c>
      <c r="AH236" s="664">
        <v>1324</v>
      </c>
      <c r="AI236" s="664" t="s">
        <v>497</v>
      </c>
      <c r="AJ236" s="667">
        <v>0.01</v>
      </c>
      <c r="AK236" s="668">
        <f t="shared" si="24"/>
        <v>80000</v>
      </c>
      <c r="AL236" s="668">
        <f t="shared" si="25"/>
        <v>80000</v>
      </c>
      <c r="AM236" s="668">
        <f t="shared" si="25"/>
        <v>80000</v>
      </c>
      <c r="AN236" s="668"/>
      <c r="AO236" s="668"/>
      <c r="AP236" s="668">
        <f t="shared" si="26"/>
        <v>21600</v>
      </c>
      <c r="AQ236" s="668">
        <f t="shared" si="27"/>
        <v>21600</v>
      </c>
      <c r="AR236" s="668">
        <f t="shared" si="27"/>
        <v>21600</v>
      </c>
      <c r="AS236" s="668"/>
      <c r="AT236" s="668"/>
      <c r="AV236" s="670">
        <f t="shared" si="28"/>
        <v>7760000</v>
      </c>
      <c r="AW236" s="670">
        <f t="shared" si="29"/>
        <v>4255200</v>
      </c>
      <c r="AX236" s="671">
        <f t="shared" si="23"/>
        <v>0</v>
      </c>
    </row>
    <row r="237" spans="1:50">
      <c r="A237" s="664" t="s">
        <v>494</v>
      </c>
      <c r="B237" s="664"/>
      <c r="C237" s="664"/>
      <c r="D237" s="664">
        <v>1160505001</v>
      </c>
      <c r="E237" s="664">
        <v>0</v>
      </c>
      <c r="F237" s="664">
        <v>43271</v>
      </c>
      <c r="G237" s="665">
        <v>43114</v>
      </c>
      <c r="H237" s="665">
        <v>43479</v>
      </c>
      <c r="I237" s="664">
        <v>1788</v>
      </c>
      <c r="J237" s="666">
        <v>4000000</v>
      </c>
      <c r="K237" s="666">
        <v>0</v>
      </c>
      <c r="L237" s="666">
        <v>0</v>
      </c>
      <c r="M237" s="664" t="s">
        <v>495</v>
      </c>
      <c r="N237" s="666">
        <v>4000000</v>
      </c>
      <c r="O237" s="666">
        <v>0</v>
      </c>
      <c r="P237" s="666">
        <v>3576000</v>
      </c>
      <c r="Q237" s="664">
        <v>1</v>
      </c>
      <c r="R237" s="664" t="s">
        <v>496</v>
      </c>
      <c r="S237" s="664">
        <v>100</v>
      </c>
      <c r="T237" s="666">
        <v>4000000</v>
      </c>
      <c r="U237" s="666">
        <v>0</v>
      </c>
      <c r="V237" s="664">
        <v>100</v>
      </c>
      <c r="W237" s="666">
        <v>3371962</v>
      </c>
      <c r="X237" s="664">
        <v>15</v>
      </c>
      <c r="Y237" s="664">
        <v>1160902010</v>
      </c>
      <c r="Z237" s="664">
        <v>2023</v>
      </c>
      <c r="AA237" s="664">
        <v>12</v>
      </c>
      <c r="AB237" s="664">
        <v>5026003002</v>
      </c>
      <c r="AC237" s="664">
        <v>1160903005</v>
      </c>
      <c r="AD237" s="664">
        <v>0</v>
      </c>
      <c r="AE237" s="664">
        <v>0</v>
      </c>
      <c r="AF237" s="664">
        <v>0</v>
      </c>
      <c r="AG237" s="664">
        <v>1160605001</v>
      </c>
      <c r="AH237" s="664">
        <v>1788</v>
      </c>
      <c r="AI237" s="664" t="s">
        <v>497</v>
      </c>
      <c r="AJ237" s="667">
        <v>0.01</v>
      </c>
      <c r="AK237" s="668">
        <f t="shared" si="24"/>
        <v>40000</v>
      </c>
      <c r="AL237" s="668">
        <f t="shared" si="25"/>
        <v>40000</v>
      </c>
      <c r="AM237" s="668">
        <f t="shared" si="25"/>
        <v>40000</v>
      </c>
      <c r="AN237" s="668"/>
      <c r="AO237" s="668"/>
      <c r="AP237" s="668">
        <f t="shared" si="26"/>
        <v>0</v>
      </c>
      <c r="AQ237" s="668">
        <f t="shared" si="27"/>
        <v>0</v>
      </c>
      <c r="AR237" s="668">
        <f t="shared" si="27"/>
        <v>0</v>
      </c>
      <c r="AS237" s="668"/>
      <c r="AT237" s="668"/>
      <c r="AV237" s="670">
        <f t="shared" si="28"/>
        <v>3880000</v>
      </c>
      <c r="AW237" s="670">
        <f t="shared" si="29"/>
        <v>0</v>
      </c>
      <c r="AX237" s="671">
        <f t="shared" si="23"/>
        <v>0</v>
      </c>
    </row>
    <row r="238" spans="1:50">
      <c r="A238" s="664" t="s">
        <v>494</v>
      </c>
      <c r="B238" s="664"/>
      <c r="C238" s="664"/>
      <c r="D238" s="664">
        <v>1160505002</v>
      </c>
      <c r="E238" s="664">
        <v>0</v>
      </c>
      <c r="F238" s="664">
        <v>44139</v>
      </c>
      <c r="G238" s="665">
        <v>43185</v>
      </c>
      <c r="H238" s="665">
        <v>43550</v>
      </c>
      <c r="I238" s="664">
        <v>1716</v>
      </c>
      <c r="J238" s="666">
        <v>3987600</v>
      </c>
      <c r="K238" s="666">
        <v>358884</v>
      </c>
      <c r="L238" s="666">
        <v>0</v>
      </c>
      <c r="M238" s="664" t="s">
        <v>495</v>
      </c>
      <c r="N238" s="666">
        <v>3987600</v>
      </c>
      <c r="O238" s="666">
        <v>358884</v>
      </c>
      <c r="P238" s="666">
        <v>3421361</v>
      </c>
      <c r="Q238" s="664">
        <v>1</v>
      </c>
      <c r="R238" s="664" t="s">
        <v>496</v>
      </c>
      <c r="S238" s="664">
        <v>100</v>
      </c>
      <c r="T238" s="666">
        <v>3987600</v>
      </c>
      <c r="U238" s="666">
        <v>358884</v>
      </c>
      <c r="V238" s="664">
        <v>100</v>
      </c>
      <c r="W238" s="666">
        <v>3371962</v>
      </c>
      <c r="X238" s="664">
        <v>17</v>
      </c>
      <c r="Y238" s="664">
        <v>1160902010</v>
      </c>
      <c r="Z238" s="664">
        <v>2023</v>
      </c>
      <c r="AA238" s="664">
        <v>12</v>
      </c>
      <c r="AB238" s="664">
        <v>5026003002</v>
      </c>
      <c r="AC238" s="664">
        <v>1160903005</v>
      </c>
      <c r="AD238" s="664">
        <v>0</v>
      </c>
      <c r="AE238" s="664">
        <v>0</v>
      </c>
      <c r="AF238" s="664">
        <v>0</v>
      </c>
      <c r="AG238" s="664">
        <v>1160605001</v>
      </c>
      <c r="AH238" s="664">
        <v>1788</v>
      </c>
      <c r="AI238" s="664" t="s">
        <v>497</v>
      </c>
      <c r="AJ238" s="667">
        <v>0.01</v>
      </c>
      <c r="AK238" s="668">
        <f t="shared" si="24"/>
        <v>39876</v>
      </c>
      <c r="AL238" s="668">
        <f t="shared" si="25"/>
        <v>39876</v>
      </c>
      <c r="AM238" s="668">
        <f t="shared" si="25"/>
        <v>39876</v>
      </c>
      <c r="AN238" s="668"/>
      <c r="AO238" s="668"/>
      <c r="AP238" s="668">
        <f t="shared" si="26"/>
        <v>1794.42</v>
      </c>
      <c r="AQ238" s="668">
        <f t="shared" si="27"/>
        <v>1794.42</v>
      </c>
      <c r="AR238" s="668">
        <f t="shared" si="27"/>
        <v>1794.42</v>
      </c>
      <c r="AS238" s="668"/>
      <c r="AT238" s="668"/>
      <c r="AV238" s="670">
        <f t="shared" si="28"/>
        <v>3867972</v>
      </c>
      <c r="AW238" s="670">
        <f t="shared" si="29"/>
        <v>353500.74000000005</v>
      </c>
      <c r="AX238" s="671">
        <f t="shared" si="23"/>
        <v>0</v>
      </c>
    </row>
    <row r="239" spans="1:50">
      <c r="A239" s="664" t="s">
        <v>494</v>
      </c>
      <c r="B239" s="664"/>
      <c r="C239" s="664"/>
      <c r="D239" s="664">
        <v>1160505001</v>
      </c>
      <c r="E239" s="664">
        <v>0</v>
      </c>
      <c r="F239" s="664">
        <v>40860</v>
      </c>
      <c r="G239" s="665">
        <v>42694</v>
      </c>
      <c r="H239" s="665">
        <v>44520</v>
      </c>
      <c r="I239" s="664">
        <v>762</v>
      </c>
      <c r="J239" s="666">
        <v>6000000</v>
      </c>
      <c r="K239" s="666">
        <v>3900000</v>
      </c>
      <c r="L239" s="666">
        <v>0</v>
      </c>
      <c r="M239" s="664" t="s">
        <v>495</v>
      </c>
      <c r="N239" s="666">
        <v>6000000</v>
      </c>
      <c r="O239" s="666">
        <v>3900000</v>
      </c>
      <c r="P239" s="666">
        <v>2286000</v>
      </c>
      <c r="Q239" s="664">
        <v>1</v>
      </c>
      <c r="R239" s="664" t="s">
        <v>496</v>
      </c>
      <c r="S239" s="664">
        <v>100</v>
      </c>
      <c r="T239" s="666">
        <v>6000000</v>
      </c>
      <c r="U239" s="666">
        <v>3900000</v>
      </c>
      <c r="V239" s="664">
        <v>100</v>
      </c>
      <c r="W239" s="666">
        <v>850128</v>
      </c>
      <c r="X239" s="664">
        <v>14</v>
      </c>
      <c r="Y239" s="664">
        <v>1160902010</v>
      </c>
      <c r="Z239" s="664">
        <v>2023</v>
      </c>
      <c r="AA239" s="664">
        <v>12</v>
      </c>
      <c r="AB239" s="664">
        <v>5026003002</v>
      </c>
      <c r="AC239" s="664">
        <v>1160903005</v>
      </c>
      <c r="AD239" s="664">
        <v>0</v>
      </c>
      <c r="AE239" s="664">
        <v>0</v>
      </c>
      <c r="AF239" s="664">
        <v>0</v>
      </c>
      <c r="AG239" s="664">
        <v>1160605001</v>
      </c>
      <c r="AH239" s="664">
        <v>762</v>
      </c>
      <c r="AI239" s="664" t="s">
        <v>499</v>
      </c>
      <c r="AJ239" s="667">
        <v>0.05</v>
      </c>
      <c r="AK239" s="668">
        <f t="shared" si="24"/>
        <v>300000</v>
      </c>
      <c r="AL239" s="668">
        <f t="shared" si="25"/>
        <v>300000</v>
      </c>
      <c r="AM239" s="668">
        <f t="shared" si="25"/>
        <v>300000</v>
      </c>
      <c r="AN239" s="668"/>
      <c r="AO239" s="668"/>
      <c r="AP239" s="668">
        <f t="shared" si="26"/>
        <v>97500</v>
      </c>
      <c r="AQ239" s="668">
        <f t="shared" si="27"/>
        <v>97500</v>
      </c>
      <c r="AR239" s="668">
        <f t="shared" si="27"/>
        <v>97500</v>
      </c>
      <c r="AS239" s="668"/>
      <c r="AT239" s="668"/>
      <c r="AV239" s="670">
        <f t="shared" si="28"/>
        <v>5100000</v>
      </c>
      <c r="AW239" s="670">
        <f t="shared" si="29"/>
        <v>3607500</v>
      </c>
      <c r="AX239" s="671">
        <f t="shared" si="23"/>
        <v>0</v>
      </c>
    </row>
    <row r="240" spans="1:50">
      <c r="A240" s="664" t="s">
        <v>494</v>
      </c>
      <c r="B240" s="664"/>
      <c r="C240" s="664"/>
      <c r="D240" s="664">
        <v>1160505001</v>
      </c>
      <c r="E240" s="664">
        <v>0</v>
      </c>
      <c r="F240" s="664">
        <v>45558</v>
      </c>
      <c r="G240" s="665">
        <v>43450</v>
      </c>
      <c r="H240" s="665">
        <v>44181</v>
      </c>
      <c r="I240" s="664">
        <v>1096</v>
      </c>
      <c r="J240" s="666">
        <v>3072767</v>
      </c>
      <c r="K240" s="666">
        <v>0</v>
      </c>
      <c r="L240" s="666">
        <v>0</v>
      </c>
      <c r="M240" s="664" t="s">
        <v>495</v>
      </c>
      <c r="N240" s="666">
        <v>3072767</v>
      </c>
      <c r="O240" s="666">
        <v>0</v>
      </c>
      <c r="P240" s="666">
        <v>1683876</v>
      </c>
      <c r="Q240" s="664">
        <v>1</v>
      </c>
      <c r="R240" s="664" t="s">
        <v>496</v>
      </c>
      <c r="S240" s="664">
        <v>100</v>
      </c>
      <c r="T240" s="666">
        <v>3072767</v>
      </c>
      <c r="U240" s="666">
        <v>0</v>
      </c>
      <c r="V240" s="664">
        <v>100</v>
      </c>
      <c r="W240" s="666">
        <v>1089081</v>
      </c>
      <c r="X240" s="664">
        <v>2</v>
      </c>
      <c r="Y240" s="664">
        <v>1160902010</v>
      </c>
      <c r="Z240" s="664">
        <v>2023</v>
      </c>
      <c r="AA240" s="664">
        <v>12</v>
      </c>
      <c r="AB240" s="664">
        <v>5026003002</v>
      </c>
      <c r="AC240" s="664">
        <v>1160903005</v>
      </c>
      <c r="AD240" s="664">
        <v>0</v>
      </c>
      <c r="AE240" s="664">
        <v>0</v>
      </c>
      <c r="AF240" s="664">
        <v>0</v>
      </c>
      <c r="AG240" s="664">
        <v>1160605001</v>
      </c>
      <c r="AH240" s="664">
        <v>1096</v>
      </c>
      <c r="AI240" s="664" t="s">
        <v>497</v>
      </c>
      <c r="AJ240" s="667">
        <v>0.01</v>
      </c>
      <c r="AK240" s="668">
        <f t="shared" si="24"/>
        <v>30727.670000000002</v>
      </c>
      <c r="AL240" s="668">
        <f t="shared" si="25"/>
        <v>30727.670000000002</v>
      </c>
      <c r="AM240" s="668">
        <f t="shared" si="25"/>
        <v>30727.670000000002</v>
      </c>
      <c r="AN240" s="668"/>
      <c r="AO240" s="668"/>
      <c r="AP240" s="668">
        <f t="shared" si="26"/>
        <v>0</v>
      </c>
      <c r="AQ240" s="668">
        <f t="shared" si="27"/>
        <v>0</v>
      </c>
      <c r="AR240" s="668">
        <f t="shared" si="27"/>
        <v>0</v>
      </c>
      <c r="AS240" s="668"/>
      <c r="AT240" s="668"/>
      <c r="AV240" s="670">
        <f t="shared" si="28"/>
        <v>2980583.99</v>
      </c>
      <c r="AW240" s="670">
        <f t="shared" si="29"/>
        <v>0</v>
      </c>
      <c r="AX240" s="671">
        <f t="shared" si="23"/>
        <v>0</v>
      </c>
    </row>
    <row r="241" spans="1:51">
      <c r="A241" s="664" t="s">
        <v>494</v>
      </c>
      <c r="B241" s="664"/>
      <c r="C241" s="664"/>
      <c r="D241" s="664">
        <v>1160505001</v>
      </c>
      <c r="E241" s="664">
        <v>0</v>
      </c>
      <c r="F241" s="664">
        <v>41260</v>
      </c>
      <c r="G241" s="665">
        <v>42764</v>
      </c>
      <c r="H241" s="665">
        <v>43129</v>
      </c>
      <c r="I241" s="664">
        <v>2133</v>
      </c>
      <c r="J241" s="666">
        <v>3000000</v>
      </c>
      <c r="K241" s="666">
        <v>270000</v>
      </c>
      <c r="L241" s="666">
        <v>0</v>
      </c>
      <c r="M241" s="664" t="s">
        <v>495</v>
      </c>
      <c r="N241" s="666">
        <v>3000000</v>
      </c>
      <c r="O241" s="666">
        <v>270000</v>
      </c>
      <c r="P241" s="666">
        <v>3199500</v>
      </c>
      <c r="Q241" s="664">
        <v>1</v>
      </c>
      <c r="R241" s="664" t="s">
        <v>496</v>
      </c>
      <c r="S241" s="664">
        <v>100</v>
      </c>
      <c r="T241" s="666">
        <v>3000000</v>
      </c>
      <c r="U241" s="666">
        <v>270000</v>
      </c>
      <c r="V241" s="664">
        <v>400</v>
      </c>
      <c r="W241" s="666">
        <v>1286169</v>
      </c>
      <c r="X241" s="664">
        <v>2</v>
      </c>
      <c r="Y241" s="664">
        <v>1160902010</v>
      </c>
      <c r="Z241" s="664">
        <v>2023</v>
      </c>
      <c r="AA241" s="664">
        <v>12</v>
      </c>
      <c r="AB241" s="664">
        <v>5026003002</v>
      </c>
      <c r="AC241" s="664">
        <v>1160903005</v>
      </c>
      <c r="AD241" s="664">
        <v>0</v>
      </c>
      <c r="AE241" s="664">
        <v>0</v>
      </c>
      <c r="AF241" s="664">
        <v>0</v>
      </c>
      <c r="AG241" s="664">
        <v>1160605001</v>
      </c>
      <c r="AH241" s="664">
        <v>2133</v>
      </c>
      <c r="AI241" s="664" t="s">
        <v>497</v>
      </c>
      <c r="AJ241" s="667">
        <v>0.01</v>
      </c>
      <c r="AK241" s="668">
        <f t="shared" si="24"/>
        <v>30000</v>
      </c>
      <c r="AL241" s="668">
        <f t="shared" si="25"/>
        <v>30000</v>
      </c>
      <c r="AM241" s="668">
        <f t="shared" si="25"/>
        <v>30000</v>
      </c>
      <c r="AN241" s="668"/>
      <c r="AO241" s="668"/>
      <c r="AP241" s="668">
        <f t="shared" si="26"/>
        <v>1350</v>
      </c>
      <c r="AQ241" s="668">
        <f t="shared" si="27"/>
        <v>1350</v>
      </c>
      <c r="AR241" s="668">
        <f t="shared" si="27"/>
        <v>1350</v>
      </c>
      <c r="AS241" s="668"/>
      <c r="AT241" s="668"/>
      <c r="AV241" s="670">
        <f t="shared" si="28"/>
        <v>2910000</v>
      </c>
      <c r="AW241" s="670">
        <f t="shared" si="29"/>
        <v>265950</v>
      </c>
      <c r="AX241" s="671">
        <f t="shared" si="23"/>
        <v>0</v>
      </c>
    </row>
    <row r="242" spans="1:51">
      <c r="A242" s="664" t="s">
        <v>494</v>
      </c>
      <c r="B242" s="664"/>
      <c r="C242" s="664"/>
      <c r="D242" s="664">
        <v>1160505002</v>
      </c>
      <c r="E242" s="664">
        <v>0</v>
      </c>
      <c r="F242" s="664">
        <v>41282</v>
      </c>
      <c r="G242" s="665">
        <v>42766</v>
      </c>
      <c r="H242" s="665">
        <v>43131</v>
      </c>
      <c r="I242" s="664">
        <v>2132</v>
      </c>
      <c r="J242" s="666">
        <v>1885000</v>
      </c>
      <c r="K242" s="666">
        <v>169656</v>
      </c>
      <c r="L242" s="666">
        <v>0</v>
      </c>
      <c r="M242" s="664" t="s">
        <v>495</v>
      </c>
      <c r="N242" s="666">
        <v>1885000</v>
      </c>
      <c r="O242" s="666">
        <v>169656</v>
      </c>
      <c r="P242" s="666">
        <v>2009410</v>
      </c>
      <c r="Q242" s="664">
        <v>1</v>
      </c>
      <c r="R242" s="664" t="s">
        <v>496</v>
      </c>
      <c r="S242" s="664">
        <v>100</v>
      </c>
      <c r="T242" s="666">
        <v>1885000</v>
      </c>
      <c r="U242" s="666">
        <v>169656</v>
      </c>
      <c r="V242" s="664">
        <v>400</v>
      </c>
      <c r="W242" s="666">
        <v>1286169</v>
      </c>
      <c r="X242" s="664">
        <v>6</v>
      </c>
      <c r="Y242" s="664">
        <v>1160902010</v>
      </c>
      <c r="Z242" s="664">
        <v>2023</v>
      </c>
      <c r="AA242" s="664">
        <v>12</v>
      </c>
      <c r="AB242" s="664">
        <v>5026003002</v>
      </c>
      <c r="AC242" s="664">
        <v>1160903005</v>
      </c>
      <c r="AD242" s="664">
        <v>0</v>
      </c>
      <c r="AE242" s="664">
        <v>0</v>
      </c>
      <c r="AF242" s="664">
        <v>0</v>
      </c>
      <c r="AG242" s="664">
        <v>1160605001</v>
      </c>
      <c r="AH242" s="664">
        <v>2133</v>
      </c>
      <c r="AI242" s="664" t="s">
        <v>497</v>
      </c>
      <c r="AJ242" s="667">
        <v>0.01</v>
      </c>
      <c r="AK242" s="668">
        <f t="shared" si="24"/>
        <v>18850</v>
      </c>
      <c r="AL242" s="668">
        <f t="shared" si="25"/>
        <v>18850</v>
      </c>
      <c r="AM242" s="668">
        <f t="shared" si="25"/>
        <v>18850</v>
      </c>
      <c r="AN242" s="668"/>
      <c r="AO242" s="668"/>
      <c r="AP242" s="668">
        <f t="shared" si="26"/>
        <v>848.28</v>
      </c>
      <c r="AQ242" s="668">
        <f t="shared" si="27"/>
        <v>848.28</v>
      </c>
      <c r="AR242" s="668">
        <f t="shared" si="27"/>
        <v>848.28</v>
      </c>
      <c r="AS242" s="668"/>
      <c r="AT242" s="668"/>
      <c r="AV242" s="670">
        <f t="shared" si="28"/>
        <v>1828450</v>
      </c>
      <c r="AW242" s="670">
        <f t="shared" si="29"/>
        <v>167111.16</v>
      </c>
      <c r="AX242" s="671">
        <f t="shared" si="23"/>
        <v>0</v>
      </c>
    </row>
    <row r="243" spans="1:51">
      <c r="A243" s="664" t="s">
        <v>494</v>
      </c>
      <c r="B243" s="664"/>
      <c r="C243" s="664"/>
      <c r="D243" s="664">
        <v>1160505001</v>
      </c>
      <c r="E243" s="664">
        <v>0</v>
      </c>
      <c r="F243" s="664">
        <v>45273</v>
      </c>
      <c r="G243" s="665">
        <v>43349</v>
      </c>
      <c r="H243" s="665">
        <v>44445</v>
      </c>
      <c r="I243" s="664">
        <v>836</v>
      </c>
      <c r="J243" s="666">
        <v>2041786</v>
      </c>
      <c r="K243" s="666">
        <v>0</v>
      </c>
      <c r="L243" s="666">
        <v>0</v>
      </c>
      <c r="M243" s="664" t="s">
        <v>495</v>
      </c>
      <c r="N243" s="666">
        <v>2041786</v>
      </c>
      <c r="O243" s="666">
        <v>0</v>
      </c>
      <c r="P243" s="666">
        <v>853467</v>
      </c>
      <c r="Q243" s="664">
        <v>1</v>
      </c>
      <c r="R243" s="664" t="s">
        <v>496</v>
      </c>
      <c r="S243" s="664">
        <v>100</v>
      </c>
      <c r="T243" s="666">
        <v>2041786</v>
      </c>
      <c r="U243" s="666">
        <v>0</v>
      </c>
      <c r="V243" s="664">
        <v>400</v>
      </c>
      <c r="W243" s="666">
        <v>3612215</v>
      </c>
      <c r="X243" s="664">
        <v>2</v>
      </c>
      <c r="Y243" s="664">
        <v>1160902010</v>
      </c>
      <c r="Z243" s="664">
        <v>2023</v>
      </c>
      <c r="AA243" s="664">
        <v>12</v>
      </c>
      <c r="AB243" s="664">
        <v>5026003002</v>
      </c>
      <c r="AC243" s="664">
        <v>1160903005</v>
      </c>
      <c r="AD243" s="664">
        <v>0</v>
      </c>
      <c r="AE243" s="664">
        <v>0</v>
      </c>
      <c r="AF243" s="664">
        <v>0</v>
      </c>
      <c r="AG243" s="664">
        <v>1160605001</v>
      </c>
      <c r="AH243" s="664">
        <v>836</v>
      </c>
      <c r="AI243" s="664" t="s">
        <v>499</v>
      </c>
      <c r="AJ243" s="667">
        <v>0.05</v>
      </c>
      <c r="AK243" s="668">
        <f t="shared" si="24"/>
        <v>102089.3</v>
      </c>
      <c r="AL243" s="668">
        <f t="shared" si="25"/>
        <v>102089.3</v>
      </c>
      <c r="AM243" s="668">
        <f t="shared" si="25"/>
        <v>102089.3</v>
      </c>
      <c r="AN243" s="668"/>
      <c r="AO243" s="668"/>
      <c r="AP243" s="668">
        <f t="shared" si="26"/>
        <v>0</v>
      </c>
      <c r="AQ243" s="668">
        <f t="shared" si="27"/>
        <v>0</v>
      </c>
      <c r="AR243" s="668">
        <f t="shared" si="27"/>
        <v>0</v>
      </c>
      <c r="AS243" s="668"/>
      <c r="AT243" s="668"/>
      <c r="AV243" s="670">
        <f t="shared" si="28"/>
        <v>1735518.0999999999</v>
      </c>
      <c r="AW243" s="670">
        <f t="shared" si="29"/>
        <v>0</v>
      </c>
      <c r="AX243" s="671">
        <f t="shared" si="23"/>
        <v>0</v>
      </c>
    </row>
    <row r="244" spans="1:51">
      <c r="A244" s="664" t="s">
        <v>494</v>
      </c>
      <c r="B244" s="664"/>
      <c r="C244" s="664"/>
      <c r="D244" s="664">
        <v>1160505001</v>
      </c>
      <c r="E244" s="664">
        <v>0</v>
      </c>
      <c r="F244" s="664">
        <v>46841</v>
      </c>
      <c r="G244" s="665">
        <v>43618</v>
      </c>
      <c r="H244" s="665">
        <v>44714</v>
      </c>
      <c r="I244" s="664">
        <v>570</v>
      </c>
      <c r="J244" s="666">
        <v>28000000</v>
      </c>
      <c r="K244" s="666">
        <v>12600000</v>
      </c>
      <c r="L244" s="666">
        <v>0</v>
      </c>
      <c r="M244" s="664" t="s">
        <v>495</v>
      </c>
      <c r="N244" s="666">
        <v>28000000</v>
      </c>
      <c r="O244" s="666">
        <v>12600000</v>
      </c>
      <c r="P244" s="666">
        <v>7980000</v>
      </c>
      <c r="Q244" s="664">
        <v>1</v>
      </c>
      <c r="R244" s="664" t="s">
        <v>496</v>
      </c>
      <c r="S244" s="664">
        <v>100</v>
      </c>
      <c r="T244" s="666">
        <v>28000000</v>
      </c>
      <c r="U244" s="666">
        <v>12600000</v>
      </c>
      <c r="V244" s="664">
        <v>100</v>
      </c>
      <c r="W244" s="666">
        <v>37037778.729999997</v>
      </c>
      <c r="X244" s="664">
        <v>2</v>
      </c>
      <c r="Y244" s="664">
        <v>1160902010</v>
      </c>
      <c r="Z244" s="664">
        <v>2023</v>
      </c>
      <c r="AA244" s="664">
        <v>12</v>
      </c>
      <c r="AB244" s="664">
        <v>5026003002</v>
      </c>
      <c r="AC244" s="664">
        <v>1160903005</v>
      </c>
      <c r="AD244" s="664">
        <v>0</v>
      </c>
      <c r="AE244" s="664">
        <v>0</v>
      </c>
      <c r="AF244" s="664">
        <v>0</v>
      </c>
      <c r="AG244" s="664">
        <v>1160605001</v>
      </c>
      <c r="AH244" s="664">
        <v>570</v>
      </c>
      <c r="AI244" s="664" t="s">
        <v>498</v>
      </c>
      <c r="AJ244" s="667">
        <v>0.1</v>
      </c>
      <c r="AK244" s="668">
        <f t="shared" si="24"/>
        <v>2800000</v>
      </c>
      <c r="AL244" s="668">
        <f t="shared" si="25"/>
        <v>2800000</v>
      </c>
      <c r="AM244" s="668">
        <f t="shared" si="25"/>
        <v>2800000</v>
      </c>
      <c r="AN244" s="668"/>
      <c r="AO244" s="668"/>
      <c r="AP244" s="668">
        <f t="shared" si="26"/>
        <v>630000</v>
      </c>
      <c r="AQ244" s="668">
        <f t="shared" si="27"/>
        <v>630000</v>
      </c>
      <c r="AR244" s="668">
        <f t="shared" si="27"/>
        <v>630000</v>
      </c>
      <c r="AS244" s="668"/>
      <c r="AT244" s="668"/>
      <c r="AV244" s="670">
        <f t="shared" si="28"/>
        <v>19600000</v>
      </c>
      <c r="AW244" s="670">
        <f t="shared" si="29"/>
        <v>10710000</v>
      </c>
      <c r="AX244" s="671">
        <f t="shared" si="23"/>
        <v>0</v>
      </c>
    </row>
    <row r="245" spans="1:51">
      <c r="A245" s="664" t="s">
        <v>494</v>
      </c>
      <c r="B245" s="664"/>
      <c r="C245" s="664"/>
      <c r="D245" s="664">
        <v>1160505001</v>
      </c>
      <c r="E245" s="664">
        <v>0</v>
      </c>
      <c r="F245" s="664">
        <v>43557</v>
      </c>
      <c r="G245" s="665">
        <v>43136</v>
      </c>
      <c r="H245" s="665">
        <v>43866</v>
      </c>
      <c r="I245" s="664">
        <v>1407</v>
      </c>
      <c r="J245" s="666">
        <v>4000000</v>
      </c>
      <c r="K245" s="666">
        <v>526000</v>
      </c>
      <c r="L245" s="666">
        <v>0</v>
      </c>
      <c r="M245" s="664" t="s">
        <v>495</v>
      </c>
      <c r="N245" s="666">
        <v>4000000</v>
      </c>
      <c r="O245" s="666">
        <v>526000</v>
      </c>
      <c r="P245" s="666">
        <v>2814000</v>
      </c>
      <c r="Q245" s="664">
        <v>1</v>
      </c>
      <c r="R245" s="664" t="s">
        <v>496</v>
      </c>
      <c r="S245" s="664">
        <v>100</v>
      </c>
      <c r="T245" s="666">
        <v>4000000</v>
      </c>
      <c r="U245" s="666">
        <v>526000</v>
      </c>
      <c r="V245" s="664">
        <v>100</v>
      </c>
      <c r="W245" s="666">
        <v>2584296</v>
      </c>
      <c r="X245" s="664">
        <v>15</v>
      </c>
      <c r="Y245" s="664">
        <v>1160902010</v>
      </c>
      <c r="Z245" s="664">
        <v>2023</v>
      </c>
      <c r="AA245" s="664">
        <v>12</v>
      </c>
      <c r="AB245" s="664">
        <v>5026003002</v>
      </c>
      <c r="AC245" s="664">
        <v>1160903005</v>
      </c>
      <c r="AD245" s="664">
        <v>0</v>
      </c>
      <c r="AE245" s="664">
        <v>0</v>
      </c>
      <c r="AF245" s="664">
        <v>0</v>
      </c>
      <c r="AG245" s="664">
        <v>1160605001</v>
      </c>
      <c r="AH245" s="664">
        <v>1407</v>
      </c>
      <c r="AI245" s="664" t="s">
        <v>497</v>
      </c>
      <c r="AJ245" s="667">
        <v>0.01</v>
      </c>
      <c r="AK245" s="668">
        <f t="shared" si="24"/>
        <v>40000</v>
      </c>
      <c r="AL245" s="668">
        <f t="shared" si="25"/>
        <v>40000</v>
      </c>
      <c r="AM245" s="668">
        <f t="shared" si="25"/>
        <v>40000</v>
      </c>
      <c r="AN245" s="668"/>
      <c r="AO245" s="668"/>
      <c r="AP245" s="668">
        <f t="shared" si="26"/>
        <v>2630</v>
      </c>
      <c r="AQ245" s="668">
        <f t="shared" si="27"/>
        <v>2630</v>
      </c>
      <c r="AR245" s="668">
        <f t="shared" si="27"/>
        <v>2630</v>
      </c>
      <c r="AS245" s="668"/>
      <c r="AT245" s="668"/>
      <c r="AV245" s="670">
        <f t="shared" si="28"/>
        <v>3880000</v>
      </c>
      <c r="AW245" s="670">
        <f t="shared" si="29"/>
        <v>518110</v>
      </c>
      <c r="AX245" s="671">
        <f t="shared" si="23"/>
        <v>0</v>
      </c>
    </row>
    <row r="246" spans="1:51">
      <c r="A246" s="664" t="s">
        <v>494</v>
      </c>
      <c r="B246" s="664"/>
      <c r="C246" s="664"/>
      <c r="D246" s="664">
        <v>1160505001</v>
      </c>
      <c r="E246" s="664">
        <v>0</v>
      </c>
      <c r="F246" s="664">
        <v>46584</v>
      </c>
      <c r="G246" s="665">
        <v>43569</v>
      </c>
      <c r="H246" s="665">
        <v>44665</v>
      </c>
      <c r="I246" s="664">
        <v>618</v>
      </c>
      <c r="J246" s="666">
        <v>1285622</v>
      </c>
      <c r="K246" s="666">
        <v>278654</v>
      </c>
      <c r="L246" s="666">
        <v>0</v>
      </c>
      <c r="M246" s="664" t="s">
        <v>495</v>
      </c>
      <c r="N246" s="666">
        <v>1285622</v>
      </c>
      <c r="O246" s="666">
        <v>278654</v>
      </c>
      <c r="P246" s="666">
        <v>397257</v>
      </c>
      <c r="Q246" s="664">
        <v>1</v>
      </c>
      <c r="R246" s="664" t="s">
        <v>496</v>
      </c>
      <c r="S246" s="664">
        <v>100</v>
      </c>
      <c r="T246" s="666">
        <v>1285622</v>
      </c>
      <c r="U246" s="666">
        <v>278654</v>
      </c>
      <c r="V246" s="664">
        <v>100</v>
      </c>
      <c r="W246" s="666">
        <v>5902817</v>
      </c>
      <c r="X246" s="664">
        <v>14</v>
      </c>
      <c r="Y246" s="664">
        <v>1160902010</v>
      </c>
      <c r="Z246" s="664">
        <v>2023</v>
      </c>
      <c r="AA246" s="664">
        <v>12</v>
      </c>
      <c r="AB246" s="664">
        <v>5026003002</v>
      </c>
      <c r="AC246" s="664">
        <v>1160903005</v>
      </c>
      <c r="AD246" s="664">
        <v>0</v>
      </c>
      <c r="AE246" s="664">
        <v>0</v>
      </c>
      <c r="AF246" s="664">
        <v>0</v>
      </c>
      <c r="AG246" s="664">
        <v>1160605001</v>
      </c>
      <c r="AH246" s="664">
        <v>618</v>
      </c>
      <c r="AI246" s="664" t="s">
        <v>498</v>
      </c>
      <c r="AJ246" s="667">
        <v>0.1</v>
      </c>
      <c r="AK246" s="668">
        <f t="shared" si="24"/>
        <v>128562.20000000001</v>
      </c>
      <c r="AL246" s="668">
        <f t="shared" si="25"/>
        <v>128562.20000000001</v>
      </c>
      <c r="AM246" s="668">
        <f t="shared" si="25"/>
        <v>128562.20000000001</v>
      </c>
      <c r="AN246" s="668"/>
      <c r="AO246" s="668"/>
      <c r="AP246" s="668">
        <f t="shared" si="26"/>
        <v>13932.7</v>
      </c>
      <c r="AQ246" s="668">
        <f t="shared" si="27"/>
        <v>13932.7</v>
      </c>
      <c r="AR246" s="668">
        <f t="shared" si="27"/>
        <v>13932.7</v>
      </c>
      <c r="AS246" s="668"/>
      <c r="AT246" s="668"/>
      <c r="AV246" s="670">
        <f t="shared" si="28"/>
        <v>899935.40000000014</v>
      </c>
      <c r="AW246" s="670">
        <f t="shared" si="29"/>
        <v>236855.89999999997</v>
      </c>
      <c r="AX246" s="671">
        <f t="shared" si="23"/>
        <v>0</v>
      </c>
    </row>
    <row r="247" spans="1:51">
      <c r="A247" s="664" t="s">
        <v>494</v>
      </c>
      <c r="B247" s="664"/>
      <c r="C247" s="664"/>
      <c r="D247" s="664">
        <v>1160505001</v>
      </c>
      <c r="E247" s="664">
        <v>0</v>
      </c>
      <c r="F247" s="664">
        <v>45564</v>
      </c>
      <c r="G247" s="665">
        <v>43451</v>
      </c>
      <c r="H247" s="665">
        <v>43816</v>
      </c>
      <c r="I247" s="664">
        <v>1455</v>
      </c>
      <c r="J247" s="666">
        <v>10000000</v>
      </c>
      <c r="K247" s="666">
        <v>1500000</v>
      </c>
      <c r="L247" s="666">
        <v>0</v>
      </c>
      <c r="M247" s="664" t="s">
        <v>495</v>
      </c>
      <c r="N247" s="666">
        <v>10000000</v>
      </c>
      <c r="O247" s="666">
        <v>1500000</v>
      </c>
      <c r="P247" s="666">
        <v>7275000</v>
      </c>
      <c r="Q247" s="664">
        <v>1</v>
      </c>
      <c r="R247" s="664" t="s">
        <v>496</v>
      </c>
      <c r="S247" s="664">
        <v>100</v>
      </c>
      <c r="T247" s="666">
        <v>10000000</v>
      </c>
      <c r="U247" s="666">
        <v>1500000</v>
      </c>
      <c r="V247" s="664">
        <v>100</v>
      </c>
      <c r="W247" s="666">
        <v>2240736</v>
      </c>
      <c r="X247" s="664">
        <v>15</v>
      </c>
      <c r="Y247" s="664">
        <v>1160902010</v>
      </c>
      <c r="Z247" s="664">
        <v>2023</v>
      </c>
      <c r="AA247" s="664">
        <v>12</v>
      </c>
      <c r="AB247" s="664">
        <v>5026003002</v>
      </c>
      <c r="AC247" s="664">
        <v>1160903005</v>
      </c>
      <c r="AD247" s="664">
        <v>0</v>
      </c>
      <c r="AE247" s="664">
        <v>0</v>
      </c>
      <c r="AF247" s="664">
        <v>0</v>
      </c>
      <c r="AG247" s="664">
        <v>1160605001</v>
      </c>
      <c r="AH247" s="664">
        <v>1455</v>
      </c>
      <c r="AI247" s="664" t="s">
        <v>497</v>
      </c>
      <c r="AJ247" s="667">
        <v>0.01</v>
      </c>
      <c r="AK247" s="668">
        <f t="shared" si="24"/>
        <v>100000</v>
      </c>
      <c r="AL247" s="668">
        <f t="shared" si="25"/>
        <v>100000</v>
      </c>
      <c r="AM247" s="668">
        <f t="shared" si="25"/>
        <v>100000</v>
      </c>
      <c r="AN247" s="668"/>
      <c r="AO247" s="668"/>
      <c r="AP247" s="668">
        <f t="shared" si="26"/>
        <v>7500</v>
      </c>
      <c r="AQ247" s="668">
        <f t="shared" si="27"/>
        <v>7500</v>
      </c>
      <c r="AR247" s="668">
        <f t="shared" si="27"/>
        <v>7500</v>
      </c>
      <c r="AS247" s="668"/>
      <c r="AT247" s="668"/>
      <c r="AV247" s="670">
        <f t="shared" si="28"/>
        <v>9700000</v>
      </c>
      <c r="AW247" s="670">
        <f t="shared" si="29"/>
        <v>1477500</v>
      </c>
      <c r="AX247" s="671">
        <f t="shared" si="23"/>
        <v>0</v>
      </c>
    </row>
    <row r="248" spans="1:51">
      <c r="A248" s="664" t="s">
        <v>494</v>
      </c>
      <c r="B248" s="664"/>
      <c r="C248" s="664"/>
      <c r="D248" s="664">
        <v>1160505001</v>
      </c>
      <c r="E248" s="664">
        <v>0</v>
      </c>
      <c r="F248" s="664">
        <v>44268</v>
      </c>
      <c r="G248" s="665">
        <v>43205</v>
      </c>
      <c r="H248" s="665">
        <v>43936</v>
      </c>
      <c r="I248" s="664">
        <v>1337</v>
      </c>
      <c r="J248" s="666">
        <v>6500000</v>
      </c>
      <c r="K248" s="666">
        <v>0</v>
      </c>
      <c r="L248" s="666">
        <v>0</v>
      </c>
      <c r="M248" s="664" t="s">
        <v>495</v>
      </c>
      <c r="N248" s="666">
        <v>6500000</v>
      </c>
      <c r="O248" s="666">
        <v>0</v>
      </c>
      <c r="P248" s="666">
        <v>4345250</v>
      </c>
      <c r="Q248" s="664">
        <v>1</v>
      </c>
      <c r="R248" s="664" t="s">
        <v>496</v>
      </c>
      <c r="S248" s="664">
        <v>100</v>
      </c>
      <c r="T248" s="666">
        <v>6500000</v>
      </c>
      <c r="U248" s="666">
        <v>0</v>
      </c>
      <c r="V248" s="664">
        <v>100</v>
      </c>
      <c r="W248" s="666">
        <v>8599846</v>
      </c>
      <c r="X248" s="664">
        <v>14</v>
      </c>
      <c r="Y248" s="664">
        <v>1160902010</v>
      </c>
      <c r="Z248" s="664">
        <v>2023</v>
      </c>
      <c r="AA248" s="664">
        <v>12</v>
      </c>
      <c r="AB248" s="664">
        <v>5026003002</v>
      </c>
      <c r="AC248" s="664">
        <v>1160903005</v>
      </c>
      <c r="AD248" s="664">
        <v>0</v>
      </c>
      <c r="AE248" s="664">
        <v>0</v>
      </c>
      <c r="AF248" s="664">
        <v>0</v>
      </c>
      <c r="AG248" s="664">
        <v>1160605001</v>
      </c>
      <c r="AH248" s="664">
        <v>1337</v>
      </c>
      <c r="AI248" s="664" t="s">
        <v>497</v>
      </c>
      <c r="AJ248" s="667">
        <v>0.01</v>
      </c>
      <c r="AK248" s="668">
        <f t="shared" si="24"/>
        <v>65000</v>
      </c>
      <c r="AL248" s="668">
        <f t="shared" si="25"/>
        <v>65000</v>
      </c>
      <c r="AM248" s="668">
        <f t="shared" si="25"/>
        <v>65000</v>
      </c>
      <c r="AN248" s="668"/>
      <c r="AO248" s="668"/>
      <c r="AP248" s="668">
        <f t="shared" si="26"/>
        <v>0</v>
      </c>
      <c r="AQ248" s="668">
        <f t="shared" si="27"/>
        <v>0</v>
      </c>
      <c r="AR248" s="668">
        <f t="shared" si="27"/>
        <v>0</v>
      </c>
      <c r="AS248" s="668"/>
      <c r="AT248" s="668"/>
      <c r="AV248" s="670">
        <f t="shared" si="28"/>
        <v>6305000</v>
      </c>
      <c r="AW248" s="670">
        <f t="shared" si="29"/>
        <v>0</v>
      </c>
      <c r="AX248" s="671">
        <f t="shared" si="23"/>
        <v>0</v>
      </c>
    </row>
    <row r="249" spans="1:51">
      <c r="A249" s="664" t="s">
        <v>494</v>
      </c>
      <c r="B249" s="664"/>
      <c r="C249" s="664"/>
      <c r="D249" s="664">
        <v>1160505001</v>
      </c>
      <c r="E249" s="664">
        <v>0</v>
      </c>
      <c r="F249" s="664">
        <v>38938</v>
      </c>
      <c r="G249" s="665">
        <v>42386</v>
      </c>
      <c r="H249" s="665">
        <v>43482</v>
      </c>
      <c r="I249" s="664">
        <v>1785</v>
      </c>
      <c r="J249" s="666">
        <v>2666000</v>
      </c>
      <c r="K249" s="666">
        <v>540894</v>
      </c>
      <c r="L249" s="666">
        <v>0</v>
      </c>
      <c r="M249" s="664" t="s">
        <v>495</v>
      </c>
      <c r="N249" s="666">
        <v>2666000</v>
      </c>
      <c r="O249" s="666">
        <v>540894</v>
      </c>
      <c r="P249" s="666">
        <v>2379405</v>
      </c>
      <c r="Q249" s="664">
        <v>1</v>
      </c>
      <c r="R249" s="664" t="s">
        <v>496</v>
      </c>
      <c r="S249" s="664">
        <v>100</v>
      </c>
      <c r="T249" s="666">
        <v>2666000</v>
      </c>
      <c r="U249" s="666">
        <v>540894</v>
      </c>
      <c r="V249" s="664">
        <v>100</v>
      </c>
      <c r="W249" s="666">
        <v>5613372</v>
      </c>
      <c r="X249" s="664">
        <v>2</v>
      </c>
      <c r="Y249" s="664">
        <v>1160902010</v>
      </c>
      <c r="Z249" s="664">
        <v>2023</v>
      </c>
      <c r="AA249" s="664">
        <v>12</v>
      </c>
      <c r="AB249" s="664">
        <v>5026003002</v>
      </c>
      <c r="AC249" s="664">
        <v>1160903005</v>
      </c>
      <c r="AD249" s="664">
        <v>0</v>
      </c>
      <c r="AE249" s="664">
        <v>0</v>
      </c>
      <c r="AF249" s="664">
        <v>0</v>
      </c>
      <c r="AG249" s="664">
        <v>1160605001</v>
      </c>
      <c r="AH249" s="664">
        <v>1785</v>
      </c>
      <c r="AI249" s="664" t="s">
        <v>497</v>
      </c>
      <c r="AJ249" s="667">
        <v>0.01</v>
      </c>
      <c r="AK249" s="668">
        <f t="shared" si="24"/>
        <v>26660</v>
      </c>
      <c r="AL249" s="668">
        <f t="shared" si="25"/>
        <v>26660</v>
      </c>
      <c r="AM249" s="668">
        <f t="shared" si="25"/>
        <v>26660</v>
      </c>
      <c r="AN249" s="668"/>
      <c r="AO249" s="668"/>
      <c r="AP249" s="668">
        <f t="shared" si="26"/>
        <v>2704.4700000000003</v>
      </c>
      <c r="AQ249" s="668">
        <f t="shared" si="27"/>
        <v>2704.4700000000003</v>
      </c>
      <c r="AR249" s="668">
        <f t="shared" si="27"/>
        <v>2704.4700000000003</v>
      </c>
      <c r="AS249" s="668"/>
      <c r="AT249" s="668"/>
      <c r="AV249" s="670">
        <f t="shared" si="28"/>
        <v>2586020</v>
      </c>
      <c r="AW249" s="670">
        <f t="shared" si="29"/>
        <v>532780.59000000008</v>
      </c>
      <c r="AX249" s="671">
        <f t="shared" si="23"/>
        <v>0</v>
      </c>
    </row>
    <row r="250" spans="1:51">
      <c r="A250" s="664" t="s">
        <v>494</v>
      </c>
      <c r="B250" s="664"/>
      <c r="C250" s="664"/>
      <c r="D250" s="664">
        <v>1160505001</v>
      </c>
      <c r="E250" s="664">
        <v>0</v>
      </c>
      <c r="F250" s="664">
        <v>40752</v>
      </c>
      <c r="G250" s="665">
        <v>42639</v>
      </c>
      <c r="H250" s="665">
        <v>43734</v>
      </c>
      <c r="I250" s="664">
        <v>1536</v>
      </c>
      <c r="J250" s="666">
        <v>5000000</v>
      </c>
      <c r="K250" s="666">
        <v>1394851</v>
      </c>
      <c r="L250" s="666">
        <v>0</v>
      </c>
      <c r="M250" s="664" t="s">
        <v>495</v>
      </c>
      <c r="N250" s="666">
        <v>5000000</v>
      </c>
      <c r="O250" s="666">
        <v>1394851</v>
      </c>
      <c r="P250" s="666">
        <v>3840000</v>
      </c>
      <c r="Q250" s="664">
        <v>1</v>
      </c>
      <c r="R250" s="664" t="s">
        <v>496</v>
      </c>
      <c r="S250" s="664">
        <v>100</v>
      </c>
      <c r="T250" s="666">
        <v>5000000</v>
      </c>
      <c r="U250" s="666">
        <v>1394851</v>
      </c>
      <c r="V250" s="664">
        <v>100</v>
      </c>
      <c r="W250" s="666">
        <v>5613372</v>
      </c>
      <c r="X250" s="664">
        <v>2</v>
      </c>
      <c r="Y250" s="664">
        <v>1160902010</v>
      </c>
      <c r="Z250" s="664">
        <v>2023</v>
      </c>
      <c r="AA250" s="664">
        <v>12</v>
      </c>
      <c r="AB250" s="664">
        <v>5026003002</v>
      </c>
      <c r="AC250" s="664">
        <v>1160903005</v>
      </c>
      <c r="AD250" s="664">
        <v>0</v>
      </c>
      <c r="AE250" s="664">
        <v>0</v>
      </c>
      <c r="AF250" s="664">
        <v>0</v>
      </c>
      <c r="AG250" s="664">
        <v>1160605001</v>
      </c>
      <c r="AH250" s="664">
        <v>1785</v>
      </c>
      <c r="AI250" s="664" t="s">
        <v>497</v>
      </c>
      <c r="AJ250" s="667">
        <v>0.01</v>
      </c>
      <c r="AK250" s="668">
        <f t="shared" si="24"/>
        <v>50000</v>
      </c>
      <c r="AL250" s="668">
        <f t="shared" si="25"/>
        <v>50000</v>
      </c>
      <c r="AM250" s="668">
        <f t="shared" si="25"/>
        <v>50000</v>
      </c>
      <c r="AN250" s="668"/>
      <c r="AO250" s="668"/>
      <c r="AP250" s="668">
        <f t="shared" si="26"/>
        <v>6974.2550000000001</v>
      </c>
      <c r="AQ250" s="668">
        <f t="shared" si="27"/>
        <v>6974.2550000000001</v>
      </c>
      <c r="AR250" s="668">
        <f t="shared" si="27"/>
        <v>6974.2550000000001</v>
      </c>
      <c r="AS250" s="668"/>
      <c r="AT250" s="668"/>
      <c r="AV250" s="670">
        <f t="shared" si="28"/>
        <v>4850000</v>
      </c>
      <c r="AW250" s="670">
        <f t="shared" si="29"/>
        <v>1373928.2350000003</v>
      </c>
      <c r="AX250" s="671">
        <f t="shared" si="23"/>
        <v>0</v>
      </c>
    </row>
    <row r="251" spans="1:51">
      <c r="A251" s="664" t="s">
        <v>494</v>
      </c>
      <c r="B251" s="664"/>
      <c r="C251" s="664"/>
      <c r="D251" s="664">
        <v>1160501001</v>
      </c>
      <c r="E251" s="664">
        <v>0</v>
      </c>
      <c r="F251" s="664">
        <v>45955</v>
      </c>
      <c r="G251" s="665">
        <v>43503</v>
      </c>
      <c r="H251" s="665">
        <v>45329</v>
      </c>
      <c r="I251" s="664">
        <v>0</v>
      </c>
      <c r="J251" s="666">
        <v>6000000</v>
      </c>
      <c r="K251" s="666">
        <v>997500</v>
      </c>
      <c r="L251" s="666">
        <v>0</v>
      </c>
      <c r="M251" s="664" t="s">
        <v>495</v>
      </c>
      <c r="N251" s="666">
        <v>0</v>
      </c>
      <c r="O251" s="666">
        <v>0</v>
      </c>
      <c r="P251" s="666">
        <v>0</v>
      </c>
      <c r="Q251" s="664">
        <v>1</v>
      </c>
      <c r="R251" s="664" t="s">
        <v>502</v>
      </c>
      <c r="S251" s="664">
        <v>0</v>
      </c>
      <c r="T251" s="666">
        <v>0</v>
      </c>
      <c r="U251" s="666">
        <v>0</v>
      </c>
      <c r="V251" s="664">
        <v>100</v>
      </c>
      <c r="W251" s="666">
        <v>7513844</v>
      </c>
      <c r="X251" s="664">
        <v>15</v>
      </c>
      <c r="Y251" s="664">
        <v>1160902002</v>
      </c>
      <c r="Z251" s="664">
        <v>2023</v>
      </c>
      <c r="AA251" s="664">
        <v>12</v>
      </c>
      <c r="AB251" s="664">
        <v>5026003002</v>
      </c>
      <c r="AC251" s="664">
        <v>1160903001</v>
      </c>
      <c r="AD251" s="664">
        <v>0</v>
      </c>
      <c r="AE251" s="664">
        <v>0</v>
      </c>
      <c r="AF251" s="664">
        <v>0</v>
      </c>
      <c r="AG251" s="664">
        <v>1160601004</v>
      </c>
      <c r="AH251" s="664">
        <v>0</v>
      </c>
      <c r="AI251" s="664" t="s">
        <v>500</v>
      </c>
      <c r="AJ251" s="667">
        <v>0.3</v>
      </c>
      <c r="AK251" s="668">
        <f t="shared" si="24"/>
        <v>1800000</v>
      </c>
      <c r="AL251" s="668">
        <f t="shared" si="25"/>
        <v>1800000</v>
      </c>
      <c r="AM251" s="668">
        <f t="shared" si="25"/>
        <v>1800000</v>
      </c>
      <c r="AN251" s="668"/>
      <c r="AO251" s="668"/>
      <c r="AP251" s="668">
        <f t="shared" si="26"/>
        <v>149625</v>
      </c>
      <c r="AQ251" s="668">
        <f t="shared" si="27"/>
        <v>149625</v>
      </c>
      <c r="AR251" s="668">
        <f t="shared" si="27"/>
        <v>149625</v>
      </c>
      <c r="AS251" s="668"/>
      <c r="AT251" s="668"/>
      <c r="AV251" s="670">
        <f t="shared" si="28"/>
        <v>600000</v>
      </c>
      <c r="AW251" s="670">
        <f t="shared" si="29"/>
        <v>548625</v>
      </c>
      <c r="AX251" s="671">
        <f t="shared" si="23"/>
        <v>6000000</v>
      </c>
      <c r="AY251" s="671">
        <f>+AX251-L251</f>
        <v>6000000</v>
      </c>
    </row>
    <row r="252" spans="1:51">
      <c r="A252" s="664" t="s">
        <v>494</v>
      </c>
      <c r="B252" s="664"/>
      <c r="C252" s="664"/>
      <c r="D252" s="664">
        <v>1160504001</v>
      </c>
      <c r="E252" s="664">
        <v>0</v>
      </c>
      <c r="F252" s="664">
        <v>45987</v>
      </c>
      <c r="G252" s="665">
        <v>43505</v>
      </c>
      <c r="H252" s="665">
        <v>44966</v>
      </c>
      <c r="I252" s="664">
        <v>323</v>
      </c>
      <c r="J252" s="666">
        <v>998963</v>
      </c>
      <c r="K252" s="666">
        <v>91153</v>
      </c>
      <c r="L252" s="666">
        <v>0</v>
      </c>
      <c r="M252" s="664" t="s">
        <v>495</v>
      </c>
      <c r="N252" s="666">
        <v>998963</v>
      </c>
      <c r="O252" s="666">
        <v>91153</v>
      </c>
      <c r="P252" s="666">
        <v>161333</v>
      </c>
      <c r="Q252" s="664">
        <v>1</v>
      </c>
      <c r="R252" s="664" t="s">
        <v>501</v>
      </c>
      <c r="S252" s="664">
        <v>100</v>
      </c>
      <c r="T252" s="666">
        <v>998963</v>
      </c>
      <c r="U252" s="666">
        <v>91153</v>
      </c>
      <c r="V252" s="664">
        <v>100</v>
      </c>
      <c r="W252" s="666">
        <v>1257316</v>
      </c>
      <c r="X252" s="664">
        <v>14</v>
      </c>
      <c r="Y252" s="664">
        <v>1160902008</v>
      </c>
      <c r="Z252" s="664">
        <v>2023</v>
      </c>
      <c r="AA252" s="664">
        <v>12</v>
      </c>
      <c r="AB252" s="664">
        <v>5026003002</v>
      </c>
      <c r="AC252" s="664">
        <v>1160903004</v>
      </c>
      <c r="AD252" s="664">
        <v>0</v>
      </c>
      <c r="AE252" s="664">
        <v>0</v>
      </c>
      <c r="AF252" s="664">
        <v>0</v>
      </c>
      <c r="AG252" s="664">
        <v>1160604001</v>
      </c>
      <c r="AH252" s="664">
        <v>323</v>
      </c>
      <c r="AI252" s="664" t="s">
        <v>500</v>
      </c>
      <c r="AJ252" s="667">
        <v>0.3</v>
      </c>
      <c r="AK252" s="668">
        <f t="shared" si="24"/>
        <v>299688.89999999997</v>
      </c>
      <c r="AL252" s="668">
        <f t="shared" si="25"/>
        <v>299688.89999999997</v>
      </c>
      <c r="AM252" s="668">
        <f t="shared" si="25"/>
        <v>299688.89999999997</v>
      </c>
      <c r="AN252" s="668"/>
      <c r="AO252" s="668"/>
      <c r="AP252" s="668">
        <f t="shared" si="26"/>
        <v>13672.949999999999</v>
      </c>
      <c r="AQ252" s="668">
        <f t="shared" si="27"/>
        <v>13672.949999999999</v>
      </c>
      <c r="AR252" s="668">
        <f t="shared" si="27"/>
        <v>13672.949999999999</v>
      </c>
      <c r="AS252" s="668"/>
      <c r="AT252" s="668"/>
      <c r="AV252" s="670">
        <f t="shared" si="28"/>
        <v>99896.300000000163</v>
      </c>
      <c r="AW252" s="670">
        <f t="shared" si="29"/>
        <v>50134.150000000009</v>
      </c>
      <c r="AX252" s="671">
        <f t="shared" si="23"/>
        <v>0</v>
      </c>
    </row>
    <row r="253" spans="1:51">
      <c r="A253" s="664" t="s">
        <v>494</v>
      </c>
      <c r="B253" s="664"/>
      <c r="C253" s="664"/>
      <c r="D253" s="664">
        <v>1160405003</v>
      </c>
      <c r="E253" s="664">
        <v>0</v>
      </c>
      <c r="F253" s="664">
        <v>34247</v>
      </c>
      <c r="G253" s="665">
        <v>41669</v>
      </c>
      <c r="H253" s="665">
        <v>42765</v>
      </c>
      <c r="I253" s="664">
        <v>2492</v>
      </c>
      <c r="J253" s="666">
        <v>23335113</v>
      </c>
      <c r="K253" s="666">
        <v>0</v>
      </c>
      <c r="L253" s="666">
        <v>0</v>
      </c>
      <c r="M253" s="664" t="s">
        <v>495</v>
      </c>
      <c r="N253" s="666">
        <v>23335113</v>
      </c>
      <c r="O253" s="666">
        <v>0</v>
      </c>
      <c r="P253" s="666">
        <v>29075551</v>
      </c>
      <c r="Q253" s="664">
        <v>2</v>
      </c>
      <c r="R253" s="664" t="s">
        <v>496</v>
      </c>
      <c r="S253" s="664">
        <v>100</v>
      </c>
      <c r="T253" s="666">
        <v>23335113</v>
      </c>
      <c r="U253" s="666">
        <v>0</v>
      </c>
      <c r="V253" s="664">
        <v>100</v>
      </c>
      <c r="W253" s="666">
        <v>0</v>
      </c>
      <c r="X253" s="664">
        <v>8</v>
      </c>
      <c r="Y253" s="664">
        <v>1160902009</v>
      </c>
      <c r="Z253" s="664">
        <v>2023</v>
      </c>
      <c r="AA253" s="664">
        <v>12</v>
      </c>
      <c r="AB253" s="664">
        <v>5026003002</v>
      </c>
      <c r="AC253" s="664">
        <v>1160903005</v>
      </c>
      <c r="AD253" s="664">
        <v>0</v>
      </c>
      <c r="AE253" s="664">
        <v>0</v>
      </c>
      <c r="AF253" s="664">
        <v>1</v>
      </c>
      <c r="AG253" s="664">
        <v>1160605001</v>
      </c>
      <c r="AH253" s="664">
        <v>2492</v>
      </c>
      <c r="AI253" s="664" t="s">
        <v>497</v>
      </c>
      <c r="AJ253" s="667">
        <v>0.01</v>
      </c>
      <c r="AK253" s="668">
        <f t="shared" si="24"/>
        <v>233351.13</v>
      </c>
      <c r="AL253" s="668">
        <f t="shared" si="25"/>
        <v>233351.13</v>
      </c>
      <c r="AM253" s="668">
        <f t="shared" si="25"/>
        <v>233351.13</v>
      </c>
      <c r="AN253" s="668"/>
      <c r="AO253" s="668"/>
      <c r="AP253" s="668">
        <f t="shared" si="26"/>
        <v>0</v>
      </c>
      <c r="AQ253" s="668">
        <f t="shared" si="27"/>
        <v>0</v>
      </c>
      <c r="AR253" s="668">
        <f t="shared" si="27"/>
        <v>0</v>
      </c>
      <c r="AS253" s="668"/>
      <c r="AT253" s="668"/>
      <c r="AV253" s="670">
        <f t="shared" si="28"/>
        <v>22635059.610000003</v>
      </c>
      <c r="AW253" s="670">
        <f t="shared" si="29"/>
        <v>0</v>
      </c>
      <c r="AX253" s="671">
        <f t="shared" si="23"/>
        <v>0</v>
      </c>
    </row>
    <row r="254" spans="1:51">
      <c r="A254" s="664" t="s">
        <v>494</v>
      </c>
      <c r="B254" s="664"/>
      <c r="C254" s="664"/>
      <c r="D254" s="664">
        <v>1160505001</v>
      </c>
      <c r="E254" s="664">
        <v>0</v>
      </c>
      <c r="F254" s="664">
        <v>42441</v>
      </c>
      <c r="G254" s="665">
        <v>42904</v>
      </c>
      <c r="H254" s="665">
        <v>44730</v>
      </c>
      <c r="I254" s="664">
        <v>554</v>
      </c>
      <c r="J254" s="666">
        <v>2800000</v>
      </c>
      <c r="K254" s="666">
        <v>372085</v>
      </c>
      <c r="L254" s="666">
        <v>0</v>
      </c>
      <c r="M254" s="664" t="s">
        <v>495</v>
      </c>
      <c r="N254" s="666">
        <v>2800000</v>
      </c>
      <c r="O254" s="666">
        <v>372085</v>
      </c>
      <c r="P254" s="666">
        <v>775600</v>
      </c>
      <c r="Q254" s="664">
        <v>1</v>
      </c>
      <c r="R254" s="664" t="s">
        <v>496</v>
      </c>
      <c r="S254" s="664">
        <v>100</v>
      </c>
      <c r="T254" s="666">
        <v>2800000</v>
      </c>
      <c r="U254" s="666">
        <v>372085</v>
      </c>
      <c r="V254" s="664">
        <v>100</v>
      </c>
      <c r="W254" s="666">
        <v>11568319</v>
      </c>
      <c r="X254" s="664">
        <v>14</v>
      </c>
      <c r="Y254" s="664">
        <v>1160902010</v>
      </c>
      <c r="Z254" s="664">
        <v>2023</v>
      </c>
      <c r="AA254" s="664">
        <v>12</v>
      </c>
      <c r="AB254" s="664">
        <v>5026003002</v>
      </c>
      <c r="AC254" s="664">
        <v>1160903005</v>
      </c>
      <c r="AD254" s="664">
        <v>0</v>
      </c>
      <c r="AE254" s="664">
        <v>0</v>
      </c>
      <c r="AF254" s="664">
        <v>0</v>
      </c>
      <c r="AG254" s="664">
        <v>1160605001</v>
      </c>
      <c r="AH254" s="664">
        <v>554</v>
      </c>
      <c r="AI254" s="664" t="s">
        <v>498</v>
      </c>
      <c r="AJ254" s="667">
        <v>0.1</v>
      </c>
      <c r="AK254" s="668">
        <f t="shared" si="24"/>
        <v>280000</v>
      </c>
      <c r="AL254" s="668">
        <f t="shared" si="25"/>
        <v>280000</v>
      </c>
      <c r="AM254" s="668">
        <f t="shared" si="25"/>
        <v>280000</v>
      </c>
      <c r="AN254" s="668"/>
      <c r="AO254" s="668"/>
      <c r="AP254" s="668">
        <f t="shared" si="26"/>
        <v>18604.25</v>
      </c>
      <c r="AQ254" s="668">
        <f t="shared" si="27"/>
        <v>18604.25</v>
      </c>
      <c r="AR254" s="668">
        <f t="shared" si="27"/>
        <v>18604.25</v>
      </c>
      <c r="AS254" s="668"/>
      <c r="AT254" s="668"/>
      <c r="AV254" s="670">
        <f t="shared" si="28"/>
        <v>1960000</v>
      </c>
      <c r="AW254" s="670">
        <f t="shared" si="29"/>
        <v>316272.25</v>
      </c>
      <c r="AX254" s="671">
        <f t="shared" si="23"/>
        <v>0</v>
      </c>
    </row>
    <row r="255" spans="1:51">
      <c r="A255" s="664" t="s">
        <v>494</v>
      </c>
      <c r="B255" s="664"/>
      <c r="C255" s="664"/>
      <c r="D255" s="664">
        <v>1160505001</v>
      </c>
      <c r="E255" s="664">
        <v>0</v>
      </c>
      <c r="F255" s="664">
        <v>41708</v>
      </c>
      <c r="G255" s="665">
        <v>42810</v>
      </c>
      <c r="H255" s="665">
        <v>43906</v>
      </c>
      <c r="I255" s="664">
        <v>1366</v>
      </c>
      <c r="J255" s="666">
        <v>4000000</v>
      </c>
      <c r="K255" s="666">
        <v>598012</v>
      </c>
      <c r="L255" s="666">
        <v>0</v>
      </c>
      <c r="M255" s="664" t="s">
        <v>495</v>
      </c>
      <c r="N255" s="666">
        <v>4000000</v>
      </c>
      <c r="O255" s="666">
        <v>598012</v>
      </c>
      <c r="P255" s="666">
        <v>2732000</v>
      </c>
      <c r="Q255" s="664">
        <v>1</v>
      </c>
      <c r="R255" s="664" t="s">
        <v>496</v>
      </c>
      <c r="S255" s="664">
        <v>100</v>
      </c>
      <c r="T255" s="666">
        <v>4000000</v>
      </c>
      <c r="U255" s="666">
        <v>598012</v>
      </c>
      <c r="V255" s="664">
        <v>400</v>
      </c>
      <c r="W255" s="666">
        <v>3486484</v>
      </c>
      <c r="X255" s="664">
        <v>2</v>
      </c>
      <c r="Y255" s="664">
        <v>1160902010</v>
      </c>
      <c r="Z255" s="664">
        <v>2023</v>
      </c>
      <c r="AA255" s="664">
        <v>12</v>
      </c>
      <c r="AB255" s="664">
        <v>5026003002</v>
      </c>
      <c r="AC255" s="664">
        <v>1160903005</v>
      </c>
      <c r="AD255" s="664">
        <v>0</v>
      </c>
      <c r="AE255" s="664">
        <v>0</v>
      </c>
      <c r="AF255" s="664">
        <v>0</v>
      </c>
      <c r="AG255" s="664">
        <v>1160605001</v>
      </c>
      <c r="AH255" s="664">
        <v>1366</v>
      </c>
      <c r="AI255" s="664" t="s">
        <v>497</v>
      </c>
      <c r="AJ255" s="667">
        <v>0.01</v>
      </c>
      <c r="AK255" s="668">
        <f t="shared" si="24"/>
        <v>40000</v>
      </c>
      <c r="AL255" s="668">
        <f t="shared" si="25"/>
        <v>40000</v>
      </c>
      <c r="AM255" s="668">
        <f t="shared" si="25"/>
        <v>40000</v>
      </c>
      <c r="AN255" s="668"/>
      <c r="AO255" s="668"/>
      <c r="AP255" s="668">
        <f t="shared" si="26"/>
        <v>2990.06</v>
      </c>
      <c r="AQ255" s="668">
        <f t="shared" si="27"/>
        <v>2990.06</v>
      </c>
      <c r="AR255" s="668">
        <f t="shared" si="27"/>
        <v>2990.06</v>
      </c>
      <c r="AS255" s="668"/>
      <c r="AT255" s="668"/>
      <c r="AV255" s="670">
        <f t="shared" si="28"/>
        <v>3880000</v>
      </c>
      <c r="AW255" s="670">
        <f t="shared" si="29"/>
        <v>589041.81999999983</v>
      </c>
      <c r="AX255" s="671">
        <f t="shared" si="23"/>
        <v>0</v>
      </c>
    </row>
    <row r="256" spans="1:51">
      <c r="A256" s="664" t="s">
        <v>494</v>
      </c>
      <c r="B256" s="664"/>
      <c r="C256" s="664"/>
      <c r="D256" s="664">
        <v>1160505001</v>
      </c>
      <c r="E256" s="664">
        <v>0</v>
      </c>
      <c r="F256" s="664">
        <v>44409</v>
      </c>
      <c r="G256" s="665">
        <v>43223</v>
      </c>
      <c r="H256" s="665">
        <v>43954</v>
      </c>
      <c r="I256" s="664">
        <v>1319</v>
      </c>
      <c r="J256" s="666">
        <v>3400000</v>
      </c>
      <c r="K256" s="666">
        <v>0</v>
      </c>
      <c r="L256" s="666">
        <v>0</v>
      </c>
      <c r="M256" s="664" t="s">
        <v>495</v>
      </c>
      <c r="N256" s="666">
        <v>3400000</v>
      </c>
      <c r="O256" s="666">
        <v>0</v>
      </c>
      <c r="P256" s="666">
        <v>2242300</v>
      </c>
      <c r="Q256" s="664">
        <v>1</v>
      </c>
      <c r="R256" s="664" t="s">
        <v>496</v>
      </c>
      <c r="S256" s="664">
        <v>100</v>
      </c>
      <c r="T256" s="666">
        <v>3400000</v>
      </c>
      <c r="U256" s="666">
        <v>0</v>
      </c>
      <c r="V256" s="664">
        <v>200</v>
      </c>
      <c r="W256" s="666">
        <v>3965864</v>
      </c>
      <c r="X256" s="664">
        <v>15</v>
      </c>
      <c r="Y256" s="664">
        <v>1160902010</v>
      </c>
      <c r="Z256" s="664">
        <v>2023</v>
      </c>
      <c r="AA256" s="664">
        <v>12</v>
      </c>
      <c r="AB256" s="664">
        <v>5026003002</v>
      </c>
      <c r="AC256" s="664">
        <v>1160903005</v>
      </c>
      <c r="AD256" s="664">
        <v>0</v>
      </c>
      <c r="AE256" s="664">
        <v>0</v>
      </c>
      <c r="AF256" s="664">
        <v>0</v>
      </c>
      <c r="AG256" s="664">
        <v>1160605001</v>
      </c>
      <c r="AH256" s="664">
        <v>1319</v>
      </c>
      <c r="AI256" s="664" t="s">
        <v>497</v>
      </c>
      <c r="AJ256" s="667">
        <v>0.01</v>
      </c>
      <c r="AK256" s="668">
        <f t="shared" si="24"/>
        <v>34000</v>
      </c>
      <c r="AL256" s="668">
        <f t="shared" si="25"/>
        <v>34000</v>
      </c>
      <c r="AM256" s="668">
        <f t="shared" si="25"/>
        <v>34000</v>
      </c>
      <c r="AN256" s="668"/>
      <c r="AO256" s="668"/>
      <c r="AP256" s="668">
        <f t="shared" si="26"/>
        <v>0</v>
      </c>
      <c r="AQ256" s="668">
        <f t="shared" si="27"/>
        <v>0</v>
      </c>
      <c r="AR256" s="668">
        <f t="shared" si="27"/>
        <v>0</v>
      </c>
      <c r="AS256" s="668"/>
      <c r="AT256" s="668"/>
      <c r="AV256" s="670">
        <f t="shared" si="28"/>
        <v>3298000</v>
      </c>
      <c r="AW256" s="670">
        <f t="shared" si="29"/>
        <v>0</v>
      </c>
      <c r="AX256" s="671">
        <f t="shared" si="23"/>
        <v>0</v>
      </c>
    </row>
    <row r="257" spans="1:50">
      <c r="A257" s="664" t="s">
        <v>494</v>
      </c>
      <c r="B257" s="664"/>
      <c r="C257" s="664"/>
      <c r="D257" s="664">
        <v>1160505001</v>
      </c>
      <c r="E257" s="664">
        <v>0</v>
      </c>
      <c r="F257" s="664">
        <v>43919</v>
      </c>
      <c r="G257" s="665">
        <v>43163</v>
      </c>
      <c r="H257" s="665">
        <v>44989</v>
      </c>
      <c r="I257" s="664">
        <v>298</v>
      </c>
      <c r="J257" s="666">
        <v>1000000</v>
      </c>
      <c r="K257" s="666">
        <v>900000</v>
      </c>
      <c r="L257" s="666">
        <v>0</v>
      </c>
      <c r="M257" s="664" t="s">
        <v>495</v>
      </c>
      <c r="N257" s="666">
        <v>1000000</v>
      </c>
      <c r="O257" s="666">
        <v>900000</v>
      </c>
      <c r="P257" s="666">
        <v>149000</v>
      </c>
      <c r="Q257" s="664">
        <v>1</v>
      </c>
      <c r="R257" s="664" t="s">
        <v>496</v>
      </c>
      <c r="S257" s="664">
        <v>100</v>
      </c>
      <c r="T257" s="666">
        <v>1000000</v>
      </c>
      <c r="U257" s="666">
        <v>900000</v>
      </c>
      <c r="V257" s="664">
        <v>100</v>
      </c>
      <c r="W257" s="666">
        <v>768552</v>
      </c>
      <c r="X257" s="664">
        <v>14</v>
      </c>
      <c r="Y257" s="664">
        <v>1160902010</v>
      </c>
      <c r="Z257" s="664">
        <v>2023</v>
      </c>
      <c r="AA257" s="664">
        <v>12</v>
      </c>
      <c r="AB257" s="664">
        <v>5026003002</v>
      </c>
      <c r="AC257" s="664">
        <v>1160903005</v>
      </c>
      <c r="AD257" s="664">
        <v>0</v>
      </c>
      <c r="AE257" s="664">
        <v>0</v>
      </c>
      <c r="AF257" s="664">
        <v>0</v>
      </c>
      <c r="AG257" s="664">
        <v>1160605001</v>
      </c>
      <c r="AH257" s="664">
        <v>1370</v>
      </c>
      <c r="AI257" s="664" t="s">
        <v>497</v>
      </c>
      <c r="AJ257" s="667">
        <v>0.01</v>
      </c>
      <c r="AK257" s="668">
        <f t="shared" si="24"/>
        <v>10000</v>
      </c>
      <c r="AL257" s="668">
        <f t="shared" si="25"/>
        <v>10000</v>
      </c>
      <c r="AM257" s="668">
        <f t="shared" si="25"/>
        <v>10000</v>
      </c>
      <c r="AN257" s="668"/>
      <c r="AO257" s="668"/>
      <c r="AP257" s="668">
        <f t="shared" si="26"/>
        <v>4500</v>
      </c>
      <c r="AQ257" s="668">
        <f t="shared" si="27"/>
        <v>4500</v>
      </c>
      <c r="AR257" s="668">
        <f t="shared" si="27"/>
        <v>4500</v>
      </c>
      <c r="AS257" s="668"/>
      <c r="AT257" s="668"/>
      <c r="AV257" s="670">
        <f t="shared" si="28"/>
        <v>970000</v>
      </c>
      <c r="AW257" s="670">
        <f t="shared" si="29"/>
        <v>886500</v>
      </c>
      <c r="AX257" s="671">
        <f t="shared" si="23"/>
        <v>0</v>
      </c>
    </row>
    <row r="258" spans="1:50">
      <c r="A258" s="664" t="s">
        <v>494</v>
      </c>
      <c r="B258" s="664"/>
      <c r="C258" s="664"/>
      <c r="D258" s="664">
        <v>1160505001</v>
      </c>
      <c r="E258" s="664">
        <v>0</v>
      </c>
      <c r="F258" s="664">
        <v>43983</v>
      </c>
      <c r="G258" s="665">
        <v>43171</v>
      </c>
      <c r="H258" s="665">
        <v>43902</v>
      </c>
      <c r="I258" s="664">
        <v>1370</v>
      </c>
      <c r="J258" s="666">
        <v>1000000</v>
      </c>
      <c r="K258" s="666">
        <v>360000</v>
      </c>
      <c r="L258" s="666">
        <v>0</v>
      </c>
      <c r="M258" s="664" t="s">
        <v>495</v>
      </c>
      <c r="N258" s="666">
        <v>1000000</v>
      </c>
      <c r="O258" s="666">
        <v>360000</v>
      </c>
      <c r="P258" s="666">
        <v>685000</v>
      </c>
      <c r="Q258" s="664">
        <v>1</v>
      </c>
      <c r="R258" s="664" t="s">
        <v>496</v>
      </c>
      <c r="S258" s="664">
        <v>100</v>
      </c>
      <c r="T258" s="666">
        <v>1000000</v>
      </c>
      <c r="U258" s="666">
        <v>360000</v>
      </c>
      <c r="V258" s="664">
        <v>100</v>
      </c>
      <c r="W258" s="666">
        <v>768552</v>
      </c>
      <c r="X258" s="664">
        <v>14</v>
      </c>
      <c r="Y258" s="664">
        <v>1160902010</v>
      </c>
      <c r="Z258" s="664">
        <v>2023</v>
      </c>
      <c r="AA258" s="664">
        <v>12</v>
      </c>
      <c r="AB258" s="664">
        <v>5026003002</v>
      </c>
      <c r="AC258" s="664">
        <v>1160903005</v>
      </c>
      <c r="AD258" s="664">
        <v>0</v>
      </c>
      <c r="AE258" s="664">
        <v>0</v>
      </c>
      <c r="AF258" s="664">
        <v>0</v>
      </c>
      <c r="AG258" s="664">
        <v>1160605001</v>
      </c>
      <c r="AH258" s="664">
        <v>1370</v>
      </c>
      <c r="AI258" s="664" t="s">
        <v>497</v>
      </c>
      <c r="AJ258" s="667">
        <v>0.01</v>
      </c>
      <c r="AK258" s="668">
        <f t="shared" si="24"/>
        <v>10000</v>
      </c>
      <c r="AL258" s="668">
        <f t="shared" si="25"/>
        <v>10000</v>
      </c>
      <c r="AM258" s="668">
        <f t="shared" si="25"/>
        <v>10000</v>
      </c>
      <c r="AN258" s="668"/>
      <c r="AO258" s="668"/>
      <c r="AP258" s="668">
        <f t="shared" si="26"/>
        <v>1800</v>
      </c>
      <c r="AQ258" s="668">
        <f t="shared" si="27"/>
        <v>1800</v>
      </c>
      <c r="AR258" s="668">
        <f t="shared" si="27"/>
        <v>1800</v>
      </c>
      <c r="AS258" s="668"/>
      <c r="AT258" s="668"/>
      <c r="AV258" s="670">
        <f t="shared" si="28"/>
        <v>970000</v>
      </c>
      <c r="AW258" s="670">
        <f t="shared" si="29"/>
        <v>354600</v>
      </c>
      <c r="AX258" s="671">
        <f t="shared" si="23"/>
        <v>0</v>
      </c>
    </row>
    <row r="259" spans="1:50">
      <c r="A259" s="664" t="s">
        <v>494</v>
      </c>
      <c r="B259" s="664"/>
      <c r="C259" s="664"/>
      <c r="D259" s="664">
        <v>1160505001</v>
      </c>
      <c r="E259" s="664">
        <v>0</v>
      </c>
      <c r="F259" s="664">
        <v>42602</v>
      </c>
      <c r="G259" s="665">
        <v>42932</v>
      </c>
      <c r="H259" s="665">
        <v>44758</v>
      </c>
      <c r="I259" s="664">
        <v>526</v>
      </c>
      <c r="J259" s="666">
        <v>4000000</v>
      </c>
      <c r="K259" s="666">
        <v>1604097</v>
      </c>
      <c r="L259" s="666">
        <v>0</v>
      </c>
      <c r="M259" s="664" t="s">
        <v>495</v>
      </c>
      <c r="N259" s="666">
        <v>4000000</v>
      </c>
      <c r="O259" s="666">
        <v>1604097</v>
      </c>
      <c r="P259" s="666">
        <v>1052000</v>
      </c>
      <c r="Q259" s="664">
        <v>1</v>
      </c>
      <c r="R259" s="664" t="s">
        <v>496</v>
      </c>
      <c r="S259" s="664">
        <v>100</v>
      </c>
      <c r="T259" s="666">
        <v>4000000</v>
      </c>
      <c r="U259" s="666">
        <v>1604097</v>
      </c>
      <c r="V259" s="664">
        <v>100</v>
      </c>
      <c r="W259" s="666">
        <v>4016600</v>
      </c>
      <c r="X259" s="664">
        <v>14</v>
      </c>
      <c r="Y259" s="664">
        <v>1160902010</v>
      </c>
      <c r="Z259" s="664">
        <v>2023</v>
      </c>
      <c r="AA259" s="664">
        <v>12</v>
      </c>
      <c r="AB259" s="664">
        <v>5026003002</v>
      </c>
      <c r="AC259" s="664">
        <v>1160903005</v>
      </c>
      <c r="AD259" s="664">
        <v>0</v>
      </c>
      <c r="AE259" s="664">
        <v>0</v>
      </c>
      <c r="AF259" s="664">
        <v>0</v>
      </c>
      <c r="AG259" s="664">
        <v>1160605001</v>
      </c>
      <c r="AH259" s="664">
        <v>526</v>
      </c>
      <c r="AI259" s="664" t="s">
        <v>498</v>
      </c>
      <c r="AJ259" s="667">
        <v>0.1</v>
      </c>
      <c r="AK259" s="668">
        <f t="shared" si="24"/>
        <v>400000</v>
      </c>
      <c r="AL259" s="668">
        <f t="shared" si="25"/>
        <v>400000</v>
      </c>
      <c r="AM259" s="668">
        <f t="shared" si="25"/>
        <v>400000</v>
      </c>
      <c r="AN259" s="668"/>
      <c r="AO259" s="668"/>
      <c r="AP259" s="668">
        <f t="shared" si="26"/>
        <v>80204.850000000006</v>
      </c>
      <c r="AQ259" s="668">
        <f t="shared" si="27"/>
        <v>80204.850000000006</v>
      </c>
      <c r="AR259" s="668">
        <f t="shared" si="27"/>
        <v>80204.850000000006</v>
      </c>
      <c r="AS259" s="668"/>
      <c r="AT259" s="668"/>
      <c r="AV259" s="670">
        <f t="shared" si="28"/>
        <v>2800000</v>
      </c>
      <c r="AW259" s="670">
        <f t="shared" si="29"/>
        <v>1363482.4499999997</v>
      </c>
      <c r="AX259" s="671">
        <f t="shared" si="23"/>
        <v>0</v>
      </c>
    </row>
    <row r="260" spans="1:50">
      <c r="A260" s="664" t="s">
        <v>494</v>
      </c>
      <c r="B260" s="664"/>
      <c r="C260" s="664"/>
      <c r="D260" s="664">
        <v>1160505002</v>
      </c>
      <c r="E260" s="664">
        <v>0</v>
      </c>
      <c r="F260" s="664">
        <v>46285</v>
      </c>
      <c r="G260" s="665">
        <v>43528</v>
      </c>
      <c r="H260" s="665">
        <v>43894</v>
      </c>
      <c r="I260" s="664">
        <v>1378</v>
      </c>
      <c r="J260" s="666">
        <v>697120</v>
      </c>
      <c r="K260" s="666">
        <v>37411</v>
      </c>
      <c r="L260" s="666">
        <v>0</v>
      </c>
      <c r="M260" s="664" t="s">
        <v>495</v>
      </c>
      <c r="N260" s="666">
        <v>697120</v>
      </c>
      <c r="O260" s="666">
        <v>37411</v>
      </c>
      <c r="P260" s="666">
        <v>480316</v>
      </c>
      <c r="Q260" s="664">
        <v>1</v>
      </c>
      <c r="R260" s="664" t="s">
        <v>496</v>
      </c>
      <c r="S260" s="664">
        <v>100</v>
      </c>
      <c r="T260" s="666">
        <v>697120</v>
      </c>
      <c r="U260" s="666">
        <v>37411</v>
      </c>
      <c r="V260" s="664">
        <v>100</v>
      </c>
      <c r="W260" s="666">
        <v>7751750</v>
      </c>
      <c r="X260" s="664">
        <v>6</v>
      </c>
      <c r="Y260" s="664">
        <v>1160902010</v>
      </c>
      <c r="Z260" s="664">
        <v>2023</v>
      </c>
      <c r="AA260" s="664">
        <v>12</v>
      </c>
      <c r="AB260" s="664">
        <v>5026003002</v>
      </c>
      <c r="AC260" s="664">
        <v>1160903005</v>
      </c>
      <c r="AD260" s="664">
        <v>0</v>
      </c>
      <c r="AE260" s="664">
        <v>0</v>
      </c>
      <c r="AF260" s="664">
        <v>0</v>
      </c>
      <c r="AG260" s="664">
        <v>1160605001</v>
      </c>
      <c r="AH260" s="664">
        <v>1378</v>
      </c>
      <c r="AI260" s="664" t="s">
        <v>497</v>
      </c>
      <c r="AJ260" s="667">
        <v>0.01</v>
      </c>
      <c r="AK260" s="668">
        <f t="shared" si="24"/>
        <v>6971.2</v>
      </c>
      <c r="AL260" s="668">
        <f t="shared" si="25"/>
        <v>6971.2</v>
      </c>
      <c r="AM260" s="668">
        <f t="shared" si="25"/>
        <v>6971.2</v>
      </c>
      <c r="AN260" s="668"/>
      <c r="AO260" s="668"/>
      <c r="AP260" s="668">
        <f t="shared" si="26"/>
        <v>187.05500000000001</v>
      </c>
      <c r="AQ260" s="668">
        <f t="shared" si="27"/>
        <v>187.05500000000001</v>
      </c>
      <c r="AR260" s="668">
        <f t="shared" si="27"/>
        <v>187.05500000000001</v>
      </c>
      <c r="AS260" s="668"/>
      <c r="AT260" s="668"/>
      <c r="AV260" s="670">
        <f t="shared" si="28"/>
        <v>676206.40000000014</v>
      </c>
      <c r="AW260" s="670">
        <f t="shared" si="29"/>
        <v>36849.834999999999</v>
      </c>
      <c r="AX260" s="671">
        <f t="shared" si="23"/>
        <v>0</v>
      </c>
    </row>
    <row r="261" spans="1:50">
      <c r="A261" s="664" t="s">
        <v>494</v>
      </c>
      <c r="B261" s="664"/>
      <c r="C261" s="664"/>
      <c r="D261" s="664">
        <v>1160505001</v>
      </c>
      <c r="E261" s="664">
        <v>0</v>
      </c>
      <c r="F261" s="664">
        <v>46717</v>
      </c>
      <c r="G261" s="665">
        <v>43598</v>
      </c>
      <c r="H261" s="665">
        <v>44694</v>
      </c>
      <c r="I261" s="664">
        <v>589</v>
      </c>
      <c r="J261" s="666">
        <v>5000000</v>
      </c>
      <c r="K261" s="666">
        <v>2250000</v>
      </c>
      <c r="L261" s="666">
        <v>0</v>
      </c>
      <c r="M261" s="664" t="s">
        <v>495</v>
      </c>
      <c r="N261" s="666">
        <v>5000000</v>
      </c>
      <c r="O261" s="666">
        <v>2250000</v>
      </c>
      <c r="P261" s="666">
        <v>1472500</v>
      </c>
      <c r="Q261" s="664">
        <v>1</v>
      </c>
      <c r="R261" s="664" t="s">
        <v>496</v>
      </c>
      <c r="S261" s="664">
        <v>100</v>
      </c>
      <c r="T261" s="666">
        <v>5000000</v>
      </c>
      <c r="U261" s="666">
        <v>2250000</v>
      </c>
      <c r="V261" s="664">
        <v>100</v>
      </c>
      <c r="W261" s="666">
        <v>7751750</v>
      </c>
      <c r="X261" s="664">
        <v>15</v>
      </c>
      <c r="Y261" s="664">
        <v>1160902010</v>
      </c>
      <c r="Z261" s="664">
        <v>2023</v>
      </c>
      <c r="AA261" s="664">
        <v>12</v>
      </c>
      <c r="AB261" s="664">
        <v>5026003002</v>
      </c>
      <c r="AC261" s="664">
        <v>1160903005</v>
      </c>
      <c r="AD261" s="664">
        <v>0</v>
      </c>
      <c r="AE261" s="664">
        <v>0</v>
      </c>
      <c r="AF261" s="664">
        <v>0</v>
      </c>
      <c r="AG261" s="664">
        <v>1160605001</v>
      </c>
      <c r="AH261" s="664">
        <v>1378</v>
      </c>
      <c r="AI261" s="664" t="s">
        <v>497</v>
      </c>
      <c r="AJ261" s="667">
        <v>0.01</v>
      </c>
      <c r="AK261" s="668">
        <f t="shared" si="24"/>
        <v>50000</v>
      </c>
      <c r="AL261" s="668">
        <f t="shared" si="25"/>
        <v>50000</v>
      </c>
      <c r="AM261" s="668">
        <f t="shared" si="25"/>
        <v>50000</v>
      </c>
      <c r="AN261" s="668"/>
      <c r="AO261" s="668"/>
      <c r="AP261" s="668">
        <f t="shared" si="26"/>
        <v>11250</v>
      </c>
      <c r="AQ261" s="668">
        <f t="shared" si="27"/>
        <v>11250</v>
      </c>
      <c r="AR261" s="668">
        <f t="shared" si="27"/>
        <v>11250</v>
      </c>
      <c r="AS261" s="668"/>
      <c r="AT261" s="668"/>
      <c r="AV261" s="670">
        <f t="shared" si="28"/>
        <v>4850000</v>
      </c>
      <c r="AW261" s="670">
        <f t="shared" si="29"/>
        <v>2216250</v>
      </c>
      <c r="AX261" s="671">
        <f t="shared" si="23"/>
        <v>0</v>
      </c>
    </row>
    <row r="262" spans="1:50">
      <c r="A262" s="664" t="s">
        <v>494</v>
      </c>
      <c r="B262" s="664"/>
      <c r="C262" s="664"/>
      <c r="D262" s="664">
        <v>1160505004</v>
      </c>
      <c r="E262" s="664">
        <v>46148</v>
      </c>
      <c r="F262" s="664">
        <v>46159</v>
      </c>
      <c r="G262" s="665">
        <v>43518</v>
      </c>
      <c r="H262" s="665">
        <v>44614</v>
      </c>
      <c r="I262" s="664">
        <v>670</v>
      </c>
      <c r="J262" s="666">
        <v>12463701</v>
      </c>
      <c r="K262" s="666">
        <v>0</v>
      </c>
      <c r="L262" s="666">
        <v>0</v>
      </c>
      <c r="M262" s="664" t="s">
        <v>495</v>
      </c>
      <c r="N262" s="666">
        <v>12463701</v>
      </c>
      <c r="O262" s="666">
        <v>0</v>
      </c>
      <c r="P262" s="666">
        <v>4175340</v>
      </c>
      <c r="Q262" s="664">
        <v>1</v>
      </c>
      <c r="R262" s="664" t="s">
        <v>496</v>
      </c>
      <c r="S262" s="664">
        <v>100</v>
      </c>
      <c r="T262" s="666">
        <v>12463701</v>
      </c>
      <c r="U262" s="666">
        <v>0</v>
      </c>
      <c r="V262" s="664">
        <v>100</v>
      </c>
      <c r="W262" s="666">
        <v>7499790</v>
      </c>
      <c r="X262" s="664">
        <v>5</v>
      </c>
      <c r="Y262" s="664">
        <v>1160902010</v>
      </c>
      <c r="Z262" s="664">
        <v>2023</v>
      </c>
      <c r="AA262" s="664">
        <v>12</v>
      </c>
      <c r="AB262" s="664">
        <v>5026003002</v>
      </c>
      <c r="AC262" s="664">
        <v>1160903005</v>
      </c>
      <c r="AD262" s="664">
        <v>0</v>
      </c>
      <c r="AE262" s="664">
        <v>0</v>
      </c>
      <c r="AF262" s="664">
        <v>0</v>
      </c>
      <c r="AG262" s="664">
        <v>1160605001</v>
      </c>
      <c r="AH262" s="664">
        <v>670</v>
      </c>
      <c r="AI262" s="664" t="s">
        <v>498</v>
      </c>
      <c r="AJ262" s="667">
        <v>0.1</v>
      </c>
      <c r="AK262" s="668">
        <f t="shared" si="24"/>
        <v>1246370.1000000001</v>
      </c>
      <c r="AL262" s="668">
        <f t="shared" si="25"/>
        <v>1246370.1000000001</v>
      </c>
      <c r="AM262" s="668">
        <f t="shared" si="25"/>
        <v>1246370.1000000001</v>
      </c>
      <c r="AN262" s="668"/>
      <c r="AO262" s="668"/>
      <c r="AP262" s="668">
        <f t="shared" si="26"/>
        <v>0</v>
      </c>
      <c r="AQ262" s="668">
        <f t="shared" si="27"/>
        <v>0</v>
      </c>
      <c r="AR262" s="668">
        <f t="shared" si="27"/>
        <v>0</v>
      </c>
      <c r="AS262" s="668"/>
      <c r="AT262" s="668"/>
      <c r="AV262" s="670">
        <f t="shared" si="28"/>
        <v>8724590.7000000011</v>
      </c>
      <c r="AW262" s="670">
        <f t="shared" si="29"/>
        <v>0</v>
      </c>
      <c r="AX262" s="671">
        <f t="shared" ref="AX262:AX325" si="30">+J262-N262</f>
        <v>0</v>
      </c>
    </row>
    <row r="263" spans="1:50">
      <c r="A263" s="664" t="s">
        <v>494</v>
      </c>
      <c r="B263" s="664"/>
      <c r="C263" s="664"/>
      <c r="D263" s="664">
        <v>1160504001</v>
      </c>
      <c r="E263" s="664">
        <v>0</v>
      </c>
      <c r="F263" s="664">
        <v>43608</v>
      </c>
      <c r="G263" s="665">
        <v>43142</v>
      </c>
      <c r="H263" s="665">
        <v>44968</v>
      </c>
      <c r="I263" s="664">
        <v>321</v>
      </c>
      <c r="J263" s="666">
        <v>2000000</v>
      </c>
      <c r="K263" s="666">
        <v>255000</v>
      </c>
      <c r="L263" s="666">
        <v>0</v>
      </c>
      <c r="M263" s="664" t="s">
        <v>495</v>
      </c>
      <c r="N263" s="666">
        <v>2000000</v>
      </c>
      <c r="O263" s="666">
        <v>255000</v>
      </c>
      <c r="P263" s="666">
        <v>321000</v>
      </c>
      <c r="Q263" s="664">
        <v>1</v>
      </c>
      <c r="R263" s="664" t="s">
        <v>501</v>
      </c>
      <c r="S263" s="664">
        <v>100</v>
      </c>
      <c r="T263" s="666">
        <v>2000000</v>
      </c>
      <c r="U263" s="666">
        <v>255000</v>
      </c>
      <c r="V263" s="664">
        <v>100</v>
      </c>
      <c r="W263" s="666">
        <v>7079712</v>
      </c>
      <c r="X263" s="664">
        <v>14</v>
      </c>
      <c r="Y263" s="664">
        <v>1160902008</v>
      </c>
      <c r="Z263" s="664">
        <v>2023</v>
      </c>
      <c r="AA263" s="664">
        <v>12</v>
      </c>
      <c r="AB263" s="664">
        <v>5026003002</v>
      </c>
      <c r="AC263" s="664">
        <v>1160903004</v>
      </c>
      <c r="AD263" s="664">
        <v>0</v>
      </c>
      <c r="AE263" s="664">
        <v>0</v>
      </c>
      <c r="AF263" s="664">
        <v>0</v>
      </c>
      <c r="AG263" s="664">
        <v>1160604001</v>
      </c>
      <c r="AH263" s="664">
        <v>321</v>
      </c>
      <c r="AI263" s="664" t="s">
        <v>500</v>
      </c>
      <c r="AJ263" s="667">
        <v>0.3</v>
      </c>
      <c r="AK263" s="668">
        <f t="shared" ref="AK263:AK326" si="31">+$J263*$AJ263</f>
        <v>600000</v>
      </c>
      <c r="AL263" s="668">
        <f t="shared" ref="AL263:AM326" si="32">IF(($J263-$AK263)&gt;0,$J263*$AJ263,0)</f>
        <v>600000</v>
      </c>
      <c r="AM263" s="668">
        <f t="shared" si="32"/>
        <v>600000</v>
      </c>
      <c r="AN263" s="668"/>
      <c r="AO263" s="668"/>
      <c r="AP263" s="668">
        <f t="shared" ref="AP263:AP326" si="33">+K263*(AJ263/2)</f>
        <v>38250</v>
      </c>
      <c r="AQ263" s="668">
        <f t="shared" ref="AQ263:AR326" si="34">AP263</f>
        <v>38250</v>
      </c>
      <c r="AR263" s="668">
        <f t="shared" si="34"/>
        <v>38250</v>
      </c>
      <c r="AS263" s="668"/>
      <c r="AT263" s="668"/>
      <c r="AV263" s="670">
        <f t="shared" ref="AV263:AV326" si="35">J263-AK263-AL263-AM263</f>
        <v>200000</v>
      </c>
      <c r="AW263" s="670">
        <f t="shared" ref="AW263:AW326" si="36">+K263-AP263-AQ263-AR263</f>
        <v>140250</v>
      </c>
      <c r="AX263" s="671">
        <f t="shared" si="30"/>
        <v>0</v>
      </c>
    </row>
    <row r="264" spans="1:50">
      <c r="A264" s="664" t="s">
        <v>494</v>
      </c>
      <c r="B264" s="664"/>
      <c r="C264" s="664"/>
      <c r="D264" s="664">
        <v>1160504001</v>
      </c>
      <c r="E264" s="664">
        <v>0</v>
      </c>
      <c r="F264" s="664">
        <v>44604</v>
      </c>
      <c r="G264" s="665">
        <v>43248</v>
      </c>
      <c r="H264" s="665">
        <v>45074</v>
      </c>
      <c r="I264" s="664">
        <v>214</v>
      </c>
      <c r="J264" s="666">
        <v>8000000</v>
      </c>
      <c r="K264" s="666">
        <v>4800000</v>
      </c>
      <c r="L264" s="666">
        <v>0</v>
      </c>
      <c r="M264" s="664" t="s">
        <v>495</v>
      </c>
      <c r="N264" s="666">
        <v>8000000</v>
      </c>
      <c r="O264" s="666">
        <v>4800000</v>
      </c>
      <c r="P264" s="666">
        <v>856000</v>
      </c>
      <c r="Q264" s="664">
        <v>1</v>
      </c>
      <c r="R264" s="664" t="s">
        <v>501</v>
      </c>
      <c r="S264" s="664">
        <v>100</v>
      </c>
      <c r="T264" s="666">
        <v>8000000</v>
      </c>
      <c r="U264" s="666">
        <v>4800000</v>
      </c>
      <c r="V264" s="664">
        <v>100</v>
      </c>
      <c r="W264" s="666">
        <v>2681165</v>
      </c>
      <c r="X264" s="664">
        <v>2</v>
      </c>
      <c r="Y264" s="664">
        <v>1160902008</v>
      </c>
      <c r="Z264" s="664">
        <v>2023</v>
      </c>
      <c r="AA264" s="664">
        <v>12</v>
      </c>
      <c r="AB264" s="664">
        <v>5026003002</v>
      </c>
      <c r="AC264" s="664">
        <v>1160903004</v>
      </c>
      <c r="AD264" s="664">
        <v>0</v>
      </c>
      <c r="AE264" s="664">
        <v>0</v>
      </c>
      <c r="AF264" s="664">
        <v>0</v>
      </c>
      <c r="AG264" s="664">
        <v>1160604001</v>
      </c>
      <c r="AH264" s="664">
        <v>214</v>
      </c>
      <c r="AI264" s="664" t="s">
        <v>500</v>
      </c>
      <c r="AJ264" s="667">
        <v>0.3</v>
      </c>
      <c r="AK264" s="668">
        <f t="shared" si="31"/>
        <v>2400000</v>
      </c>
      <c r="AL264" s="668">
        <f t="shared" si="32"/>
        <v>2400000</v>
      </c>
      <c r="AM264" s="668">
        <f t="shared" si="32"/>
        <v>2400000</v>
      </c>
      <c r="AN264" s="668"/>
      <c r="AO264" s="668"/>
      <c r="AP264" s="668">
        <f t="shared" si="33"/>
        <v>720000</v>
      </c>
      <c r="AQ264" s="668">
        <f t="shared" si="34"/>
        <v>720000</v>
      </c>
      <c r="AR264" s="668">
        <f t="shared" si="34"/>
        <v>720000</v>
      </c>
      <c r="AS264" s="668"/>
      <c r="AT264" s="668"/>
      <c r="AV264" s="670">
        <f t="shared" si="35"/>
        <v>800000</v>
      </c>
      <c r="AW264" s="670">
        <f t="shared" si="36"/>
        <v>2640000</v>
      </c>
      <c r="AX264" s="671">
        <f t="shared" si="30"/>
        <v>0</v>
      </c>
    </row>
    <row r="265" spans="1:50">
      <c r="A265" s="664" t="s">
        <v>494</v>
      </c>
      <c r="B265" s="664"/>
      <c r="C265" s="664"/>
      <c r="D265" s="664">
        <v>1160505001</v>
      </c>
      <c r="E265" s="664">
        <v>0</v>
      </c>
      <c r="F265" s="664">
        <v>46831</v>
      </c>
      <c r="G265" s="665">
        <v>43618</v>
      </c>
      <c r="H265" s="665">
        <v>44714</v>
      </c>
      <c r="I265" s="664">
        <v>570</v>
      </c>
      <c r="J265" s="666">
        <v>35000000</v>
      </c>
      <c r="K265" s="666">
        <v>9450000</v>
      </c>
      <c r="L265" s="666">
        <v>0</v>
      </c>
      <c r="M265" s="664" t="s">
        <v>495</v>
      </c>
      <c r="N265" s="666">
        <v>35000000</v>
      </c>
      <c r="O265" s="666">
        <v>9450000</v>
      </c>
      <c r="P265" s="666">
        <v>9975000</v>
      </c>
      <c r="Q265" s="664">
        <v>1</v>
      </c>
      <c r="R265" s="664" t="s">
        <v>496</v>
      </c>
      <c r="S265" s="664">
        <v>100</v>
      </c>
      <c r="T265" s="666">
        <v>35000000</v>
      </c>
      <c r="U265" s="666">
        <v>9450000</v>
      </c>
      <c r="V265" s="664">
        <v>100</v>
      </c>
      <c r="W265" s="666">
        <v>13782672</v>
      </c>
      <c r="X265" s="664">
        <v>2</v>
      </c>
      <c r="Y265" s="664">
        <v>1160902010</v>
      </c>
      <c r="Z265" s="664">
        <v>2023</v>
      </c>
      <c r="AA265" s="664">
        <v>12</v>
      </c>
      <c r="AB265" s="664">
        <v>5026003002</v>
      </c>
      <c r="AC265" s="664">
        <v>1160903005</v>
      </c>
      <c r="AD265" s="664">
        <v>0</v>
      </c>
      <c r="AE265" s="664">
        <v>0</v>
      </c>
      <c r="AF265" s="664">
        <v>0</v>
      </c>
      <c r="AG265" s="664">
        <v>1160605001</v>
      </c>
      <c r="AH265" s="664">
        <v>570</v>
      </c>
      <c r="AI265" s="664" t="s">
        <v>498</v>
      </c>
      <c r="AJ265" s="667">
        <v>0.1</v>
      </c>
      <c r="AK265" s="668">
        <f t="shared" si="31"/>
        <v>3500000</v>
      </c>
      <c r="AL265" s="668">
        <f t="shared" si="32"/>
        <v>3500000</v>
      </c>
      <c r="AM265" s="668">
        <f t="shared" si="32"/>
        <v>3500000</v>
      </c>
      <c r="AN265" s="668"/>
      <c r="AO265" s="668"/>
      <c r="AP265" s="668">
        <f t="shared" si="33"/>
        <v>472500</v>
      </c>
      <c r="AQ265" s="668">
        <f t="shared" si="34"/>
        <v>472500</v>
      </c>
      <c r="AR265" s="668">
        <f t="shared" si="34"/>
        <v>472500</v>
      </c>
      <c r="AS265" s="668"/>
      <c r="AT265" s="668"/>
      <c r="AV265" s="670">
        <f t="shared" si="35"/>
        <v>24500000</v>
      </c>
      <c r="AW265" s="670">
        <f t="shared" si="36"/>
        <v>8032500</v>
      </c>
      <c r="AX265" s="671">
        <f t="shared" si="30"/>
        <v>0</v>
      </c>
    </row>
    <row r="266" spans="1:50">
      <c r="A266" s="664" t="s">
        <v>494</v>
      </c>
      <c r="B266" s="664"/>
      <c r="C266" s="664"/>
      <c r="D266" s="664">
        <v>1160505001</v>
      </c>
      <c r="E266" s="664">
        <v>0</v>
      </c>
      <c r="F266" s="664">
        <v>46707</v>
      </c>
      <c r="G266" s="665">
        <v>43597</v>
      </c>
      <c r="H266" s="665">
        <v>44328</v>
      </c>
      <c r="I266" s="664">
        <v>950</v>
      </c>
      <c r="J266" s="666">
        <v>4495150</v>
      </c>
      <c r="K266" s="666">
        <v>295185</v>
      </c>
      <c r="L266" s="666">
        <v>0</v>
      </c>
      <c r="M266" s="664" t="s">
        <v>495</v>
      </c>
      <c r="N266" s="666">
        <v>4495150</v>
      </c>
      <c r="O266" s="666">
        <v>295185</v>
      </c>
      <c r="P266" s="666">
        <v>2135196</v>
      </c>
      <c r="Q266" s="664">
        <v>1</v>
      </c>
      <c r="R266" s="664" t="s">
        <v>496</v>
      </c>
      <c r="S266" s="664">
        <v>100</v>
      </c>
      <c r="T266" s="666">
        <v>4495150</v>
      </c>
      <c r="U266" s="666">
        <v>295185</v>
      </c>
      <c r="V266" s="664">
        <v>500</v>
      </c>
      <c r="W266" s="666">
        <v>7656011</v>
      </c>
      <c r="X266" s="664">
        <v>14</v>
      </c>
      <c r="Y266" s="664">
        <v>1160902010</v>
      </c>
      <c r="Z266" s="664">
        <v>2023</v>
      </c>
      <c r="AA266" s="664">
        <v>12</v>
      </c>
      <c r="AB266" s="664">
        <v>5026003002</v>
      </c>
      <c r="AC266" s="664">
        <v>1160903005</v>
      </c>
      <c r="AD266" s="664">
        <v>0</v>
      </c>
      <c r="AE266" s="664">
        <v>0</v>
      </c>
      <c r="AF266" s="664">
        <v>0</v>
      </c>
      <c r="AG266" s="664">
        <v>1160605001</v>
      </c>
      <c r="AH266" s="664">
        <v>950</v>
      </c>
      <c r="AI266" s="664" t="s">
        <v>499</v>
      </c>
      <c r="AJ266" s="667">
        <v>0.05</v>
      </c>
      <c r="AK266" s="668">
        <f t="shared" si="31"/>
        <v>224757.5</v>
      </c>
      <c r="AL266" s="668">
        <f t="shared" si="32"/>
        <v>224757.5</v>
      </c>
      <c r="AM266" s="668">
        <f t="shared" si="32"/>
        <v>224757.5</v>
      </c>
      <c r="AN266" s="668"/>
      <c r="AO266" s="668"/>
      <c r="AP266" s="668">
        <f t="shared" si="33"/>
        <v>7379.625</v>
      </c>
      <c r="AQ266" s="668">
        <f t="shared" si="34"/>
        <v>7379.625</v>
      </c>
      <c r="AR266" s="668">
        <f t="shared" si="34"/>
        <v>7379.625</v>
      </c>
      <c r="AS266" s="668"/>
      <c r="AT266" s="668"/>
      <c r="AV266" s="670">
        <f t="shared" si="35"/>
        <v>3820877.5</v>
      </c>
      <c r="AW266" s="670">
        <f t="shared" si="36"/>
        <v>273046.125</v>
      </c>
      <c r="AX266" s="671">
        <f t="shared" si="30"/>
        <v>0</v>
      </c>
    </row>
    <row r="267" spans="1:50">
      <c r="A267" s="664" t="s">
        <v>494</v>
      </c>
      <c r="B267" s="664"/>
      <c r="C267" s="664"/>
      <c r="D267" s="664">
        <v>1160505001</v>
      </c>
      <c r="E267" s="664">
        <v>0</v>
      </c>
      <c r="F267" s="664">
        <v>40963</v>
      </c>
      <c r="G267" s="665">
        <v>42722</v>
      </c>
      <c r="H267" s="665">
        <v>43087</v>
      </c>
      <c r="I267" s="664">
        <v>2174</v>
      </c>
      <c r="J267" s="666">
        <v>1500000</v>
      </c>
      <c r="K267" s="666">
        <v>135000</v>
      </c>
      <c r="L267" s="666">
        <v>0</v>
      </c>
      <c r="M267" s="664" t="s">
        <v>495</v>
      </c>
      <c r="N267" s="666">
        <v>1500000</v>
      </c>
      <c r="O267" s="666">
        <v>135000</v>
      </c>
      <c r="P267" s="666">
        <v>1630500</v>
      </c>
      <c r="Q267" s="664">
        <v>1</v>
      </c>
      <c r="R267" s="664" t="s">
        <v>496</v>
      </c>
      <c r="S267" s="664">
        <v>100</v>
      </c>
      <c r="T267" s="666">
        <v>1500000</v>
      </c>
      <c r="U267" s="666">
        <v>135000</v>
      </c>
      <c r="V267" s="664">
        <v>100</v>
      </c>
      <c r="W267" s="666">
        <v>857099</v>
      </c>
      <c r="X267" s="664">
        <v>2</v>
      </c>
      <c r="Y267" s="664">
        <v>1160902010</v>
      </c>
      <c r="Z267" s="664">
        <v>2023</v>
      </c>
      <c r="AA267" s="664">
        <v>12</v>
      </c>
      <c r="AB267" s="664">
        <v>5026003002</v>
      </c>
      <c r="AC267" s="664">
        <v>1160903005</v>
      </c>
      <c r="AD267" s="664">
        <v>0</v>
      </c>
      <c r="AE267" s="664">
        <v>0</v>
      </c>
      <c r="AF267" s="664">
        <v>0</v>
      </c>
      <c r="AG267" s="664">
        <v>1160605001</v>
      </c>
      <c r="AH267" s="664">
        <v>2174</v>
      </c>
      <c r="AI267" s="664" t="s">
        <v>497</v>
      </c>
      <c r="AJ267" s="667">
        <v>0.01</v>
      </c>
      <c r="AK267" s="668">
        <f t="shared" si="31"/>
        <v>15000</v>
      </c>
      <c r="AL267" s="668">
        <f t="shared" si="32"/>
        <v>15000</v>
      </c>
      <c r="AM267" s="668">
        <f t="shared" si="32"/>
        <v>15000</v>
      </c>
      <c r="AN267" s="668"/>
      <c r="AO267" s="668"/>
      <c r="AP267" s="668">
        <f t="shared" si="33"/>
        <v>675</v>
      </c>
      <c r="AQ267" s="668">
        <f t="shared" si="34"/>
        <v>675</v>
      </c>
      <c r="AR267" s="668">
        <f t="shared" si="34"/>
        <v>675</v>
      </c>
      <c r="AS267" s="668"/>
      <c r="AT267" s="668"/>
      <c r="AV267" s="670">
        <f t="shared" si="35"/>
        <v>1455000</v>
      </c>
      <c r="AW267" s="670">
        <f t="shared" si="36"/>
        <v>132975</v>
      </c>
      <c r="AX267" s="671">
        <f t="shared" si="30"/>
        <v>0</v>
      </c>
    </row>
    <row r="268" spans="1:50">
      <c r="A268" s="664" t="s">
        <v>494</v>
      </c>
      <c r="B268" s="664"/>
      <c r="C268" s="664"/>
      <c r="D268" s="664">
        <v>1160505001</v>
      </c>
      <c r="E268" s="664">
        <v>0</v>
      </c>
      <c r="F268" s="664">
        <v>41113</v>
      </c>
      <c r="G268" s="665">
        <v>42747</v>
      </c>
      <c r="H268" s="665">
        <v>43112</v>
      </c>
      <c r="I268" s="664">
        <v>2150</v>
      </c>
      <c r="J268" s="666">
        <v>1000000</v>
      </c>
      <c r="K268" s="666">
        <v>90000</v>
      </c>
      <c r="L268" s="666">
        <v>0</v>
      </c>
      <c r="M268" s="664" t="s">
        <v>495</v>
      </c>
      <c r="N268" s="666">
        <v>1000000</v>
      </c>
      <c r="O268" s="666">
        <v>90000</v>
      </c>
      <c r="P268" s="666">
        <v>1075000</v>
      </c>
      <c r="Q268" s="664">
        <v>1</v>
      </c>
      <c r="R268" s="664" t="s">
        <v>496</v>
      </c>
      <c r="S268" s="664">
        <v>100</v>
      </c>
      <c r="T268" s="666">
        <v>1000000</v>
      </c>
      <c r="U268" s="666">
        <v>90000</v>
      </c>
      <c r="V268" s="664">
        <v>100</v>
      </c>
      <c r="W268" s="666">
        <v>857099</v>
      </c>
      <c r="X268" s="664">
        <v>2</v>
      </c>
      <c r="Y268" s="664">
        <v>1160902010</v>
      </c>
      <c r="Z268" s="664">
        <v>2023</v>
      </c>
      <c r="AA268" s="664">
        <v>12</v>
      </c>
      <c r="AB268" s="664">
        <v>5026003002</v>
      </c>
      <c r="AC268" s="664">
        <v>1160903005</v>
      </c>
      <c r="AD268" s="664">
        <v>0</v>
      </c>
      <c r="AE268" s="664">
        <v>0</v>
      </c>
      <c r="AF268" s="664">
        <v>0</v>
      </c>
      <c r="AG268" s="664">
        <v>1160605001</v>
      </c>
      <c r="AH268" s="664">
        <v>2174</v>
      </c>
      <c r="AI268" s="664" t="s">
        <v>497</v>
      </c>
      <c r="AJ268" s="667">
        <v>0.01</v>
      </c>
      <c r="AK268" s="668">
        <f t="shared" si="31"/>
        <v>10000</v>
      </c>
      <c r="AL268" s="668">
        <f t="shared" si="32"/>
        <v>10000</v>
      </c>
      <c r="AM268" s="668">
        <f t="shared" si="32"/>
        <v>10000</v>
      </c>
      <c r="AN268" s="668"/>
      <c r="AO268" s="668"/>
      <c r="AP268" s="668">
        <f t="shared" si="33"/>
        <v>450</v>
      </c>
      <c r="AQ268" s="668">
        <f t="shared" si="34"/>
        <v>450</v>
      </c>
      <c r="AR268" s="668">
        <f t="shared" si="34"/>
        <v>450</v>
      </c>
      <c r="AS268" s="668"/>
      <c r="AT268" s="668"/>
      <c r="AV268" s="670">
        <f t="shared" si="35"/>
        <v>970000</v>
      </c>
      <c r="AW268" s="670">
        <f t="shared" si="36"/>
        <v>88650</v>
      </c>
      <c r="AX268" s="671">
        <f t="shared" si="30"/>
        <v>0</v>
      </c>
    </row>
    <row r="269" spans="1:50">
      <c r="A269" s="664" t="s">
        <v>494</v>
      </c>
      <c r="B269" s="664"/>
      <c r="C269" s="664"/>
      <c r="D269" s="664">
        <v>1160505001</v>
      </c>
      <c r="E269" s="664">
        <v>0</v>
      </c>
      <c r="F269" s="664">
        <v>41383</v>
      </c>
      <c r="G269" s="665">
        <v>42778</v>
      </c>
      <c r="H269" s="665">
        <v>43508</v>
      </c>
      <c r="I269" s="664">
        <v>1760</v>
      </c>
      <c r="J269" s="666">
        <v>8000000</v>
      </c>
      <c r="K269" s="666">
        <v>1600008</v>
      </c>
      <c r="L269" s="666">
        <v>0</v>
      </c>
      <c r="M269" s="664" t="s">
        <v>495</v>
      </c>
      <c r="N269" s="666">
        <v>8000000</v>
      </c>
      <c r="O269" s="666">
        <v>1600008</v>
      </c>
      <c r="P269" s="666">
        <v>7040000</v>
      </c>
      <c r="Q269" s="664">
        <v>1</v>
      </c>
      <c r="R269" s="664" t="s">
        <v>496</v>
      </c>
      <c r="S269" s="664">
        <v>100</v>
      </c>
      <c r="T269" s="666">
        <v>8000000</v>
      </c>
      <c r="U269" s="666">
        <v>1600008</v>
      </c>
      <c r="V269" s="664">
        <v>100</v>
      </c>
      <c r="W269" s="666">
        <v>4831811</v>
      </c>
      <c r="X269" s="664">
        <v>14</v>
      </c>
      <c r="Y269" s="664">
        <v>1160902010</v>
      </c>
      <c r="Z269" s="664">
        <v>2023</v>
      </c>
      <c r="AA269" s="664">
        <v>12</v>
      </c>
      <c r="AB269" s="664">
        <v>5026003002</v>
      </c>
      <c r="AC269" s="664">
        <v>1160903005</v>
      </c>
      <c r="AD269" s="664">
        <v>0</v>
      </c>
      <c r="AE269" s="664">
        <v>0</v>
      </c>
      <c r="AF269" s="664">
        <v>0</v>
      </c>
      <c r="AG269" s="664">
        <v>1160605001</v>
      </c>
      <c r="AH269" s="664">
        <v>1760</v>
      </c>
      <c r="AI269" s="664" t="s">
        <v>497</v>
      </c>
      <c r="AJ269" s="667">
        <v>0.01</v>
      </c>
      <c r="AK269" s="668">
        <f t="shared" si="31"/>
        <v>80000</v>
      </c>
      <c r="AL269" s="668">
        <f t="shared" si="32"/>
        <v>80000</v>
      </c>
      <c r="AM269" s="668">
        <f t="shared" si="32"/>
        <v>80000</v>
      </c>
      <c r="AN269" s="668"/>
      <c r="AO269" s="668"/>
      <c r="AP269" s="668">
        <f t="shared" si="33"/>
        <v>8000.04</v>
      </c>
      <c r="AQ269" s="668">
        <f t="shared" si="34"/>
        <v>8000.04</v>
      </c>
      <c r="AR269" s="668">
        <f t="shared" si="34"/>
        <v>8000.04</v>
      </c>
      <c r="AS269" s="668"/>
      <c r="AT269" s="668"/>
      <c r="AV269" s="670">
        <f t="shared" si="35"/>
        <v>7760000</v>
      </c>
      <c r="AW269" s="670">
        <f t="shared" si="36"/>
        <v>1576007.88</v>
      </c>
      <c r="AX269" s="671">
        <f t="shared" si="30"/>
        <v>0</v>
      </c>
    </row>
    <row r="270" spans="1:50">
      <c r="A270" s="664" t="s">
        <v>494</v>
      </c>
      <c r="B270" s="664"/>
      <c r="C270" s="664"/>
      <c r="D270" s="664">
        <v>1160505001</v>
      </c>
      <c r="E270" s="664">
        <v>0</v>
      </c>
      <c r="F270" s="664">
        <v>32842</v>
      </c>
      <c r="G270" s="665">
        <v>41484</v>
      </c>
      <c r="H270" s="665">
        <v>41849</v>
      </c>
      <c r="I270" s="664">
        <v>3393</v>
      </c>
      <c r="J270" s="666">
        <v>2800000</v>
      </c>
      <c r="K270" s="666">
        <v>68004</v>
      </c>
      <c r="L270" s="666">
        <v>0</v>
      </c>
      <c r="M270" s="664" t="s">
        <v>495</v>
      </c>
      <c r="N270" s="666">
        <v>2800000</v>
      </c>
      <c r="O270" s="666">
        <v>68004</v>
      </c>
      <c r="P270" s="666">
        <v>4750200</v>
      </c>
      <c r="Q270" s="664">
        <v>1</v>
      </c>
      <c r="R270" s="664" t="s">
        <v>496</v>
      </c>
      <c r="S270" s="664">
        <v>100</v>
      </c>
      <c r="T270" s="666">
        <v>2800000</v>
      </c>
      <c r="U270" s="666">
        <v>68004</v>
      </c>
      <c r="V270" s="664">
        <v>100</v>
      </c>
      <c r="W270" s="666">
        <v>3378545</v>
      </c>
      <c r="X270" s="664">
        <v>2</v>
      </c>
      <c r="Y270" s="664">
        <v>1160902010</v>
      </c>
      <c r="Z270" s="664">
        <v>2023</v>
      </c>
      <c r="AA270" s="664">
        <v>12</v>
      </c>
      <c r="AB270" s="664">
        <v>5026003002</v>
      </c>
      <c r="AC270" s="664">
        <v>1160903005</v>
      </c>
      <c r="AD270" s="664">
        <v>0</v>
      </c>
      <c r="AE270" s="664">
        <v>0</v>
      </c>
      <c r="AF270" s="664">
        <v>0</v>
      </c>
      <c r="AG270" s="664">
        <v>1160605001</v>
      </c>
      <c r="AH270" s="664">
        <v>3908</v>
      </c>
      <c r="AI270" s="664" t="s">
        <v>497</v>
      </c>
      <c r="AJ270" s="667">
        <v>0.01</v>
      </c>
      <c r="AK270" s="668">
        <f t="shared" si="31"/>
        <v>28000</v>
      </c>
      <c r="AL270" s="668">
        <f t="shared" si="32"/>
        <v>28000</v>
      </c>
      <c r="AM270" s="668">
        <f t="shared" si="32"/>
        <v>28000</v>
      </c>
      <c r="AN270" s="668"/>
      <c r="AO270" s="668"/>
      <c r="AP270" s="668">
        <f t="shared" si="33"/>
        <v>340.02</v>
      </c>
      <c r="AQ270" s="668">
        <f t="shared" si="34"/>
        <v>340.02</v>
      </c>
      <c r="AR270" s="668">
        <f t="shared" si="34"/>
        <v>340.02</v>
      </c>
      <c r="AS270" s="668"/>
      <c r="AT270" s="668"/>
      <c r="AV270" s="670">
        <f t="shared" si="35"/>
        <v>2716000</v>
      </c>
      <c r="AW270" s="670">
        <f t="shared" si="36"/>
        <v>66983.939999999988</v>
      </c>
      <c r="AX270" s="671">
        <f t="shared" si="30"/>
        <v>0</v>
      </c>
    </row>
    <row r="271" spans="1:50">
      <c r="A271" s="664" t="s">
        <v>494</v>
      </c>
      <c r="B271" s="664"/>
      <c r="C271" s="664"/>
      <c r="D271" s="664">
        <v>1160505002</v>
      </c>
      <c r="E271" s="664">
        <v>0</v>
      </c>
      <c r="F271" s="664">
        <v>27224</v>
      </c>
      <c r="G271" s="665">
        <v>40963</v>
      </c>
      <c r="H271" s="665">
        <v>41329</v>
      </c>
      <c r="I271" s="664">
        <v>3908</v>
      </c>
      <c r="J271" s="666">
        <v>1450500</v>
      </c>
      <c r="K271" s="666">
        <v>130548</v>
      </c>
      <c r="L271" s="666">
        <v>0</v>
      </c>
      <c r="M271" s="664" t="s">
        <v>495</v>
      </c>
      <c r="N271" s="666">
        <v>1450500</v>
      </c>
      <c r="O271" s="666">
        <v>130548</v>
      </c>
      <c r="P271" s="666">
        <v>2834277</v>
      </c>
      <c r="Q271" s="664">
        <v>1</v>
      </c>
      <c r="R271" s="664" t="s">
        <v>496</v>
      </c>
      <c r="S271" s="664">
        <v>100</v>
      </c>
      <c r="T271" s="666">
        <v>1450500</v>
      </c>
      <c r="U271" s="666">
        <v>130548</v>
      </c>
      <c r="V271" s="664">
        <v>100</v>
      </c>
      <c r="W271" s="666">
        <v>3378545</v>
      </c>
      <c r="X271" s="664">
        <v>6</v>
      </c>
      <c r="Y271" s="664">
        <v>1160902010</v>
      </c>
      <c r="Z271" s="664">
        <v>2023</v>
      </c>
      <c r="AA271" s="664">
        <v>12</v>
      </c>
      <c r="AB271" s="664">
        <v>5026003002</v>
      </c>
      <c r="AC271" s="664">
        <v>1160903005</v>
      </c>
      <c r="AD271" s="664">
        <v>0</v>
      </c>
      <c r="AE271" s="664">
        <v>0</v>
      </c>
      <c r="AF271" s="664">
        <v>0</v>
      </c>
      <c r="AG271" s="664">
        <v>1160605001</v>
      </c>
      <c r="AH271" s="664">
        <v>3908</v>
      </c>
      <c r="AI271" s="664" t="s">
        <v>497</v>
      </c>
      <c r="AJ271" s="667">
        <v>0.01</v>
      </c>
      <c r="AK271" s="668">
        <f t="shared" si="31"/>
        <v>14505</v>
      </c>
      <c r="AL271" s="668">
        <f t="shared" si="32"/>
        <v>14505</v>
      </c>
      <c r="AM271" s="668">
        <f t="shared" si="32"/>
        <v>14505</v>
      </c>
      <c r="AN271" s="668"/>
      <c r="AO271" s="668"/>
      <c r="AP271" s="668">
        <f t="shared" si="33"/>
        <v>652.74</v>
      </c>
      <c r="AQ271" s="668">
        <f t="shared" si="34"/>
        <v>652.74</v>
      </c>
      <c r="AR271" s="668">
        <f t="shared" si="34"/>
        <v>652.74</v>
      </c>
      <c r="AS271" s="668"/>
      <c r="AT271" s="668"/>
      <c r="AV271" s="670">
        <f t="shared" si="35"/>
        <v>1406985</v>
      </c>
      <c r="AW271" s="670">
        <f t="shared" si="36"/>
        <v>128589.77999999998</v>
      </c>
      <c r="AX271" s="671">
        <f t="shared" si="30"/>
        <v>0</v>
      </c>
    </row>
    <row r="272" spans="1:50">
      <c r="A272" s="664" t="s">
        <v>494</v>
      </c>
      <c r="B272" s="664"/>
      <c r="C272" s="664"/>
      <c r="D272" s="664">
        <v>1160505001</v>
      </c>
      <c r="E272" s="664">
        <v>0</v>
      </c>
      <c r="F272" s="664">
        <v>45243</v>
      </c>
      <c r="G272" s="665">
        <v>43338</v>
      </c>
      <c r="H272" s="665">
        <v>44434</v>
      </c>
      <c r="I272" s="664">
        <v>846</v>
      </c>
      <c r="J272" s="666">
        <v>4685500</v>
      </c>
      <c r="K272" s="666">
        <v>1035503</v>
      </c>
      <c r="L272" s="666">
        <v>0</v>
      </c>
      <c r="M272" s="664" t="s">
        <v>495</v>
      </c>
      <c r="N272" s="666">
        <v>4685500</v>
      </c>
      <c r="O272" s="666">
        <v>1035503</v>
      </c>
      <c r="P272" s="666">
        <v>1981967</v>
      </c>
      <c r="Q272" s="664">
        <v>1</v>
      </c>
      <c r="R272" s="664" t="s">
        <v>496</v>
      </c>
      <c r="S272" s="664">
        <v>100</v>
      </c>
      <c r="T272" s="666">
        <v>4685500</v>
      </c>
      <c r="U272" s="666">
        <v>1035503</v>
      </c>
      <c r="V272" s="664">
        <v>100</v>
      </c>
      <c r="W272" s="666">
        <v>7294909.1699999999</v>
      </c>
      <c r="X272" s="664">
        <v>15</v>
      </c>
      <c r="Y272" s="664">
        <v>1160902010</v>
      </c>
      <c r="Z272" s="664">
        <v>2023</v>
      </c>
      <c r="AA272" s="664">
        <v>12</v>
      </c>
      <c r="AB272" s="664">
        <v>5026003002</v>
      </c>
      <c r="AC272" s="664">
        <v>1160903005</v>
      </c>
      <c r="AD272" s="664">
        <v>0</v>
      </c>
      <c r="AE272" s="664">
        <v>0</v>
      </c>
      <c r="AF272" s="664">
        <v>0</v>
      </c>
      <c r="AG272" s="664">
        <v>1160605001</v>
      </c>
      <c r="AH272" s="664">
        <v>846</v>
      </c>
      <c r="AI272" s="664" t="s">
        <v>499</v>
      </c>
      <c r="AJ272" s="667">
        <v>0.05</v>
      </c>
      <c r="AK272" s="668">
        <f t="shared" si="31"/>
        <v>234275</v>
      </c>
      <c r="AL272" s="668">
        <f t="shared" si="32"/>
        <v>234275</v>
      </c>
      <c r="AM272" s="668">
        <f t="shared" si="32"/>
        <v>234275</v>
      </c>
      <c r="AN272" s="668"/>
      <c r="AO272" s="668"/>
      <c r="AP272" s="668">
        <f t="shared" si="33"/>
        <v>25887.575000000001</v>
      </c>
      <c r="AQ272" s="668">
        <f t="shared" si="34"/>
        <v>25887.575000000001</v>
      </c>
      <c r="AR272" s="668">
        <f t="shared" si="34"/>
        <v>25887.575000000001</v>
      </c>
      <c r="AS272" s="668"/>
      <c r="AT272" s="668"/>
      <c r="AV272" s="670">
        <f t="shared" si="35"/>
        <v>3982675</v>
      </c>
      <c r="AW272" s="670">
        <f t="shared" si="36"/>
        <v>957840.27500000014</v>
      </c>
      <c r="AX272" s="671">
        <f t="shared" si="30"/>
        <v>0</v>
      </c>
    </row>
    <row r="273" spans="1:50">
      <c r="A273" s="664" t="s">
        <v>494</v>
      </c>
      <c r="B273" s="664"/>
      <c r="C273" s="664"/>
      <c r="D273" s="664">
        <v>1160505002</v>
      </c>
      <c r="E273" s="664">
        <v>0</v>
      </c>
      <c r="F273" s="664">
        <v>46348</v>
      </c>
      <c r="G273" s="665">
        <v>43535</v>
      </c>
      <c r="H273" s="665">
        <v>43901</v>
      </c>
      <c r="I273" s="664">
        <v>1371</v>
      </c>
      <c r="J273" s="666">
        <v>136000</v>
      </c>
      <c r="K273" s="666">
        <v>0</v>
      </c>
      <c r="L273" s="666">
        <v>0</v>
      </c>
      <c r="M273" s="664" t="s">
        <v>495</v>
      </c>
      <c r="N273" s="666">
        <v>136000</v>
      </c>
      <c r="O273" s="666">
        <v>0</v>
      </c>
      <c r="P273" s="666">
        <v>93228</v>
      </c>
      <c r="Q273" s="664">
        <v>1</v>
      </c>
      <c r="R273" s="664" t="s">
        <v>496</v>
      </c>
      <c r="S273" s="664">
        <v>100</v>
      </c>
      <c r="T273" s="666">
        <v>136000</v>
      </c>
      <c r="U273" s="666">
        <v>0</v>
      </c>
      <c r="V273" s="664">
        <v>100</v>
      </c>
      <c r="W273" s="666">
        <v>2612297</v>
      </c>
      <c r="X273" s="664">
        <v>6</v>
      </c>
      <c r="Y273" s="664">
        <v>1160902010</v>
      </c>
      <c r="Z273" s="664">
        <v>2023</v>
      </c>
      <c r="AA273" s="664">
        <v>12</v>
      </c>
      <c r="AB273" s="664">
        <v>5026003002</v>
      </c>
      <c r="AC273" s="664">
        <v>1160903005</v>
      </c>
      <c r="AD273" s="664">
        <v>0</v>
      </c>
      <c r="AE273" s="664">
        <v>0</v>
      </c>
      <c r="AF273" s="664">
        <v>0</v>
      </c>
      <c r="AG273" s="664">
        <v>1160605001</v>
      </c>
      <c r="AH273" s="664">
        <v>1371</v>
      </c>
      <c r="AI273" s="664" t="s">
        <v>497</v>
      </c>
      <c r="AJ273" s="667">
        <v>0.01</v>
      </c>
      <c r="AK273" s="668">
        <f t="shared" si="31"/>
        <v>1360</v>
      </c>
      <c r="AL273" s="668">
        <f t="shared" si="32"/>
        <v>1360</v>
      </c>
      <c r="AM273" s="668">
        <f t="shared" si="32"/>
        <v>1360</v>
      </c>
      <c r="AN273" s="668"/>
      <c r="AO273" s="668"/>
      <c r="AP273" s="668">
        <f t="shared" si="33"/>
        <v>0</v>
      </c>
      <c r="AQ273" s="668">
        <f t="shared" si="34"/>
        <v>0</v>
      </c>
      <c r="AR273" s="668">
        <f t="shared" si="34"/>
        <v>0</v>
      </c>
      <c r="AS273" s="668"/>
      <c r="AT273" s="668"/>
      <c r="AV273" s="670">
        <f t="shared" si="35"/>
        <v>131920</v>
      </c>
      <c r="AW273" s="670">
        <f t="shared" si="36"/>
        <v>0</v>
      </c>
      <c r="AX273" s="671">
        <f t="shared" si="30"/>
        <v>0</v>
      </c>
    </row>
    <row r="274" spans="1:50">
      <c r="A274" s="664" t="s">
        <v>494</v>
      </c>
      <c r="B274" s="664"/>
      <c r="C274" s="664"/>
      <c r="D274" s="664">
        <v>1160505001</v>
      </c>
      <c r="E274" s="664">
        <v>0</v>
      </c>
      <c r="F274" s="664">
        <v>45893</v>
      </c>
      <c r="G274" s="665">
        <v>43498</v>
      </c>
      <c r="H274" s="665">
        <v>44594</v>
      </c>
      <c r="I274" s="664">
        <v>690</v>
      </c>
      <c r="J274" s="666">
        <v>1985601</v>
      </c>
      <c r="K274" s="666">
        <v>0</v>
      </c>
      <c r="L274" s="666">
        <v>0</v>
      </c>
      <c r="M274" s="664" t="s">
        <v>495</v>
      </c>
      <c r="N274" s="666">
        <v>1985601</v>
      </c>
      <c r="O274" s="666">
        <v>0</v>
      </c>
      <c r="P274" s="666">
        <v>685032</v>
      </c>
      <c r="Q274" s="664">
        <v>1</v>
      </c>
      <c r="R274" s="664" t="s">
        <v>496</v>
      </c>
      <c r="S274" s="664">
        <v>100</v>
      </c>
      <c r="T274" s="666">
        <v>1985601</v>
      </c>
      <c r="U274" s="666">
        <v>0</v>
      </c>
      <c r="V274" s="664">
        <v>100</v>
      </c>
      <c r="W274" s="666">
        <v>7203599</v>
      </c>
      <c r="X274" s="664">
        <v>15</v>
      </c>
      <c r="Y274" s="664">
        <v>1160902010</v>
      </c>
      <c r="Z274" s="664">
        <v>2023</v>
      </c>
      <c r="AA274" s="664">
        <v>12</v>
      </c>
      <c r="AB274" s="664">
        <v>5026003002</v>
      </c>
      <c r="AC274" s="664">
        <v>1160903005</v>
      </c>
      <c r="AD274" s="664">
        <v>0</v>
      </c>
      <c r="AE274" s="664">
        <v>0</v>
      </c>
      <c r="AF274" s="664">
        <v>0</v>
      </c>
      <c r="AG274" s="664">
        <v>1160605001</v>
      </c>
      <c r="AH274" s="664">
        <v>690</v>
      </c>
      <c r="AI274" s="664" t="s">
        <v>498</v>
      </c>
      <c r="AJ274" s="667">
        <v>0.1</v>
      </c>
      <c r="AK274" s="668">
        <f t="shared" si="31"/>
        <v>198560.1</v>
      </c>
      <c r="AL274" s="668">
        <f t="shared" si="32"/>
        <v>198560.1</v>
      </c>
      <c r="AM274" s="668">
        <f t="shared" si="32"/>
        <v>198560.1</v>
      </c>
      <c r="AN274" s="668"/>
      <c r="AO274" s="668"/>
      <c r="AP274" s="668">
        <f t="shared" si="33"/>
        <v>0</v>
      </c>
      <c r="AQ274" s="668">
        <f t="shared" si="34"/>
        <v>0</v>
      </c>
      <c r="AR274" s="668">
        <f t="shared" si="34"/>
        <v>0</v>
      </c>
      <c r="AS274" s="668"/>
      <c r="AT274" s="668"/>
      <c r="AV274" s="670">
        <f t="shared" si="35"/>
        <v>1389920.6999999997</v>
      </c>
      <c r="AW274" s="670">
        <f t="shared" si="36"/>
        <v>0</v>
      </c>
      <c r="AX274" s="671">
        <f t="shared" si="30"/>
        <v>0</v>
      </c>
    </row>
    <row r="275" spans="1:50">
      <c r="A275" s="664" t="s">
        <v>494</v>
      </c>
      <c r="B275" s="664"/>
      <c r="C275" s="664"/>
      <c r="D275" s="664">
        <v>1160505001</v>
      </c>
      <c r="E275" s="664">
        <v>0</v>
      </c>
      <c r="F275" s="664">
        <v>46574</v>
      </c>
      <c r="G275" s="665">
        <v>43568</v>
      </c>
      <c r="H275" s="665">
        <v>44664</v>
      </c>
      <c r="I275" s="664">
        <v>619</v>
      </c>
      <c r="J275" s="666">
        <v>450000</v>
      </c>
      <c r="K275" s="666">
        <v>0</v>
      </c>
      <c r="L275" s="666">
        <v>0</v>
      </c>
      <c r="M275" s="664" t="s">
        <v>495</v>
      </c>
      <c r="N275" s="666">
        <v>450000</v>
      </c>
      <c r="O275" s="666">
        <v>0</v>
      </c>
      <c r="P275" s="666">
        <v>139275</v>
      </c>
      <c r="Q275" s="664">
        <v>1</v>
      </c>
      <c r="R275" s="664" t="s">
        <v>496</v>
      </c>
      <c r="S275" s="664">
        <v>100</v>
      </c>
      <c r="T275" s="666">
        <v>450000</v>
      </c>
      <c r="U275" s="666">
        <v>0</v>
      </c>
      <c r="V275" s="664">
        <v>100</v>
      </c>
      <c r="W275" s="666">
        <v>5601969</v>
      </c>
      <c r="X275" s="664">
        <v>15</v>
      </c>
      <c r="Y275" s="664">
        <v>1160902010</v>
      </c>
      <c r="Z275" s="664">
        <v>2023</v>
      </c>
      <c r="AA275" s="664">
        <v>12</v>
      </c>
      <c r="AB275" s="664">
        <v>5026003002</v>
      </c>
      <c r="AC275" s="664">
        <v>1160903005</v>
      </c>
      <c r="AD275" s="664">
        <v>0</v>
      </c>
      <c r="AE275" s="664">
        <v>0</v>
      </c>
      <c r="AF275" s="664">
        <v>0</v>
      </c>
      <c r="AG275" s="664">
        <v>1160605001</v>
      </c>
      <c r="AH275" s="664">
        <v>619</v>
      </c>
      <c r="AI275" s="664" t="s">
        <v>498</v>
      </c>
      <c r="AJ275" s="667">
        <v>0.1</v>
      </c>
      <c r="AK275" s="668">
        <f t="shared" si="31"/>
        <v>45000</v>
      </c>
      <c r="AL275" s="668">
        <f t="shared" si="32"/>
        <v>45000</v>
      </c>
      <c r="AM275" s="668">
        <f t="shared" si="32"/>
        <v>45000</v>
      </c>
      <c r="AN275" s="668"/>
      <c r="AO275" s="668"/>
      <c r="AP275" s="668">
        <f t="shared" si="33"/>
        <v>0</v>
      </c>
      <c r="AQ275" s="668">
        <f t="shared" si="34"/>
        <v>0</v>
      </c>
      <c r="AR275" s="668">
        <f t="shared" si="34"/>
        <v>0</v>
      </c>
      <c r="AS275" s="668"/>
      <c r="AT275" s="668"/>
      <c r="AV275" s="670">
        <f t="shared" si="35"/>
        <v>315000</v>
      </c>
      <c r="AW275" s="670">
        <f t="shared" si="36"/>
        <v>0</v>
      </c>
      <c r="AX275" s="671">
        <f t="shared" si="30"/>
        <v>0</v>
      </c>
    </row>
    <row r="276" spans="1:50">
      <c r="A276" s="664" t="s">
        <v>494</v>
      </c>
      <c r="B276" s="664"/>
      <c r="C276" s="664"/>
      <c r="D276" s="664">
        <v>1160505002</v>
      </c>
      <c r="E276" s="664">
        <v>0</v>
      </c>
      <c r="F276" s="664">
        <v>43041</v>
      </c>
      <c r="G276" s="665">
        <v>43051</v>
      </c>
      <c r="H276" s="665">
        <v>43416</v>
      </c>
      <c r="I276" s="664">
        <v>1850</v>
      </c>
      <c r="J276" s="666">
        <v>2537000</v>
      </c>
      <c r="K276" s="666">
        <v>228336</v>
      </c>
      <c r="L276" s="666">
        <v>0</v>
      </c>
      <c r="M276" s="664" t="s">
        <v>495</v>
      </c>
      <c r="N276" s="666">
        <v>2537000</v>
      </c>
      <c r="O276" s="666">
        <v>228336</v>
      </c>
      <c r="P276" s="666">
        <v>2346725</v>
      </c>
      <c r="Q276" s="664">
        <v>1</v>
      </c>
      <c r="R276" s="664" t="s">
        <v>496</v>
      </c>
      <c r="S276" s="664">
        <v>100</v>
      </c>
      <c r="T276" s="666">
        <v>2537000</v>
      </c>
      <c r="U276" s="666">
        <v>228336</v>
      </c>
      <c r="V276" s="664">
        <v>100</v>
      </c>
      <c r="W276" s="666">
        <v>1271527</v>
      </c>
      <c r="X276" s="664">
        <v>6</v>
      </c>
      <c r="Y276" s="664">
        <v>1160902010</v>
      </c>
      <c r="Z276" s="664">
        <v>2023</v>
      </c>
      <c r="AA276" s="664">
        <v>12</v>
      </c>
      <c r="AB276" s="664">
        <v>5026003002</v>
      </c>
      <c r="AC276" s="664">
        <v>1160903005</v>
      </c>
      <c r="AD276" s="664">
        <v>0</v>
      </c>
      <c r="AE276" s="664">
        <v>0</v>
      </c>
      <c r="AF276" s="664">
        <v>0</v>
      </c>
      <c r="AG276" s="664">
        <v>1160605001</v>
      </c>
      <c r="AH276" s="664">
        <v>1850</v>
      </c>
      <c r="AI276" s="664" t="s">
        <v>497</v>
      </c>
      <c r="AJ276" s="667">
        <v>0.01</v>
      </c>
      <c r="AK276" s="668">
        <f t="shared" si="31"/>
        <v>25370</v>
      </c>
      <c r="AL276" s="668">
        <f t="shared" si="32"/>
        <v>25370</v>
      </c>
      <c r="AM276" s="668">
        <f t="shared" si="32"/>
        <v>25370</v>
      </c>
      <c r="AN276" s="668"/>
      <c r="AO276" s="668"/>
      <c r="AP276" s="668">
        <f t="shared" si="33"/>
        <v>1141.68</v>
      </c>
      <c r="AQ276" s="668">
        <f t="shared" si="34"/>
        <v>1141.68</v>
      </c>
      <c r="AR276" s="668">
        <f t="shared" si="34"/>
        <v>1141.68</v>
      </c>
      <c r="AS276" s="668"/>
      <c r="AT276" s="668"/>
      <c r="AV276" s="670">
        <f t="shared" si="35"/>
        <v>2460890</v>
      </c>
      <c r="AW276" s="670">
        <f t="shared" si="36"/>
        <v>224910.96000000002</v>
      </c>
      <c r="AX276" s="671">
        <f t="shared" si="30"/>
        <v>0</v>
      </c>
    </row>
    <row r="277" spans="1:50">
      <c r="A277" s="664" t="s">
        <v>494</v>
      </c>
      <c r="B277" s="664"/>
      <c r="C277" s="664"/>
      <c r="D277" s="664">
        <v>1160505001</v>
      </c>
      <c r="E277" s="664">
        <v>0</v>
      </c>
      <c r="F277" s="664">
        <v>41503</v>
      </c>
      <c r="G277" s="665">
        <v>42792</v>
      </c>
      <c r="H277" s="665">
        <v>44618</v>
      </c>
      <c r="I277" s="664">
        <v>666</v>
      </c>
      <c r="J277" s="666">
        <v>2160000</v>
      </c>
      <c r="K277" s="666">
        <v>1063140</v>
      </c>
      <c r="L277" s="666">
        <v>0</v>
      </c>
      <c r="M277" s="664" t="s">
        <v>495</v>
      </c>
      <c r="N277" s="666">
        <v>2160000</v>
      </c>
      <c r="O277" s="666">
        <v>1063140</v>
      </c>
      <c r="P277" s="666">
        <v>719280</v>
      </c>
      <c r="Q277" s="664">
        <v>1</v>
      </c>
      <c r="R277" s="664" t="s">
        <v>496</v>
      </c>
      <c r="S277" s="664">
        <v>100</v>
      </c>
      <c r="T277" s="666">
        <v>2160000</v>
      </c>
      <c r="U277" s="666">
        <v>1063140</v>
      </c>
      <c r="V277" s="664">
        <v>100</v>
      </c>
      <c r="W277" s="666">
        <v>1271527</v>
      </c>
      <c r="X277" s="664">
        <v>14</v>
      </c>
      <c r="Y277" s="664">
        <v>1160902010</v>
      </c>
      <c r="Z277" s="664">
        <v>2023</v>
      </c>
      <c r="AA277" s="664">
        <v>12</v>
      </c>
      <c r="AB277" s="664">
        <v>5026003002</v>
      </c>
      <c r="AC277" s="664">
        <v>1160903005</v>
      </c>
      <c r="AD277" s="664">
        <v>0</v>
      </c>
      <c r="AE277" s="664">
        <v>0</v>
      </c>
      <c r="AF277" s="664">
        <v>0</v>
      </c>
      <c r="AG277" s="664">
        <v>1160605001</v>
      </c>
      <c r="AH277" s="664">
        <v>1850</v>
      </c>
      <c r="AI277" s="664" t="s">
        <v>497</v>
      </c>
      <c r="AJ277" s="667">
        <v>0.01</v>
      </c>
      <c r="AK277" s="668">
        <f t="shared" si="31"/>
        <v>21600</v>
      </c>
      <c r="AL277" s="668">
        <f t="shared" si="32"/>
        <v>21600</v>
      </c>
      <c r="AM277" s="668">
        <f t="shared" si="32"/>
        <v>21600</v>
      </c>
      <c r="AN277" s="668"/>
      <c r="AO277" s="668"/>
      <c r="AP277" s="668">
        <f t="shared" si="33"/>
        <v>5315.7</v>
      </c>
      <c r="AQ277" s="668">
        <f t="shared" si="34"/>
        <v>5315.7</v>
      </c>
      <c r="AR277" s="668">
        <f t="shared" si="34"/>
        <v>5315.7</v>
      </c>
      <c r="AS277" s="668"/>
      <c r="AT277" s="668"/>
      <c r="AV277" s="670">
        <f t="shared" si="35"/>
        <v>2095200</v>
      </c>
      <c r="AW277" s="670">
        <f t="shared" si="36"/>
        <v>1047192.9000000001</v>
      </c>
      <c r="AX277" s="671">
        <f t="shared" si="30"/>
        <v>0</v>
      </c>
    </row>
    <row r="278" spans="1:50">
      <c r="A278" s="664" t="s">
        <v>494</v>
      </c>
      <c r="B278" s="664"/>
      <c r="C278" s="664"/>
      <c r="D278" s="664">
        <v>1160505004</v>
      </c>
      <c r="E278" s="664">
        <v>44233</v>
      </c>
      <c r="F278" s="664">
        <v>46291</v>
      </c>
      <c r="G278" s="665">
        <v>43529</v>
      </c>
      <c r="H278" s="665">
        <v>44625</v>
      </c>
      <c r="I278" s="664">
        <v>657</v>
      </c>
      <c r="J278" s="666">
        <v>16666000</v>
      </c>
      <c r="K278" s="666">
        <v>6341413</v>
      </c>
      <c r="L278" s="666">
        <v>0</v>
      </c>
      <c r="M278" s="664" t="s">
        <v>495</v>
      </c>
      <c r="N278" s="666">
        <v>16666000</v>
      </c>
      <c r="O278" s="666">
        <v>6341413</v>
      </c>
      <c r="P278" s="666">
        <v>5474781</v>
      </c>
      <c r="Q278" s="664">
        <v>1</v>
      </c>
      <c r="R278" s="664" t="s">
        <v>496</v>
      </c>
      <c r="S278" s="664">
        <v>100</v>
      </c>
      <c r="T278" s="666">
        <v>16666000</v>
      </c>
      <c r="U278" s="666">
        <v>6341413</v>
      </c>
      <c r="V278" s="664">
        <v>100</v>
      </c>
      <c r="W278" s="666">
        <v>18289411.66</v>
      </c>
      <c r="X278" s="664">
        <v>5</v>
      </c>
      <c r="Y278" s="664">
        <v>1160902010</v>
      </c>
      <c r="Z278" s="664">
        <v>2023</v>
      </c>
      <c r="AA278" s="664">
        <v>12</v>
      </c>
      <c r="AB278" s="664">
        <v>5026003002</v>
      </c>
      <c r="AC278" s="664">
        <v>1160903005</v>
      </c>
      <c r="AD278" s="664">
        <v>0</v>
      </c>
      <c r="AE278" s="664">
        <v>0</v>
      </c>
      <c r="AF278" s="664">
        <v>0</v>
      </c>
      <c r="AG278" s="664">
        <v>1160605001</v>
      </c>
      <c r="AH278" s="664">
        <v>657</v>
      </c>
      <c r="AI278" s="664" t="s">
        <v>498</v>
      </c>
      <c r="AJ278" s="667">
        <v>0.1</v>
      </c>
      <c r="AK278" s="668">
        <f t="shared" si="31"/>
        <v>1666600</v>
      </c>
      <c r="AL278" s="668">
        <f t="shared" si="32"/>
        <v>1666600</v>
      </c>
      <c r="AM278" s="668">
        <f t="shared" si="32"/>
        <v>1666600</v>
      </c>
      <c r="AN278" s="668"/>
      <c r="AO278" s="668"/>
      <c r="AP278" s="668">
        <f t="shared" si="33"/>
        <v>317070.65000000002</v>
      </c>
      <c r="AQ278" s="668">
        <f t="shared" si="34"/>
        <v>317070.65000000002</v>
      </c>
      <c r="AR278" s="668">
        <f t="shared" si="34"/>
        <v>317070.65000000002</v>
      </c>
      <c r="AS278" s="668"/>
      <c r="AT278" s="668"/>
      <c r="AV278" s="670">
        <f t="shared" si="35"/>
        <v>11666200</v>
      </c>
      <c r="AW278" s="670">
        <f t="shared" si="36"/>
        <v>5390201.0499999989</v>
      </c>
      <c r="AX278" s="671">
        <f t="shared" si="30"/>
        <v>0</v>
      </c>
    </row>
    <row r="279" spans="1:50">
      <c r="A279" s="664" t="s">
        <v>494</v>
      </c>
      <c r="B279" s="664"/>
      <c r="C279" s="664"/>
      <c r="D279" s="664">
        <v>1160505001</v>
      </c>
      <c r="E279" s="664">
        <v>0</v>
      </c>
      <c r="F279" s="664">
        <v>46056</v>
      </c>
      <c r="G279" s="665">
        <v>43510</v>
      </c>
      <c r="H279" s="665">
        <v>44241</v>
      </c>
      <c r="I279" s="664">
        <v>1038</v>
      </c>
      <c r="J279" s="666">
        <v>5000000</v>
      </c>
      <c r="K279" s="666">
        <v>673750</v>
      </c>
      <c r="L279" s="666">
        <v>0</v>
      </c>
      <c r="M279" s="664" t="s">
        <v>495</v>
      </c>
      <c r="N279" s="666">
        <v>5000000</v>
      </c>
      <c r="O279" s="666">
        <v>673750</v>
      </c>
      <c r="P279" s="666">
        <v>2595000</v>
      </c>
      <c r="Q279" s="664">
        <v>1</v>
      </c>
      <c r="R279" s="664" t="s">
        <v>496</v>
      </c>
      <c r="S279" s="664">
        <v>100</v>
      </c>
      <c r="T279" s="666">
        <v>5000000</v>
      </c>
      <c r="U279" s="666">
        <v>673750</v>
      </c>
      <c r="V279" s="664">
        <v>100</v>
      </c>
      <c r="W279" s="666">
        <v>5713873</v>
      </c>
      <c r="X279" s="664">
        <v>15</v>
      </c>
      <c r="Y279" s="664">
        <v>1160902010</v>
      </c>
      <c r="Z279" s="664">
        <v>2023</v>
      </c>
      <c r="AA279" s="664">
        <v>12</v>
      </c>
      <c r="AB279" s="664">
        <v>5026003002</v>
      </c>
      <c r="AC279" s="664">
        <v>1160903005</v>
      </c>
      <c r="AD279" s="664">
        <v>0</v>
      </c>
      <c r="AE279" s="664">
        <v>0</v>
      </c>
      <c r="AF279" s="664">
        <v>0</v>
      </c>
      <c r="AG279" s="664">
        <v>1160605001</v>
      </c>
      <c r="AH279" s="664">
        <v>1038</v>
      </c>
      <c r="AI279" s="664" t="s">
        <v>499</v>
      </c>
      <c r="AJ279" s="667">
        <v>0.05</v>
      </c>
      <c r="AK279" s="668">
        <f t="shared" si="31"/>
        <v>250000</v>
      </c>
      <c r="AL279" s="668">
        <f t="shared" si="32"/>
        <v>250000</v>
      </c>
      <c r="AM279" s="668">
        <f t="shared" si="32"/>
        <v>250000</v>
      </c>
      <c r="AN279" s="668"/>
      <c r="AO279" s="668"/>
      <c r="AP279" s="668">
        <f t="shared" si="33"/>
        <v>16843.75</v>
      </c>
      <c r="AQ279" s="668">
        <f t="shared" si="34"/>
        <v>16843.75</v>
      </c>
      <c r="AR279" s="668">
        <f t="shared" si="34"/>
        <v>16843.75</v>
      </c>
      <c r="AS279" s="668"/>
      <c r="AT279" s="668"/>
      <c r="AV279" s="670">
        <f t="shared" si="35"/>
        <v>4250000</v>
      </c>
      <c r="AW279" s="670">
        <f t="shared" si="36"/>
        <v>623218.75</v>
      </c>
      <c r="AX279" s="671">
        <f t="shared" si="30"/>
        <v>0</v>
      </c>
    </row>
    <row r="280" spans="1:50">
      <c r="A280" s="664" t="s">
        <v>494</v>
      </c>
      <c r="B280" s="664"/>
      <c r="C280" s="664"/>
      <c r="D280" s="664">
        <v>1160505001</v>
      </c>
      <c r="E280" s="664">
        <v>0</v>
      </c>
      <c r="F280" s="664">
        <v>41271</v>
      </c>
      <c r="G280" s="665">
        <v>42764</v>
      </c>
      <c r="H280" s="665">
        <v>43129</v>
      </c>
      <c r="I280" s="664">
        <v>2133</v>
      </c>
      <c r="J280" s="666">
        <v>2300000</v>
      </c>
      <c r="K280" s="666">
        <v>207000</v>
      </c>
      <c r="L280" s="666">
        <v>0</v>
      </c>
      <c r="M280" s="664" t="s">
        <v>495</v>
      </c>
      <c r="N280" s="666">
        <v>2300000</v>
      </c>
      <c r="O280" s="666">
        <v>207000</v>
      </c>
      <c r="P280" s="666">
        <v>2452950</v>
      </c>
      <c r="Q280" s="664">
        <v>1</v>
      </c>
      <c r="R280" s="664" t="s">
        <v>496</v>
      </c>
      <c r="S280" s="664">
        <v>100</v>
      </c>
      <c r="T280" s="666">
        <v>2300000</v>
      </c>
      <c r="U280" s="666">
        <v>207000</v>
      </c>
      <c r="V280" s="664">
        <v>400</v>
      </c>
      <c r="W280" s="666">
        <v>1144829</v>
      </c>
      <c r="X280" s="664">
        <v>2</v>
      </c>
      <c r="Y280" s="664">
        <v>1160902010</v>
      </c>
      <c r="Z280" s="664">
        <v>2023</v>
      </c>
      <c r="AA280" s="664">
        <v>12</v>
      </c>
      <c r="AB280" s="664">
        <v>5026003002</v>
      </c>
      <c r="AC280" s="664">
        <v>1160903005</v>
      </c>
      <c r="AD280" s="664">
        <v>0</v>
      </c>
      <c r="AE280" s="664">
        <v>0</v>
      </c>
      <c r="AF280" s="664">
        <v>0</v>
      </c>
      <c r="AG280" s="664">
        <v>1160605001</v>
      </c>
      <c r="AH280" s="664">
        <v>2133</v>
      </c>
      <c r="AI280" s="664" t="s">
        <v>497</v>
      </c>
      <c r="AJ280" s="667">
        <v>0.01</v>
      </c>
      <c r="AK280" s="668">
        <f t="shared" si="31"/>
        <v>23000</v>
      </c>
      <c r="AL280" s="668">
        <f t="shared" si="32"/>
        <v>23000</v>
      </c>
      <c r="AM280" s="668">
        <f t="shared" si="32"/>
        <v>23000</v>
      </c>
      <c r="AN280" s="668"/>
      <c r="AO280" s="668"/>
      <c r="AP280" s="668">
        <f t="shared" si="33"/>
        <v>1035</v>
      </c>
      <c r="AQ280" s="668">
        <f t="shared" si="34"/>
        <v>1035</v>
      </c>
      <c r="AR280" s="668">
        <f t="shared" si="34"/>
        <v>1035</v>
      </c>
      <c r="AS280" s="668"/>
      <c r="AT280" s="668"/>
      <c r="AV280" s="670">
        <f t="shared" si="35"/>
        <v>2231000</v>
      </c>
      <c r="AW280" s="670">
        <f t="shared" si="36"/>
        <v>203895</v>
      </c>
      <c r="AX280" s="671">
        <f t="shared" si="30"/>
        <v>0</v>
      </c>
    </row>
    <row r="281" spans="1:50">
      <c r="A281" s="664" t="s">
        <v>494</v>
      </c>
      <c r="B281" s="664"/>
      <c r="C281" s="664"/>
      <c r="D281" s="664">
        <v>1160505001</v>
      </c>
      <c r="E281" s="664">
        <v>0</v>
      </c>
      <c r="F281" s="664">
        <v>40762</v>
      </c>
      <c r="G281" s="665">
        <v>42645</v>
      </c>
      <c r="H281" s="665">
        <v>43740</v>
      </c>
      <c r="I281" s="664">
        <v>1530</v>
      </c>
      <c r="J281" s="666">
        <v>6000000</v>
      </c>
      <c r="K281" s="666">
        <v>1980000</v>
      </c>
      <c r="L281" s="666">
        <v>0</v>
      </c>
      <c r="M281" s="664" t="s">
        <v>495</v>
      </c>
      <c r="N281" s="666">
        <v>6000000</v>
      </c>
      <c r="O281" s="666">
        <v>1980000</v>
      </c>
      <c r="P281" s="666">
        <v>4590000</v>
      </c>
      <c r="Q281" s="664">
        <v>1</v>
      </c>
      <c r="R281" s="664" t="s">
        <v>496</v>
      </c>
      <c r="S281" s="664">
        <v>100</v>
      </c>
      <c r="T281" s="666">
        <v>6000000</v>
      </c>
      <c r="U281" s="666">
        <v>1980000</v>
      </c>
      <c r="V281" s="664">
        <v>100</v>
      </c>
      <c r="W281" s="666">
        <v>1969896</v>
      </c>
      <c r="X281" s="664">
        <v>14</v>
      </c>
      <c r="Y281" s="664">
        <v>1160902010</v>
      </c>
      <c r="Z281" s="664">
        <v>2023</v>
      </c>
      <c r="AA281" s="664">
        <v>12</v>
      </c>
      <c r="AB281" s="664">
        <v>5026003002</v>
      </c>
      <c r="AC281" s="664">
        <v>1160903005</v>
      </c>
      <c r="AD281" s="664">
        <v>0</v>
      </c>
      <c r="AE281" s="664">
        <v>0</v>
      </c>
      <c r="AF281" s="664">
        <v>0</v>
      </c>
      <c r="AG281" s="664">
        <v>1160605001</v>
      </c>
      <c r="AH281" s="664">
        <v>1530</v>
      </c>
      <c r="AI281" s="664" t="s">
        <v>497</v>
      </c>
      <c r="AJ281" s="667">
        <v>0.01</v>
      </c>
      <c r="AK281" s="668">
        <f t="shared" si="31"/>
        <v>60000</v>
      </c>
      <c r="AL281" s="668">
        <f t="shared" si="32"/>
        <v>60000</v>
      </c>
      <c r="AM281" s="668">
        <f t="shared" si="32"/>
        <v>60000</v>
      </c>
      <c r="AN281" s="668"/>
      <c r="AO281" s="668"/>
      <c r="AP281" s="668">
        <f t="shared" si="33"/>
        <v>9900</v>
      </c>
      <c r="AQ281" s="668">
        <f t="shared" si="34"/>
        <v>9900</v>
      </c>
      <c r="AR281" s="668">
        <f t="shared" si="34"/>
        <v>9900</v>
      </c>
      <c r="AS281" s="668"/>
      <c r="AT281" s="668"/>
      <c r="AV281" s="670">
        <f t="shared" si="35"/>
        <v>5820000</v>
      </c>
      <c r="AW281" s="670">
        <f t="shared" si="36"/>
        <v>1950300</v>
      </c>
      <c r="AX281" s="671">
        <f t="shared" si="30"/>
        <v>0</v>
      </c>
    </row>
    <row r="282" spans="1:50">
      <c r="A282" s="664" t="s">
        <v>494</v>
      </c>
      <c r="B282" s="664"/>
      <c r="C282" s="664"/>
      <c r="D282" s="664">
        <v>1160505004</v>
      </c>
      <c r="E282" s="664">
        <v>28174</v>
      </c>
      <c r="F282" s="664">
        <v>38733</v>
      </c>
      <c r="G282" s="665">
        <v>42335</v>
      </c>
      <c r="H282" s="665">
        <v>43431</v>
      </c>
      <c r="I282" s="664">
        <v>1835</v>
      </c>
      <c r="J282" s="666">
        <v>7000000</v>
      </c>
      <c r="K282" s="666">
        <v>1580647</v>
      </c>
      <c r="L282" s="666">
        <v>0</v>
      </c>
      <c r="M282" s="664" t="s">
        <v>495</v>
      </c>
      <c r="N282" s="666">
        <v>7000000</v>
      </c>
      <c r="O282" s="666">
        <v>1580647</v>
      </c>
      <c r="P282" s="666">
        <v>6422500</v>
      </c>
      <c r="Q282" s="664">
        <v>1</v>
      </c>
      <c r="R282" s="664" t="s">
        <v>496</v>
      </c>
      <c r="S282" s="664">
        <v>100</v>
      </c>
      <c r="T282" s="666">
        <v>7000000</v>
      </c>
      <c r="U282" s="666">
        <v>1580647</v>
      </c>
      <c r="V282" s="664">
        <v>200</v>
      </c>
      <c r="W282" s="666">
        <v>15600611</v>
      </c>
      <c r="X282" s="664">
        <v>5</v>
      </c>
      <c r="Y282" s="664">
        <v>1160902010</v>
      </c>
      <c r="Z282" s="664">
        <v>2023</v>
      </c>
      <c r="AA282" s="664">
        <v>12</v>
      </c>
      <c r="AB282" s="664">
        <v>5026003002</v>
      </c>
      <c r="AC282" s="664">
        <v>1160903005</v>
      </c>
      <c r="AD282" s="664">
        <v>0</v>
      </c>
      <c r="AE282" s="664">
        <v>0</v>
      </c>
      <c r="AF282" s="664">
        <v>0</v>
      </c>
      <c r="AG282" s="664">
        <v>1160605001</v>
      </c>
      <c r="AH282" s="664">
        <v>1835</v>
      </c>
      <c r="AI282" s="664" t="s">
        <v>503</v>
      </c>
      <c r="AJ282" s="667">
        <v>0</v>
      </c>
      <c r="AK282" s="668">
        <f t="shared" si="31"/>
        <v>0</v>
      </c>
      <c r="AL282" s="668">
        <f t="shared" si="32"/>
        <v>0</v>
      </c>
      <c r="AM282" s="668">
        <f t="shared" si="32"/>
        <v>0</v>
      </c>
      <c r="AN282" s="668"/>
      <c r="AO282" s="668"/>
      <c r="AP282" s="668">
        <f t="shared" si="33"/>
        <v>0</v>
      </c>
      <c r="AQ282" s="668">
        <f t="shared" si="34"/>
        <v>0</v>
      </c>
      <c r="AR282" s="668">
        <f t="shared" si="34"/>
        <v>0</v>
      </c>
      <c r="AS282" s="668"/>
      <c r="AT282" s="668"/>
      <c r="AV282" s="670">
        <f t="shared" si="35"/>
        <v>7000000</v>
      </c>
      <c r="AW282" s="670">
        <f t="shared" si="36"/>
        <v>1580647</v>
      </c>
      <c r="AX282" s="671">
        <f t="shared" si="30"/>
        <v>0</v>
      </c>
    </row>
    <row r="283" spans="1:50">
      <c r="A283" s="664" t="s">
        <v>494</v>
      </c>
      <c r="B283" s="664"/>
      <c r="C283" s="664"/>
      <c r="D283" s="664">
        <v>1160505004</v>
      </c>
      <c r="E283" s="664">
        <v>31581</v>
      </c>
      <c r="F283" s="664">
        <v>39066</v>
      </c>
      <c r="G283" s="665">
        <v>42400</v>
      </c>
      <c r="H283" s="665">
        <v>43496</v>
      </c>
      <c r="I283" s="664">
        <v>1772</v>
      </c>
      <c r="J283" s="666">
        <v>7099304</v>
      </c>
      <c r="K283" s="666">
        <v>1650787</v>
      </c>
      <c r="L283" s="666">
        <v>0</v>
      </c>
      <c r="M283" s="664" t="s">
        <v>495</v>
      </c>
      <c r="N283" s="666">
        <v>7099304</v>
      </c>
      <c r="O283" s="666">
        <v>1650787</v>
      </c>
      <c r="P283" s="666">
        <v>6289983</v>
      </c>
      <c r="Q283" s="664">
        <v>1</v>
      </c>
      <c r="R283" s="664" t="s">
        <v>496</v>
      </c>
      <c r="S283" s="664">
        <v>100</v>
      </c>
      <c r="T283" s="666">
        <v>7099304</v>
      </c>
      <c r="U283" s="666">
        <v>1650787</v>
      </c>
      <c r="V283" s="664">
        <v>200</v>
      </c>
      <c r="W283" s="666">
        <v>15600611</v>
      </c>
      <c r="X283" s="664">
        <v>5</v>
      </c>
      <c r="Y283" s="664">
        <v>1160902010</v>
      </c>
      <c r="Z283" s="664">
        <v>2023</v>
      </c>
      <c r="AA283" s="664">
        <v>12</v>
      </c>
      <c r="AB283" s="664">
        <v>5026003002</v>
      </c>
      <c r="AC283" s="664">
        <v>1160903005</v>
      </c>
      <c r="AD283" s="664">
        <v>0</v>
      </c>
      <c r="AE283" s="664">
        <v>0</v>
      </c>
      <c r="AF283" s="664">
        <v>0</v>
      </c>
      <c r="AG283" s="664">
        <v>1160605001</v>
      </c>
      <c r="AH283" s="664">
        <v>1835</v>
      </c>
      <c r="AI283" s="664" t="s">
        <v>503</v>
      </c>
      <c r="AJ283" s="667">
        <v>0</v>
      </c>
      <c r="AK283" s="668">
        <f t="shared" si="31"/>
        <v>0</v>
      </c>
      <c r="AL283" s="668">
        <f t="shared" si="32"/>
        <v>0</v>
      </c>
      <c r="AM283" s="668">
        <f t="shared" si="32"/>
        <v>0</v>
      </c>
      <c r="AN283" s="668"/>
      <c r="AO283" s="668"/>
      <c r="AP283" s="668">
        <f t="shared" si="33"/>
        <v>0</v>
      </c>
      <c r="AQ283" s="668">
        <f t="shared" si="34"/>
        <v>0</v>
      </c>
      <c r="AR283" s="668">
        <f t="shared" si="34"/>
        <v>0</v>
      </c>
      <c r="AS283" s="668"/>
      <c r="AT283" s="668"/>
      <c r="AV283" s="670">
        <f t="shared" si="35"/>
        <v>7099304</v>
      </c>
      <c r="AW283" s="670">
        <f t="shared" si="36"/>
        <v>1650787</v>
      </c>
      <c r="AX283" s="671">
        <f t="shared" si="30"/>
        <v>0</v>
      </c>
    </row>
    <row r="284" spans="1:50">
      <c r="A284" s="664" t="s">
        <v>494</v>
      </c>
      <c r="B284" s="664"/>
      <c r="C284" s="664"/>
      <c r="D284" s="664">
        <v>1160505001</v>
      </c>
      <c r="E284" s="664">
        <v>0</v>
      </c>
      <c r="F284" s="664">
        <v>43244</v>
      </c>
      <c r="G284" s="665">
        <v>43106</v>
      </c>
      <c r="H284" s="665">
        <v>43471</v>
      </c>
      <c r="I284" s="664">
        <v>1796</v>
      </c>
      <c r="J284" s="666">
        <v>24000000</v>
      </c>
      <c r="K284" s="666">
        <v>2160000</v>
      </c>
      <c r="L284" s="666">
        <v>0</v>
      </c>
      <c r="M284" s="664" t="s">
        <v>495</v>
      </c>
      <c r="N284" s="666">
        <v>24000000</v>
      </c>
      <c r="O284" s="666">
        <v>2160000</v>
      </c>
      <c r="P284" s="666">
        <v>21552000</v>
      </c>
      <c r="Q284" s="664">
        <v>1</v>
      </c>
      <c r="R284" s="664" t="s">
        <v>496</v>
      </c>
      <c r="S284" s="664">
        <v>100</v>
      </c>
      <c r="T284" s="666">
        <v>24000000</v>
      </c>
      <c r="U284" s="666">
        <v>2160000</v>
      </c>
      <c r="V284" s="664">
        <v>200</v>
      </c>
      <c r="W284" s="666">
        <v>8133389</v>
      </c>
      <c r="X284" s="664">
        <v>2</v>
      </c>
      <c r="Y284" s="664">
        <v>1160902010</v>
      </c>
      <c r="Z284" s="664">
        <v>2023</v>
      </c>
      <c r="AA284" s="664">
        <v>12</v>
      </c>
      <c r="AB284" s="664">
        <v>5026003002</v>
      </c>
      <c r="AC284" s="664">
        <v>1160903005</v>
      </c>
      <c r="AD284" s="664">
        <v>0</v>
      </c>
      <c r="AE284" s="664">
        <v>0</v>
      </c>
      <c r="AF284" s="664">
        <v>0</v>
      </c>
      <c r="AG284" s="664">
        <v>1160605001</v>
      </c>
      <c r="AH284" s="664">
        <v>1796</v>
      </c>
      <c r="AI284" s="664" t="s">
        <v>497</v>
      </c>
      <c r="AJ284" s="667">
        <v>0.01</v>
      </c>
      <c r="AK284" s="668">
        <f t="shared" si="31"/>
        <v>240000</v>
      </c>
      <c r="AL284" s="668">
        <f t="shared" si="32"/>
        <v>240000</v>
      </c>
      <c r="AM284" s="668">
        <f t="shared" si="32"/>
        <v>240000</v>
      </c>
      <c r="AN284" s="668"/>
      <c r="AO284" s="668"/>
      <c r="AP284" s="668">
        <f t="shared" si="33"/>
        <v>10800</v>
      </c>
      <c r="AQ284" s="668">
        <f t="shared" si="34"/>
        <v>10800</v>
      </c>
      <c r="AR284" s="668">
        <f t="shared" si="34"/>
        <v>10800</v>
      </c>
      <c r="AS284" s="668"/>
      <c r="AT284" s="668"/>
      <c r="AV284" s="670">
        <f t="shared" si="35"/>
        <v>23280000</v>
      </c>
      <c r="AW284" s="670">
        <f t="shared" si="36"/>
        <v>2127600</v>
      </c>
      <c r="AX284" s="671">
        <f t="shared" si="30"/>
        <v>0</v>
      </c>
    </row>
    <row r="285" spans="1:50">
      <c r="A285" s="664" t="s">
        <v>494</v>
      </c>
      <c r="B285" s="664"/>
      <c r="C285" s="664"/>
      <c r="D285" s="664">
        <v>1160505001</v>
      </c>
      <c r="E285" s="664">
        <v>0</v>
      </c>
      <c r="F285" s="664">
        <v>46534</v>
      </c>
      <c r="G285" s="665">
        <v>43560</v>
      </c>
      <c r="H285" s="665">
        <v>44656</v>
      </c>
      <c r="I285" s="664">
        <v>627</v>
      </c>
      <c r="J285" s="666">
        <v>3666000</v>
      </c>
      <c r="K285" s="666">
        <v>668434</v>
      </c>
      <c r="L285" s="666">
        <v>0</v>
      </c>
      <c r="M285" s="664" t="s">
        <v>495</v>
      </c>
      <c r="N285" s="666">
        <v>3666000</v>
      </c>
      <c r="O285" s="666">
        <v>668434</v>
      </c>
      <c r="P285" s="666">
        <v>1149291</v>
      </c>
      <c r="Q285" s="664">
        <v>1</v>
      </c>
      <c r="R285" s="664" t="s">
        <v>496</v>
      </c>
      <c r="S285" s="664">
        <v>100</v>
      </c>
      <c r="T285" s="666">
        <v>3666000</v>
      </c>
      <c r="U285" s="666">
        <v>668434</v>
      </c>
      <c r="V285" s="664">
        <v>200</v>
      </c>
      <c r="W285" s="666">
        <v>10003033</v>
      </c>
      <c r="X285" s="664">
        <v>14</v>
      </c>
      <c r="Y285" s="664">
        <v>1160902010</v>
      </c>
      <c r="Z285" s="664">
        <v>2023</v>
      </c>
      <c r="AA285" s="664">
        <v>12</v>
      </c>
      <c r="AB285" s="664">
        <v>5026003002</v>
      </c>
      <c r="AC285" s="664">
        <v>1160903005</v>
      </c>
      <c r="AD285" s="664">
        <v>0</v>
      </c>
      <c r="AE285" s="664">
        <v>0</v>
      </c>
      <c r="AF285" s="664">
        <v>0</v>
      </c>
      <c r="AG285" s="664">
        <v>1160605001</v>
      </c>
      <c r="AH285" s="664">
        <v>627</v>
      </c>
      <c r="AI285" s="664" t="s">
        <v>498</v>
      </c>
      <c r="AJ285" s="667">
        <v>0.1</v>
      </c>
      <c r="AK285" s="668">
        <f t="shared" si="31"/>
        <v>366600</v>
      </c>
      <c r="AL285" s="668">
        <f t="shared" si="32"/>
        <v>366600</v>
      </c>
      <c r="AM285" s="668">
        <f t="shared" si="32"/>
        <v>366600</v>
      </c>
      <c r="AN285" s="668"/>
      <c r="AO285" s="668"/>
      <c r="AP285" s="668">
        <f t="shared" si="33"/>
        <v>33421.700000000004</v>
      </c>
      <c r="AQ285" s="668">
        <f t="shared" si="34"/>
        <v>33421.700000000004</v>
      </c>
      <c r="AR285" s="668">
        <f t="shared" si="34"/>
        <v>33421.700000000004</v>
      </c>
      <c r="AS285" s="668"/>
      <c r="AT285" s="668"/>
      <c r="AV285" s="670">
        <f t="shared" si="35"/>
        <v>2566200</v>
      </c>
      <c r="AW285" s="670">
        <f t="shared" si="36"/>
        <v>568168.90000000014</v>
      </c>
      <c r="AX285" s="671">
        <f t="shared" si="30"/>
        <v>0</v>
      </c>
    </row>
    <row r="286" spans="1:50">
      <c r="A286" s="664" t="s">
        <v>494</v>
      </c>
      <c r="B286" s="664"/>
      <c r="C286" s="664"/>
      <c r="D286" s="664">
        <v>1160505001</v>
      </c>
      <c r="E286" s="664">
        <v>0</v>
      </c>
      <c r="F286" s="664">
        <v>40897</v>
      </c>
      <c r="G286" s="665">
        <v>42708</v>
      </c>
      <c r="H286" s="665">
        <v>44534</v>
      </c>
      <c r="I286" s="664">
        <v>748</v>
      </c>
      <c r="J286" s="666">
        <v>4000000</v>
      </c>
      <c r="K286" s="666">
        <v>2599981</v>
      </c>
      <c r="L286" s="666">
        <v>0</v>
      </c>
      <c r="M286" s="664" t="s">
        <v>495</v>
      </c>
      <c r="N286" s="666">
        <v>4000000</v>
      </c>
      <c r="O286" s="666">
        <v>2599981</v>
      </c>
      <c r="P286" s="666">
        <v>1496000</v>
      </c>
      <c r="Q286" s="664">
        <v>1</v>
      </c>
      <c r="R286" s="664" t="s">
        <v>496</v>
      </c>
      <c r="S286" s="664">
        <v>100</v>
      </c>
      <c r="T286" s="666">
        <v>4000000</v>
      </c>
      <c r="U286" s="666">
        <v>2599981</v>
      </c>
      <c r="V286" s="664">
        <v>100</v>
      </c>
      <c r="W286" s="666">
        <v>951341</v>
      </c>
      <c r="X286" s="664">
        <v>14</v>
      </c>
      <c r="Y286" s="664">
        <v>1160902010</v>
      </c>
      <c r="Z286" s="664">
        <v>2023</v>
      </c>
      <c r="AA286" s="664">
        <v>12</v>
      </c>
      <c r="AB286" s="664">
        <v>5026003002</v>
      </c>
      <c r="AC286" s="664">
        <v>1160903005</v>
      </c>
      <c r="AD286" s="664">
        <v>0</v>
      </c>
      <c r="AE286" s="664">
        <v>0</v>
      </c>
      <c r="AF286" s="664">
        <v>0</v>
      </c>
      <c r="AG286" s="664">
        <v>1160605001</v>
      </c>
      <c r="AH286" s="664">
        <v>748</v>
      </c>
      <c r="AI286" s="664" t="s">
        <v>499</v>
      </c>
      <c r="AJ286" s="667">
        <v>0.05</v>
      </c>
      <c r="AK286" s="668">
        <f t="shared" si="31"/>
        <v>200000</v>
      </c>
      <c r="AL286" s="668">
        <f t="shared" si="32"/>
        <v>200000</v>
      </c>
      <c r="AM286" s="668">
        <f t="shared" si="32"/>
        <v>200000</v>
      </c>
      <c r="AN286" s="668"/>
      <c r="AO286" s="668"/>
      <c r="AP286" s="668">
        <f t="shared" si="33"/>
        <v>64999.525000000001</v>
      </c>
      <c r="AQ286" s="668">
        <f t="shared" si="34"/>
        <v>64999.525000000001</v>
      </c>
      <c r="AR286" s="668">
        <f t="shared" si="34"/>
        <v>64999.525000000001</v>
      </c>
      <c r="AS286" s="668"/>
      <c r="AT286" s="668"/>
      <c r="AV286" s="670">
        <f t="shared" si="35"/>
        <v>3400000</v>
      </c>
      <c r="AW286" s="670">
        <f t="shared" si="36"/>
        <v>2404982.4250000003</v>
      </c>
      <c r="AX286" s="671">
        <f t="shared" si="30"/>
        <v>0</v>
      </c>
    </row>
    <row r="287" spans="1:50">
      <c r="A287" s="664" t="s">
        <v>494</v>
      </c>
      <c r="B287" s="664"/>
      <c r="C287" s="664"/>
      <c r="D287" s="664">
        <v>1160505001</v>
      </c>
      <c r="E287" s="664">
        <v>0</v>
      </c>
      <c r="F287" s="664">
        <v>46478</v>
      </c>
      <c r="G287" s="665">
        <v>43552</v>
      </c>
      <c r="H287" s="665">
        <v>44648</v>
      </c>
      <c r="I287" s="664">
        <v>634</v>
      </c>
      <c r="J287" s="666">
        <v>4000000</v>
      </c>
      <c r="K287" s="666">
        <v>0</v>
      </c>
      <c r="L287" s="666">
        <v>0</v>
      </c>
      <c r="M287" s="664" t="s">
        <v>495</v>
      </c>
      <c r="N287" s="666">
        <v>4000000</v>
      </c>
      <c r="O287" s="666">
        <v>0</v>
      </c>
      <c r="P287" s="666">
        <v>1268000</v>
      </c>
      <c r="Q287" s="664">
        <v>1</v>
      </c>
      <c r="R287" s="664" t="s">
        <v>496</v>
      </c>
      <c r="S287" s="664">
        <v>100</v>
      </c>
      <c r="T287" s="666">
        <v>4000000</v>
      </c>
      <c r="U287" s="666">
        <v>0</v>
      </c>
      <c r="V287" s="664">
        <v>300</v>
      </c>
      <c r="W287" s="666">
        <v>4070468</v>
      </c>
      <c r="X287" s="664">
        <v>2</v>
      </c>
      <c r="Y287" s="664">
        <v>1160902010</v>
      </c>
      <c r="Z287" s="664">
        <v>2023</v>
      </c>
      <c r="AA287" s="664">
        <v>12</v>
      </c>
      <c r="AB287" s="664">
        <v>5026003002</v>
      </c>
      <c r="AC287" s="664">
        <v>1160903005</v>
      </c>
      <c r="AD287" s="664">
        <v>0</v>
      </c>
      <c r="AE287" s="664">
        <v>0</v>
      </c>
      <c r="AF287" s="664">
        <v>0</v>
      </c>
      <c r="AG287" s="664">
        <v>1160605001</v>
      </c>
      <c r="AH287" s="664">
        <v>634</v>
      </c>
      <c r="AI287" s="664" t="s">
        <v>498</v>
      </c>
      <c r="AJ287" s="667">
        <v>0.1</v>
      </c>
      <c r="AK287" s="668">
        <f t="shared" si="31"/>
        <v>400000</v>
      </c>
      <c r="AL287" s="668">
        <f t="shared" si="32"/>
        <v>400000</v>
      </c>
      <c r="AM287" s="668">
        <f t="shared" si="32"/>
        <v>400000</v>
      </c>
      <c r="AN287" s="668"/>
      <c r="AO287" s="668"/>
      <c r="AP287" s="668">
        <f t="shared" si="33"/>
        <v>0</v>
      </c>
      <c r="AQ287" s="668">
        <f t="shared" si="34"/>
        <v>0</v>
      </c>
      <c r="AR287" s="668">
        <f t="shared" si="34"/>
        <v>0</v>
      </c>
      <c r="AS287" s="668"/>
      <c r="AT287" s="668"/>
      <c r="AV287" s="670">
        <f t="shared" si="35"/>
        <v>2800000</v>
      </c>
      <c r="AW287" s="670">
        <f t="shared" si="36"/>
        <v>0</v>
      </c>
      <c r="AX287" s="671">
        <f t="shared" si="30"/>
        <v>0</v>
      </c>
    </row>
    <row r="288" spans="1:50">
      <c r="A288" s="664" t="s">
        <v>494</v>
      </c>
      <c r="B288" s="664"/>
      <c r="C288" s="664"/>
      <c r="D288" s="664">
        <v>1160505001</v>
      </c>
      <c r="E288" s="664">
        <v>0</v>
      </c>
      <c r="F288" s="664">
        <v>47188</v>
      </c>
      <c r="G288" s="665">
        <v>43679</v>
      </c>
      <c r="H288" s="665">
        <v>44561</v>
      </c>
      <c r="I288" s="664">
        <v>722</v>
      </c>
      <c r="J288" s="666">
        <v>14475806</v>
      </c>
      <c r="K288" s="666">
        <v>1737096</v>
      </c>
      <c r="L288" s="666">
        <v>0</v>
      </c>
      <c r="M288" s="664" t="s">
        <v>495</v>
      </c>
      <c r="N288" s="666">
        <v>14475806</v>
      </c>
      <c r="O288" s="666">
        <v>1737096</v>
      </c>
      <c r="P288" s="666">
        <v>5225766</v>
      </c>
      <c r="Q288" s="664">
        <v>1</v>
      </c>
      <c r="R288" s="664" t="s">
        <v>496</v>
      </c>
      <c r="S288" s="664">
        <v>100</v>
      </c>
      <c r="T288" s="666">
        <v>14475806</v>
      </c>
      <c r="U288" s="666">
        <v>1737096</v>
      </c>
      <c r="V288" s="664">
        <v>300</v>
      </c>
      <c r="W288" s="666">
        <v>2664040</v>
      </c>
      <c r="X288" s="664">
        <v>15</v>
      </c>
      <c r="Y288" s="664">
        <v>1160902010</v>
      </c>
      <c r="Z288" s="664">
        <v>2023</v>
      </c>
      <c r="AA288" s="664">
        <v>12</v>
      </c>
      <c r="AB288" s="664">
        <v>5026003002</v>
      </c>
      <c r="AC288" s="664">
        <v>1160903005</v>
      </c>
      <c r="AD288" s="664">
        <v>0</v>
      </c>
      <c r="AE288" s="664">
        <v>0</v>
      </c>
      <c r="AF288" s="664">
        <v>0</v>
      </c>
      <c r="AG288" s="664">
        <v>1160605001</v>
      </c>
      <c r="AH288" s="664">
        <v>722</v>
      </c>
      <c r="AI288" s="664" t="s">
        <v>499</v>
      </c>
      <c r="AJ288" s="667">
        <v>0.05</v>
      </c>
      <c r="AK288" s="668">
        <f t="shared" si="31"/>
        <v>723790.3</v>
      </c>
      <c r="AL288" s="668">
        <f t="shared" si="32"/>
        <v>723790.3</v>
      </c>
      <c r="AM288" s="668">
        <f t="shared" si="32"/>
        <v>723790.3</v>
      </c>
      <c r="AN288" s="668"/>
      <c r="AO288" s="668"/>
      <c r="AP288" s="668">
        <f t="shared" si="33"/>
        <v>43427.4</v>
      </c>
      <c r="AQ288" s="668">
        <f t="shared" si="34"/>
        <v>43427.4</v>
      </c>
      <c r="AR288" s="668">
        <f t="shared" si="34"/>
        <v>43427.4</v>
      </c>
      <c r="AS288" s="668"/>
      <c r="AT288" s="668"/>
      <c r="AV288" s="670">
        <f t="shared" si="35"/>
        <v>12304435.099999998</v>
      </c>
      <c r="AW288" s="670">
        <f t="shared" si="36"/>
        <v>1606813.8000000003</v>
      </c>
      <c r="AX288" s="671">
        <f t="shared" si="30"/>
        <v>0</v>
      </c>
    </row>
    <row r="289" spans="1:51">
      <c r="A289" s="664" t="s">
        <v>494</v>
      </c>
      <c r="B289" s="664"/>
      <c r="C289" s="664"/>
      <c r="D289" s="664">
        <v>1160505001</v>
      </c>
      <c r="E289" s="664">
        <v>0</v>
      </c>
      <c r="F289" s="664">
        <v>47084</v>
      </c>
      <c r="G289" s="665">
        <v>43658</v>
      </c>
      <c r="H289" s="665">
        <v>44512</v>
      </c>
      <c r="I289" s="664">
        <v>770</v>
      </c>
      <c r="J289" s="666">
        <v>10714285</v>
      </c>
      <c r="K289" s="666">
        <v>1482147</v>
      </c>
      <c r="L289" s="666">
        <v>0</v>
      </c>
      <c r="M289" s="664" t="s">
        <v>495</v>
      </c>
      <c r="N289" s="666">
        <v>10714285</v>
      </c>
      <c r="O289" s="666">
        <v>1482147</v>
      </c>
      <c r="P289" s="666">
        <v>4125000</v>
      </c>
      <c r="Q289" s="664">
        <v>1</v>
      </c>
      <c r="R289" s="664" t="s">
        <v>496</v>
      </c>
      <c r="S289" s="664">
        <v>100</v>
      </c>
      <c r="T289" s="666">
        <v>10714285</v>
      </c>
      <c r="U289" s="666">
        <v>1482147</v>
      </c>
      <c r="V289" s="664">
        <v>300</v>
      </c>
      <c r="W289" s="666">
        <v>21966433</v>
      </c>
      <c r="X289" s="664">
        <v>15</v>
      </c>
      <c r="Y289" s="664">
        <v>1160902010</v>
      </c>
      <c r="Z289" s="664">
        <v>2023</v>
      </c>
      <c r="AA289" s="664">
        <v>12</v>
      </c>
      <c r="AB289" s="664">
        <v>5026003002</v>
      </c>
      <c r="AC289" s="664">
        <v>1160903005</v>
      </c>
      <c r="AD289" s="664">
        <v>0</v>
      </c>
      <c r="AE289" s="664">
        <v>0</v>
      </c>
      <c r="AF289" s="664">
        <v>0</v>
      </c>
      <c r="AG289" s="664">
        <v>1160605001</v>
      </c>
      <c r="AH289" s="664">
        <v>770</v>
      </c>
      <c r="AI289" s="664" t="s">
        <v>499</v>
      </c>
      <c r="AJ289" s="667">
        <v>0.05</v>
      </c>
      <c r="AK289" s="668">
        <f t="shared" si="31"/>
        <v>535714.25</v>
      </c>
      <c r="AL289" s="668">
        <f t="shared" si="32"/>
        <v>535714.25</v>
      </c>
      <c r="AM289" s="668">
        <f t="shared" si="32"/>
        <v>535714.25</v>
      </c>
      <c r="AN289" s="668"/>
      <c r="AO289" s="668"/>
      <c r="AP289" s="668">
        <f t="shared" si="33"/>
        <v>37053.675000000003</v>
      </c>
      <c r="AQ289" s="668">
        <f t="shared" si="34"/>
        <v>37053.675000000003</v>
      </c>
      <c r="AR289" s="668">
        <f t="shared" si="34"/>
        <v>37053.675000000003</v>
      </c>
      <c r="AS289" s="668"/>
      <c r="AT289" s="668"/>
      <c r="AV289" s="670">
        <f t="shared" si="35"/>
        <v>9107142.25</v>
      </c>
      <c r="AW289" s="670">
        <f t="shared" si="36"/>
        <v>1370985.9749999999</v>
      </c>
      <c r="AX289" s="671">
        <f t="shared" si="30"/>
        <v>0</v>
      </c>
    </row>
    <row r="290" spans="1:51">
      <c r="A290" s="664" t="s">
        <v>494</v>
      </c>
      <c r="B290" s="664"/>
      <c r="C290" s="664"/>
      <c r="D290" s="664">
        <v>1160405004</v>
      </c>
      <c r="E290" s="664">
        <v>47167</v>
      </c>
      <c r="F290" s="664">
        <v>47168</v>
      </c>
      <c r="G290" s="665">
        <v>43674</v>
      </c>
      <c r="H290" s="665">
        <v>44770</v>
      </c>
      <c r="I290" s="664">
        <v>514</v>
      </c>
      <c r="J290" s="666">
        <v>161265483</v>
      </c>
      <c r="K290" s="666">
        <v>87083352</v>
      </c>
      <c r="L290" s="666">
        <v>573671000</v>
      </c>
      <c r="M290" s="664" t="s">
        <v>495</v>
      </c>
      <c r="N290" s="666">
        <v>0</v>
      </c>
      <c r="O290" s="666">
        <v>87083352</v>
      </c>
      <c r="P290" s="666">
        <v>41445229</v>
      </c>
      <c r="Q290" s="664">
        <v>2</v>
      </c>
      <c r="R290" s="664" t="s">
        <v>496</v>
      </c>
      <c r="S290" s="664">
        <v>100</v>
      </c>
      <c r="T290" s="666">
        <v>0</v>
      </c>
      <c r="U290" s="666">
        <v>87083352</v>
      </c>
      <c r="V290" s="664">
        <v>300</v>
      </c>
      <c r="W290" s="666">
        <v>11801621</v>
      </c>
      <c r="X290" s="664">
        <v>5</v>
      </c>
      <c r="Y290" s="664">
        <v>1160902008</v>
      </c>
      <c r="Z290" s="664">
        <v>2023</v>
      </c>
      <c r="AA290" s="664">
        <v>12</v>
      </c>
      <c r="AB290" s="664">
        <v>5026003002</v>
      </c>
      <c r="AC290" s="664">
        <v>1160903005</v>
      </c>
      <c r="AD290" s="664">
        <v>0</v>
      </c>
      <c r="AE290" s="664">
        <v>0</v>
      </c>
      <c r="AF290" s="664">
        <v>1</v>
      </c>
      <c r="AG290" s="664">
        <v>1160605001</v>
      </c>
      <c r="AH290" s="664">
        <v>514</v>
      </c>
      <c r="AI290" s="664" t="s">
        <v>503</v>
      </c>
      <c r="AJ290" s="667">
        <v>0</v>
      </c>
      <c r="AK290" s="668">
        <f t="shared" si="31"/>
        <v>0</v>
      </c>
      <c r="AL290" s="668">
        <f t="shared" si="32"/>
        <v>0</v>
      </c>
      <c r="AM290" s="668">
        <f t="shared" si="32"/>
        <v>0</v>
      </c>
      <c r="AN290" s="668"/>
      <c r="AO290" s="668"/>
      <c r="AP290" s="668">
        <f t="shared" si="33"/>
        <v>0</v>
      </c>
      <c r="AQ290" s="668">
        <f t="shared" si="34"/>
        <v>0</v>
      </c>
      <c r="AR290" s="668">
        <f t="shared" si="34"/>
        <v>0</v>
      </c>
      <c r="AS290" s="668"/>
      <c r="AT290" s="668"/>
      <c r="AV290" s="670">
        <f t="shared" si="35"/>
        <v>161265483</v>
      </c>
      <c r="AW290" s="670">
        <f t="shared" si="36"/>
        <v>87083352</v>
      </c>
      <c r="AX290" s="671">
        <f t="shared" si="30"/>
        <v>161265483</v>
      </c>
      <c r="AY290" s="671">
        <f>+AX290-L290</f>
        <v>-412405517</v>
      </c>
    </row>
    <row r="291" spans="1:51">
      <c r="A291" s="664" t="s">
        <v>494</v>
      </c>
      <c r="B291" s="664"/>
      <c r="C291" s="664"/>
      <c r="D291" s="664">
        <v>1160405004</v>
      </c>
      <c r="E291" s="664">
        <v>0</v>
      </c>
      <c r="F291" s="664">
        <v>36626</v>
      </c>
      <c r="G291" s="665">
        <v>43674</v>
      </c>
      <c r="H291" s="665">
        <v>44770</v>
      </c>
      <c r="I291" s="664">
        <v>514</v>
      </c>
      <c r="J291" s="666">
        <v>0</v>
      </c>
      <c r="K291" s="666">
        <v>59046090</v>
      </c>
      <c r="L291" s="666">
        <v>0</v>
      </c>
      <c r="M291" s="664" t="s">
        <v>495</v>
      </c>
      <c r="N291" s="666">
        <v>0</v>
      </c>
      <c r="O291" s="666">
        <v>59046090</v>
      </c>
      <c r="P291" s="666">
        <v>0</v>
      </c>
      <c r="Q291" s="664">
        <v>2</v>
      </c>
      <c r="R291" s="664" t="s">
        <v>496</v>
      </c>
      <c r="S291" s="664">
        <v>100</v>
      </c>
      <c r="T291" s="666">
        <v>0</v>
      </c>
      <c r="U291" s="666">
        <v>59046090</v>
      </c>
      <c r="V291" s="664">
        <v>300</v>
      </c>
      <c r="W291" s="666">
        <v>11801621</v>
      </c>
      <c r="X291" s="664">
        <v>5</v>
      </c>
      <c r="Y291" s="664">
        <v>1160902008</v>
      </c>
      <c r="Z291" s="664">
        <v>2023</v>
      </c>
      <c r="AA291" s="664">
        <v>12</v>
      </c>
      <c r="AB291" s="664">
        <v>5026003002</v>
      </c>
      <c r="AC291" s="664">
        <v>1160903005</v>
      </c>
      <c r="AD291" s="664">
        <v>0</v>
      </c>
      <c r="AE291" s="664">
        <v>0</v>
      </c>
      <c r="AF291" s="664">
        <v>1</v>
      </c>
      <c r="AG291" s="664">
        <v>1160605001</v>
      </c>
      <c r="AH291" s="664">
        <v>514</v>
      </c>
      <c r="AI291" s="664" t="s">
        <v>503</v>
      </c>
      <c r="AJ291" s="667">
        <v>0</v>
      </c>
      <c r="AK291" s="668">
        <f t="shared" si="31"/>
        <v>0</v>
      </c>
      <c r="AL291" s="668">
        <f t="shared" si="32"/>
        <v>0</v>
      </c>
      <c r="AM291" s="668">
        <f t="shared" si="32"/>
        <v>0</v>
      </c>
      <c r="AN291" s="668"/>
      <c r="AO291" s="668"/>
      <c r="AP291" s="668">
        <f t="shared" si="33"/>
        <v>0</v>
      </c>
      <c r="AQ291" s="668">
        <f t="shared" si="34"/>
        <v>0</v>
      </c>
      <c r="AR291" s="668">
        <f t="shared" si="34"/>
        <v>0</v>
      </c>
      <c r="AS291" s="668"/>
      <c r="AT291" s="668"/>
      <c r="AV291" s="670">
        <f t="shared" si="35"/>
        <v>0</v>
      </c>
      <c r="AW291" s="670">
        <f t="shared" si="36"/>
        <v>59046090</v>
      </c>
      <c r="AX291" s="671">
        <f t="shared" si="30"/>
        <v>0</v>
      </c>
    </row>
    <row r="292" spans="1:51">
      <c r="A292" s="664" t="s">
        <v>494</v>
      </c>
      <c r="B292" s="664"/>
      <c r="C292" s="664"/>
      <c r="D292" s="664">
        <v>1160505001</v>
      </c>
      <c r="E292" s="664">
        <v>0</v>
      </c>
      <c r="F292" s="664">
        <v>40904</v>
      </c>
      <c r="G292" s="665">
        <v>42710</v>
      </c>
      <c r="H292" s="665">
        <v>43440</v>
      </c>
      <c r="I292" s="664">
        <v>1826</v>
      </c>
      <c r="J292" s="666">
        <v>2150000</v>
      </c>
      <c r="K292" s="666">
        <v>206045</v>
      </c>
      <c r="L292" s="666">
        <v>0</v>
      </c>
      <c r="M292" s="664" t="s">
        <v>495</v>
      </c>
      <c r="N292" s="666">
        <v>2150000</v>
      </c>
      <c r="O292" s="666">
        <v>206045</v>
      </c>
      <c r="P292" s="666">
        <v>1962950</v>
      </c>
      <c r="Q292" s="664">
        <v>1</v>
      </c>
      <c r="R292" s="664" t="s">
        <v>496</v>
      </c>
      <c r="S292" s="664">
        <v>100</v>
      </c>
      <c r="T292" s="666">
        <v>2150000</v>
      </c>
      <c r="U292" s="666">
        <v>206045</v>
      </c>
      <c r="V292" s="664">
        <v>300</v>
      </c>
      <c r="W292" s="666">
        <v>2409425</v>
      </c>
      <c r="X292" s="664">
        <v>2</v>
      </c>
      <c r="Y292" s="664">
        <v>1160902010</v>
      </c>
      <c r="Z292" s="664">
        <v>2023</v>
      </c>
      <c r="AA292" s="664">
        <v>12</v>
      </c>
      <c r="AB292" s="664">
        <v>5026003002</v>
      </c>
      <c r="AC292" s="664">
        <v>1160903005</v>
      </c>
      <c r="AD292" s="664">
        <v>0</v>
      </c>
      <c r="AE292" s="664">
        <v>0</v>
      </c>
      <c r="AF292" s="664">
        <v>0</v>
      </c>
      <c r="AG292" s="664">
        <v>1160605001</v>
      </c>
      <c r="AH292" s="664">
        <v>1826</v>
      </c>
      <c r="AI292" s="664" t="s">
        <v>497</v>
      </c>
      <c r="AJ292" s="667">
        <v>0.01</v>
      </c>
      <c r="AK292" s="668">
        <f t="shared" si="31"/>
        <v>21500</v>
      </c>
      <c r="AL292" s="668">
        <f t="shared" si="32"/>
        <v>21500</v>
      </c>
      <c r="AM292" s="668">
        <f t="shared" si="32"/>
        <v>21500</v>
      </c>
      <c r="AN292" s="668"/>
      <c r="AO292" s="668"/>
      <c r="AP292" s="668">
        <f t="shared" si="33"/>
        <v>1030.2249999999999</v>
      </c>
      <c r="AQ292" s="668">
        <f t="shared" si="34"/>
        <v>1030.2249999999999</v>
      </c>
      <c r="AR292" s="668">
        <f t="shared" si="34"/>
        <v>1030.2249999999999</v>
      </c>
      <c r="AS292" s="668"/>
      <c r="AT292" s="668"/>
      <c r="AV292" s="670">
        <f t="shared" si="35"/>
        <v>2085500</v>
      </c>
      <c r="AW292" s="670">
        <f t="shared" si="36"/>
        <v>202954.32499999998</v>
      </c>
      <c r="AX292" s="671">
        <f t="shared" si="30"/>
        <v>0</v>
      </c>
    </row>
    <row r="293" spans="1:51">
      <c r="A293" s="664" t="s">
        <v>494</v>
      </c>
      <c r="B293" s="664"/>
      <c r="C293" s="664"/>
      <c r="D293" s="664">
        <v>1160505001</v>
      </c>
      <c r="E293" s="664">
        <v>0</v>
      </c>
      <c r="F293" s="664">
        <v>43184</v>
      </c>
      <c r="G293" s="665">
        <v>43090</v>
      </c>
      <c r="H293" s="665">
        <v>43820</v>
      </c>
      <c r="I293" s="664">
        <v>1451</v>
      </c>
      <c r="J293" s="666">
        <v>4000000</v>
      </c>
      <c r="K293" s="666">
        <v>799992</v>
      </c>
      <c r="L293" s="666">
        <v>0</v>
      </c>
      <c r="M293" s="664" t="s">
        <v>495</v>
      </c>
      <c r="N293" s="666">
        <v>4000000</v>
      </c>
      <c r="O293" s="666">
        <v>799992</v>
      </c>
      <c r="P293" s="666">
        <v>2902000</v>
      </c>
      <c r="Q293" s="664">
        <v>1</v>
      </c>
      <c r="R293" s="664" t="s">
        <v>496</v>
      </c>
      <c r="S293" s="664">
        <v>100</v>
      </c>
      <c r="T293" s="666">
        <v>4000000</v>
      </c>
      <c r="U293" s="666">
        <v>799992</v>
      </c>
      <c r="V293" s="664">
        <v>300</v>
      </c>
      <c r="W293" s="666">
        <v>2409425</v>
      </c>
      <c r="X293" s="664">
        <v>2</v>
      </c>
      <c r="Y293" s="664">
        <v>1160902010</v>
      </c>
      <c r="Z293" s="664">
        <v>2023</v>
      </c>
      <c r="AA293" s="664">
        <v>12</v>
      </c>
      <c r="AB293" s="664">
        <v>5026003002</v>
      </c>
      <c r="AC293" s="664">
        <v>1160903005</v>
      </c>
      <c r="AD293" s="664">
        <v>0</v>
      </c>
      <c r="AE293" s="664">
        <v>0</v>
      </c>
      <c r="AF293" s="664">
        <v>0</v>
      </c>
      <c r="AG293" s="664">
        <v>1160605001</v>
      </c>
      <c r="AH293" s="664">
        <v>1826</v>
      </c>
      <c r="AI293" s="664" t="s">
        <v>497</v>
      </c>
      <c r="AJ293" s="667">
        <v>0.01</v>
      </c>
      <c r="AK293" s="668">
        <f t="shared" si="31"/>
        <v>40000</v>
      </c>
      <c r="AL293" s="668">
        <f t="shared" si="32"/>
        <v>40000</v>
      </c>
      <c r="AM293" s="668">
        <f t="shared" si="32"/>
        <v>40000</v>
      </c>
      <c r="AN293" s="668"/>
      <c r="AO293" s="668"/>
      <c r="AP293" s="668">
        <f t="shared" si="33"/>
        <v>3999.96</v>
      </c>
      <c r="AQ293" s="668">
        <f t="shared" si="34"/>
        <v>3999.96</v>
      </c>
      <c r="AR293" s="668">
        <f t="shared" si="34"/>
        <v>3999.96</v>
      </c>
      <c r="AS293" s="668"/>
      <c r="AT293" s="668"/>
      <c r="AV293" s="670">
        <f t="shared" si="35"/>
        <v>3880000</v>
      </c>
      <c r="AW293" s="670">
        <f t="shared" si="36"/>
        <v>787992.12000000011</v>
      </c>
      <c r="AX293" s="671">
        <f t="shared" si="30"/>
        <v>0</v>
      </c>
    </row>
    <row r="294" spans="1:51">
      <c r="A294" s="664" t="s">
        <v>494</v>
      </c>
      <c r="B294" s="664"/>
      <c r="C294" s="664"/>
      <c r="D294" s="664">
        <v>1160505002</v>
      </c>
      <c r="E294" s="664">
        <v>0</v>
      </c>
      <c r="F294" s="664">
        <v>43136</v>
      </c>
      <c r="G294" s="665">
        <v>43081</v>
      </c>
      <c r="H294" s="665">
        <v>43446</v>
      </c>
      <c r="I294" s="664">
        <v>1820</v>
      </c>
      <c r="J294" s="666">
        <v>2145955</v>
      </c>
      <c r="K294" s="666">
        <v>26825</v>
      </c>
      <c r="L294" s="666">
        <v>0</v>
      </c>
      <c r="M294" s="664" t="s">
        <v>495</v>
      </c>
      <c r="N294" s="666">
        <v>2145955</v>
      </c>
      <c r="O294" s="666">
        <v>26825</v>
      </c>
      <c r="P294" s="666">
        <v>1952819</v>
      </c>
      <c r="Q294" s="664">
        <v>1</v>
      </c>
      <c r="R294" s="664" t="s">
        <v>496</v>
      </c>
      <c r="S294" s="664">
        <v>100</v>
      </c>
      <c r="T294" s="666">
        <v>2145955</v>
      </c>
      <c r="U294" s="666">
        <v>26825</v>
      </c>
      <c r="V294" s="664">
        <v>300</v>
      </c>
      <c r="W294" s="666">
        <v>2409425</v>
      </c>
      <c r="X294" s="664">
        <v>6</v>
      </c>
      <c r="Y294" s="664">
        <v>1160902010</v>
      </c>
      <c r="Z294" s="664">
        <v>2023</v>
      </c>
      <c r="AA294" s="664">
        <v>12</v>
      </c>
      <c r="AB294" s="664">
        <v>5026003002</v>
      </c>
      <c r="AC294" s="664">
        <v>1160903005</v>
      </c>
      <c r="AD294" s="664">
        <v>0</v>
      </c>
      <c r="AE294" s="664">
        <v>0</v>
      </c>
      <c r="AF294" s="664">
        <v>0</v>
      </c>
      <c r="AG294" s="664">
        <v>1160605001</v>
      </c>
      <c r="AH294" s="664">
        <v>1826</v>
      </c>
      <c r="AI294" s="664" t="s">
        <v>497</v>
      </c>
      <c r="AJ294" s="667">
        <v>0.01</v>
      </c>
      <c r="AK294" s="668">
        <f t="shared" si="31"/>
        <v>21459.55</v>
      </c>
      <c r="AL294" s="668">
        <f t="shared" si="32"/>
        <v>21459.55</v>
      </c>
      <c r="AM294" s="668">
        <f t="shared" si="32"/>
        <v>21459.55</v>
      </c>
      <c r="AN294" s="668"/>
      <c r="AO294" s="668"/>
      <c r="AP294" s="668">
        <f t="shared" si="33"/>
        <v>134.125</v>
      </c>
      <c r="AQ294" s="668">
        <f t="shared" si="34"/>
        <v>134.125</v>
      </c>
      <c r="AR294" s="668">
        <f t="shared" si="34"/>
        <v>134.125</v>
      </c>
      <c r="AS294" s="668"/>
      <c r="AT294" s="668"/>
      <c r="AV294" s="670">
        <f t="shared" si="35"/>
        <v>2081576.3500000003</v>
      </c>
      <c r="AW294" s="670">
        <f t="shared" si="36"/>
        <v>26422.625</v>
      </c>
      <c r="AX294" s="671">
        <f t="shared" si="30"/>
        <v>0</v>
      </c>
    </row>
    <row r="295" spans="1:51">
      <c r="A295" s="664" t="s">
        <v>494</v>
      </c>
      <c r="B295" s="664"/>
      <c r="C295" s="664"/>
      <c r="D295" s="664">
        <v>1160505004</v>
      </c>
      <c r="E295" s="664">
        <v>26030</v>
      </c>
      <c r="F295" s="664">
        <v>435</v>
      </c>
      <c r="G295" s="665">
        <v>41904</v>
      </c>
      <c r="H295" s="665">
        <v>43000</v>
      </c>
      <c r="I295" s="664">
        <v>2260</v>
      </c>
      <c r="J295" s="666">
        <v>7100000</v>
      </c>
      <c r="K295" s="666">
        <v>1956829</v>
      </c>
      <c r="L295" s="666">
        <v>0</v>
      </c>
      <c r="M295" s="664" t="s">
        <v>495</v>
      </c>
      <c r="N295" s="666">
        <v>7100000</v>
      </c>
      <c r="O295" s="666">
        <v>1956829</v>
      </c>
      <c r="P295" s="666">
        <v>8023000</v>
      </c>
      <c r="Q295" s="664">
        <v>1</v>
      </c>
      <c r="R295" s="664" t="s">
        <v>496</v>
      </c>
      <c r="S295" s="664">
        <v>100</v>
      </c>
      <c r="T295" s="666">
        <v>7100000</v>
      </c>
      <c r="U295" s="666">
        <v>1956829</v>
      </c>
      <c r="V295" s="664">
        <v>300</v>
      </c>
      <c r="W295" s="666">
        <v>4252797</v>
      </c>
      <c r="X295" s="664">
        <v>5</v>
      </c>
      <c r="Y295" s="664">
        <v>1160902010</v>
      </c>
      <c r="Z295" s="664">
        <v>2023</v>
      </c>
      <c r="AA295" s="664">
        <v>12</v>
      </c>
      <c r="AB295" s="664">
        <v>5026003002</v>
      </c>
      <c r="AC295" s="664">
        <v>1160903005</v>
      </c>
      <c r="AD295" s="664">
        <v>0</v>
      </c>
      <c r="AE295" s="664">
        <v>0</v>
      </c>
      <c r="AF295" s="664">
        <v>0</v>
      </c>
      <c r="AG295" s="664">
        <v>1160605001</v>
      </c>
      <c r="AH295" s="664">
        <v>2260</v>
      </c>
      <c r="AI295" s="664" t="s">
        <v>497</v>
      </c>
      <c r="AJ295" s="667">
        <v>0.01</v>
      </c>
      <c r="AK295" s="668">
        <f t="shared" si="31"/>
        <v>71000</v>
      </c>
      <c r="AL295" s="668">
        <f t="shared" si="32"/>
        <v>71000</v>
      </c>
      <c r="AM295" s="668">
        <f t="shared" si="32"/>
        <v>71000</v>
      </c>
      <c r="AN295" s="668"/>
      <c r="AO295" s="668"/>
      <c r="AP295" s="668">
        <f t="shared" si="33"/>
        <v>9784.1450000000004</v>
      </c>
      <c r="AQ295" s="668">
        <f t="shared" si="34"/>
        <v>9784.1450000000004</v>
      </c>
      <c r="AR295" s="668">
        <f t="shared" si="34"/>
        <v>9784.1450000000004</v>
      </c>
      <c r="AS295" s="668"/>
      <c r="AT295" s="668"/>
      <c r="AV295" s="670">
        <f t="shared" si="35"/>
        <v>6887000</v>
      </c>
      <c r="AW295" s="670">
        <f t="shared" si="36"/>
        <v>1927476.5649999999</v>
      </c>
      <c r="AX295" s="671">
        <f t="shared" si="30"/>
        <v>0</v>
      </c>
    </row>
    <row r="296" spans="1:51">
      <c r="A296" s="664" t="s">
        <v>494</v>
      </c>
      <c r="B296" s="664"/>
      <c r="C296" s="664"/>
      <c r="D296" s="664">
        <v>1160505002</v>
      </c>
      <c r="E296" s="664">
        <v>0</v>
      </c>
      <c r="F296" s="664">
        <v>46740</v>
      </c>
      <c r="G296" s="665">
        <v>43603</v>
      </c>
      <c r="H296" s="665">
        <v>43969</v>
      </c>
      <c r="I296" s="664">
        <v>1304</v>
      </c>
      <c r="J296" s="666">
        <v>770000</v>
      </c>
      <c r="K296" s="666">
        <v>92400</v>
      </c>
      <c r="L296" s="666">
        <v>0</v>
      </c>
      <c r="M296" s="664" t="s">
        <v>495</v>
      </c>
      <c r="N296" s="666">
        <v>770000</v>
      </c>
      <c r="O296" s="666">
        <v>92400</v>
      </c>
      <c r="P296" s="666">
        <v>502040</v>
      </c>
      <c r="Q296" s="664">
        <v>1</v>
      </c>
      <c r="R296" s="664" t="s">
        <v>496</v>
      </c>
      <c r="S296" s="664">
        <v>100</v>
      </c>
      <c r="T296" s="666">
        <v>770000</v>
      </c>
      <c r="U296" s="666">
        <v>92400</v>
      </c>
      <c r="V296" s="664">
        <v>300</v>
      </c>
      <c r="W296" s="666">
        <v>6585705</v>
      </c>
      <c r="X296" s="664">
        <v>17</v>
      </c>
      <c r="Y296" s="664">
        <v>1160902010</v>
      </c>
      <c r="Z296" s="664">
        <v>2023</v>
      </c>
      <c r="AA296" s="664">
        <v>12</v>
      </c>
      <c r="AB296" s="664">
        <v>5026003002</v>
      </c>
      <c r="AC296" s="664">
        <v>1160903005</v>
      </c>
      <c r="AD296" s="664">
        <v>0</v>
      </c>
      <c r="AE296" s="664">
        <v>0</v>
      </c>
      <c r="AF296" s="664">
        <v>0</v>
      </c>
      <c r="AG296" s="664">
        <v>1160605001</v>
      </c>
      <c r="AH296" s="664">
        <v>1304</v>
      </c>
      <c r="AI296" s="664" t="s">
        <v>497</v>
      </c>
      <c r="AJ296" s="667">
        <v>0.01</v>
      </c>
      <c r="AK296" s="668">
        <f t="shared" si="31"/>
        <v>7700</v>
      </c>
      <c r="AL296" s="668">
        <f t="shared" si="32"/>
        <v>7700</v>
      </c>
      <c r="AM296" s="668">
        <f t="shared" si="32"/>
        <v>7700</v>
      </c>
      <c r="AN296" s="668"/>
      <c r="AO296" s="668"/>
      <c r="AP296" s="668">
        <f t="shared" si="33"/>
        <v>462</v>
      </c>
      <c r="AQ296" s="668">
        <f t="shared" si="34"/>
        <v>462</v>
      </c>
      <c r="AR296" s="668">
        <f t="shared" si="34"/>
        <v>462</v>
      </c>
      <c r="AS296" s="668"/>
      <c r="AT296" s="668"/>
      <c r="AV296" s="670">
        <f t="shared" si="35"/>
        <v>746900</v>
      </c>
      <c r="AW296" s="670">
        <f t="shared" si="36"/>
        <v>91014</v>
      </c>
      <c r="AX296" s="671">
        <f t="shared" si="30"/>
        <v>0</v>
      </c>
    </row>
    <row r="297" spans="1:51">
      <c r="A297" s="664" t="s">
        <v>494</v>
      </c>
      <c r="B297" s="664"/>
      <c r="C297" s="664"/>
      <c r="D297" s="664">
        <v>1160505001</v>
      </c>
      <c r="E297" s="664">
        <v>0</v>
      </c>
      <c r="F297" s="664">
        <v>45044</v>
      </c>
      <c r="G297" s="665">
        <v>43304</v>
      </c>
      <c r="H297" s="665">
        <v>43669</v>
      </c>
      <c r="I297" s="664">
        <v>1599</v>
      </c>
      <c r="J297" s="666">
        <v>1000000</v>
      </c>
      <c r="K297" s="666">
        <v>180000</v>
      </c>
      <c r="L297" s="666">
        <v>0</v>
      </c>
      <c r="M297" s="664" t="s">
        <v>495</v>
      </c>
      <c r="N297" s="666">
        <v>1000000</v>
      </c>
      <c r="O297" s="666">
        <v>180000</v>
      </c>
      <c r="P297" s="666">
        <v>799500</v>
      </c>
      <c r="Q297" s="664">
        <v>1</v>
      </c>
      <c r="R297" s="664" t="s">
        <v>496</v>
      </c>
      <c r="S297" s="664">
        <v>100</v>
      </c>
      <c r="T297" s="666">
        <v>1000000</v>
      </c>
      <c r="U297" s="666">
        <v>180000</v>
      </c>
      <c r="V297" s="664">
        <v>100</v>
      </c>
      <c r="W297" s="666">
        <v>969793</v>
      </c>
      <c r="X297" s="664">
        <v>2</v>
      </c>
      <c r="Y297" s="664">
        <v>1160902010</v>
      </c>
      <c r="Z297" s="664">
        <v>2023</v>
      </c>
      <c r="AA297" s="664">
        <v>12</v>
      </c>
      <c r="AB297" s="664">
        <v>5026003002</v>
      </c>
      <c r="AC297" s="664">
        <v>1160903005</v>
      </c>
      <c r="AD297" s="664">
        <v>0</v>
      </c>
      <c r="AE297" s="664">
        <v>0</v>
      </c>
      <c r="AF297" s="664">
        <v>0</v>
      </c>
      <c r="AG297" s="664">
        <v>1160605001</v>
      </c>
      <c r="AH297" s="664">
        <v>1599</v>
      </c>
      <c r="AI297" s="664" t="s">
        <v>497</v>
      </c>
      <c r="AJ297" s="667">
        <v>0.01</v>
      </c>
      <c r="AK297" s="668">
        <f t="shared" si="31"/>
        <v>10000</v>
      </c>
      <c r="AL297" s="668">
        <f t="shared" si="32"/>
        <v>10000</v>
      </c>
      <c r="AM297" s="668">
        <f t="shared" si="32"/>
        <v>10000</v>
      </c>
      <c r="AN297" s="668"/>
      <c r="AO297" s="668"/>
      <c r="AP297" s="668">
        <f t="shared" si="33"/>
        <v>900</v>
      </c>
      <c r="AQ297" s="668">
        <f t="shared" si="34"/>
        <v>900</v>
      </c>
      <c r="AR297" s="668">
        <f t="shared" si="34"/>
        <v>900</v>
      </c>
      <c r="AS297" s="668"/>
      <c r="AT297" s="668"/>
      <c r="AV297" s="670">
        <f t="shared" si="35"/>
        <v>970000</v>
      </c>
      <c r="AW297" s="670">
        <f t="shared" si="36"/>
        <v>177300</v>
      </c>
      <c r="AX297" s="671">
        <f t="shared" si="30"/>
        <v>0</v>
      </c>
    </row>
    <row r="298" spans="1:51">
      <c r="A298" s="664" t="s">
        <v>494</v>
      </c>
      <c r="B298" s="664"/>
      <c r="C298" s="664"/>
      <c r="D298" s="664">
        <v>1160505001</v>
      </c>
      <c r="E298" s="664">
        <v>0</v>
      </c>
      <c r="F298" s="664">
        <v>46353</v>
      </c>
      <c r="G298" s="665">
        <v>43535</v>
      </c>
      <c r="H298" s="665">
        <v>44631</v>
      </c>
      <c r="I298" s="664">
        <v>651</v>
      </c>
      <c r="J298" s="666">
        <v>2100000</v>
      </c>
      <c r="K298" s="666">
        <v>756000</v>
      </c>
      <c r="L298" s="666">
        <v>0</v>
      </c>
      <c r="M298" s="664" t="s">
        <v>495</v>
      </c>
      <c r="N298" s="666">
        <v>2100000</v>
      </c>
      <c r="O298" s="666">
        <v>756000</v>
      </c>
      <c r="P298" s="666">
        <v>683550</v>
      </c>
      <c r="Q298" s="664">
        <v>1</v>
      </c>
      <c r="R298" s="664" t="s">
        <v>496</v>
      </c>
      <c r="S298" s="664">
        <v>100</v>
      </c>
      <c r="T298" s="666">
        <v>2100000</v>
      </c>
      <c r="U298" s="666">
        <v>756000</v>
      </c>
      <c r="V298" s="664">
        <v>100</v>
      </c>
      <c r="W298" s="666">
        <v>1020543</v>
      </c>
      <c r="X298" s="664">
        <v>14</v>
      </c>
      <c r="Y298" s="664">
        <v>1160902010</v>
      </c>
      <c r="Z298" s="664">
        <v>2023</v>
      </c>
      <c r="AA298" s="664">
        <v>12</v>
      </c>
      <c r="AB298" s="664">
        <v>5026003002</v>
      </c>
      <c r="AC298" s="664">
        <v>1160903005</v>
      </c>
      <c r="AD298" s="664">
        <v>0</v>
      </c>
      <c r="AE298" s="664">
        <v>0</v>
      </c>
      <c r="AF298" s="664">
        <v>0</v>
      </c>
      <c r="AG298" s="664">
        <v>1160605001</v>
      </c>
      <c r="AH298" s="664">
        <v>651</v>
      </c>
      <c r="AI298" s="664" t="s">
        <v>114</v>
      </c>
      <c r="AJ298" s="667">
        <v>0.5</v>
      </c>
      <c r="AK298" s="668">
        <f t="shared" si="31"/>
        <v>1050000</v>
      </c>
      <c r="AL298" s="668">
        <f t="shared" si="32"/>
        <v>1050000</v>
      </c>
      <c r="AM298" s="668"/>
      <c r="AN298" s="668"/>
      <c r="AO298" s="668"/>
      <c r="AP298" s="668">
        <f t="shared" si="33"/>
        <v>189000</v>
      </c>
      <c r="AQ298" s="668">
        <f t="shared" si="34"/>
        <v>189000</v>
      </c>
      <c r="AR298" s="668">
        <f t="shared" si="34"/>
        <v>189000</v>
      </c>
      <c r="AS298" s="668"/>
      <c r="AT298" s="668"/>
      <c r="AV298" s="670">
        <f t="shared" si="35"/>
        <v>0</v>
      </c>
      <c r="AW298" s="670">
        <f t="shared" si="36"/>
        <v>189000</v>
      </c>
      <c r="AX298" s="671">
        <f t="shared" si="30"/>
        <v>0</v>
      </c>
    </row>
    <row r="299" spans="1:51">
      <c r="A299" s="664" t="s">
        <v>494</v>
      </c>
      <c r="B299" s="664"/>
      <c r="C299" s="664"/>
      <c r="D299" s="664">
        <v>1160405001</v>
      </c>
      <c r="E299" s="664">
        <v>0</v>
      </c>
      <c r="F299" s="664">
        <v>40936</v>
      </c>
      <c r="G299" s="665">
        <v>42716</v>
      </c>
      <c r="H299" s="665">
        <v>44542</v>
      </c>
      <c r="I299" s="664">
        <v>740</v>
      </c>
      <c r="J299" s="666">
        <v>360000000</v>
      </c>
      <c r="K299" s="666">
        <v>126360000</v>
      </c>
      <c r="L299" s="666">
        <v>208468974</v>
      </c>
      <c r="M299" s="664" t="s">
        <v>495</v>
      </c>
      <c r="N299" s="666">
        <v>151531026</v>
      </c>
      <c r="O299" s="666">
        <v>126360000</v>
      </c>
      <c r="P299" s="666">
        <v>133200000</v>
      </c>
      <c r="Q299" s="664">
        <v>2</v>
      </c>
      <c r="R299" s="664" t="s">
        <v>496</v>
      </c>
      <c r="S299" s="664">
        <v>100</v>
      </c>
      <c r="T299" s="666">
        <v>151531026</v>
      </c>
      <c r="U299" s="666">
        <v>126360000</v>
      </c>
      <c r="V299" s="664">
        <v>100</v>
      </c>
      <c r="W299" s="666">
        <v>207556264</v>
      </c>
      <c r="X299" s="664">
        <v>2</v>
      </c>
      <c r="Y299" s="664">
        <v>1160902009</v>
      </c>
      <c r="Z299" s="664">
        <v>2023</v>
      </c>
      <c r="AA299" s="664">
        <v>12</v>
      </c>
      <c r="AB299" s="664">
        <v>5026003002</v>
      </c>
      <c r="AC299" s="664">
        <v>1160903005</v>
      </c>
      <c r="AD299" s="664">
        <v>0</v>
      </c>
      <c r="AE299" s="664">
        <v>0</v>
      </c>
      <c r="AF299" s="664">
        <v>1</v>
      </c>
      <c r="AG299" s="664">
        <v>1160605001</v>
      </c>
      <c r="AH299" s="664">
        <v>740</v>
      </c>
      <c r="AI299" s="664" t="s">
        <v>503</v>
      </c>
      <c r="AJ299" s="667">
        <v>0</v>
      </c>
      <c r="AK299" s="668">
        <f t="shared" si="31"/>
        <v>0</v>
      </c>
      <c r="AL299" s="668">
        <f t="shared" si="32"/>
        <v>0</v>
      </c>
      <c r="AM299" s="668">
        <f t="shared" si="32"/>
        <v>0</v>
      </c>
      <c r="AN299" s="668"/>
      <c r="AO299" s="668"/>
      <c r="AP299" s="668">
        <f t="shared" si="33"/>
        <v>0</v>
      </c>
      <c r="AQ299" s="668">
        <f t="shared" si="34"/>
        <v>0</v>
      </c>
      <c r="AR299" s="668">
        <f t="shared" si="34"/>
        <v>0</v>
      </c>
      <c r="AS299" s="668"/>
      <c r="AT299" s="668"/>
      <c r="AV299" s="670">
        <f t="shared" si="35"/>
        <v>360000000</v>
      </c>
      <c r="AW299" s="670">
        <f t="shared" si="36"/>
        <v>126360000</v>
      </c>
      <c r="AX299" s="671">
        <f t="shared" si="30"/>
        <v>208468974</v>
      </c>
      <c r="AY299" s="671">
        <f t="shared" ref="AY299:AY304" si="37">+AX299-L299</f>
        <v>0</v>
      </c>
    </row>
    <row r="300" spans="1:51">
      <c r="A300" s="664" t="s">
        <v>494</v>
      </c>
      <c r="B300" s="664"/>
      <c r="C300" s="664"/>
      <c r="D300" s="664">
        <v>1160405001</v>
      </c>
      <c r="E300" s="664">
        <v>0</v>
      </c>
      <c r="F300" s="664">
        <v>40938</v>
      </c>
      <c r="G300" s="665">
        <v>42716</v>
      </c>
      <c r="H300" s="665">
        <v>44542</v>
      </c>
      <c r="I300" s="664">
        <v>740</v>
      </c>
      <c r="J300" s="666">
        <v>322599843</v>
      </c>
      <c r="K300" s="666">
        <v>113232557</v>
      </c>
      <c r="L300" s="666">
        <v>186811273</v>
      </c>
      <c r="M300" s="664" t="s">
        <v>495</v>
      </c>
      <c r="N300" s="666">
        <v>135788570</v>
      </c>
      <c r="O300" s="666">
        <v>113232557</v>
      </c>
      <c r="P300" s="666">
        <v>119361942</v>
      </c>
      <c r="Q300" s="664">
        <v>2</v>
      </c>
      <c r="R300" s="664" t="s">
        <v>496</v>
      </c>
      <c r="S300" s="664">
        <v>100</v>
      </c>
      <c r="T300" s="666">
        <v>135788570</v>
      </c>
      <c r="U300" s="666">
        <v>113232557</v>
      </c>
      <c r="V300" s="664">
        <v>100</v>
      </c>
      <c r="W300" s="666">
        <v>207556264</v>
      </c>
      <c r="X300" s="664">
        <v>2</v>
      </c>
      <c r="Y300" s="664">
        <v>1160902009</v>
      </c>
      <c r="Z300" s="664">
        <v>2023</v>
      </c>
      <c r="AA300" s="664">
        <v>12</v>
      </c>
      <c r="AB300" s="664">
        <v>5026003002</v>
      </c>
      <c r="AC300" s="664">
        <v>1160903005</v>
      </c>
      <c r="AD300" s="664">
        <v>0</v>
      </c>
      <c r="AE300" s="664">
        <v>0</v>
      </c>
      <c r="AF300" s="664">
        <v>1</v>
      </c>
      <c r="AG300" s="664">
        <v>1160605001</v>
      </c>
      <c r="AH300" s="664">
        <v>740</v>
      </c>
      <c r="AI300" s="664" t="s">
        <v>503</v>
      </c>
      <c r="AJ300" s="667">
        <v>0</v>
      </c>
      <c r="AK300" s="668">
        <f t="shared" si="31"/>
        <v>0</v>
      </c>
      <c r="AL300" s="668">
        <f t="shared" si="32"/>
        <v>0</v>
      </c>
      <c r="AM300" s="668">
        <f t="shared" si="32"/>
        <v>0</v>
      </c>
      <c r="AN300" s="668"/>
      <c r="AO300" s="668"/>
      <c r="AP300" s="668">
        <f t="shared" si="33"/>
        <v>0</v>
      </c>
      <c r="AQ300" s="668">
        <f t="shared" si="34"/>
        <v>0</v>
      </c>
      <c r="AR300" s="668">
        <f t="shared" si="34"/>
        <v>0</v>
      </c>
      <c r="AS300" s="668"/>
      <c r="AT300" s="668"/>
      <c r="AV300" s="670">
        <f t="shared" si="35"/>
        <v>322599843</v>
      </c>
      <c r="AW300" s="670">
        <f t="shared" si="36"/>
        <v>113232557</v>
      </c>
      <c r="AX300" s="671">
        <f t="shared" si="30"/>
        <v>186811273</v>
      </c>
      <c r="AY300" s="671">
        <f t="shared" si="37"/>
        <v>0</v>
      </c>
    </row>
    <row r="301" spans="1:51">
      <c r="A301" s="664" t="s">
        <v>494</v>
      </c>
      <c r="B301" s="664"/>
      <c r="C301" s="664"/>
      <c r="D301" s="664">
        <v>1160405001</v>
      </c>
      <c r="E301" s="664">
        <v>0</v>
      </c>
      <c r="F301" s="664">
        <v>40948</v>
      </c>
      <c r="G301" s="665">
        <v>42720</v>
      </c>
      <c r="H301" s="665">
        <v>44546</v>
      </c>
      <c r="I301" s="664">
        <v>736</v>
      </c>
      <c r="J301" s="666">
        <v>37200000</v>
      </c>
      <c r="K301" s="666">
        <v>13124366</v>
      </c>
      <c r="L301" s="666">
        <v>21541794</v>
      </c>
      <c r="M301" s="664" t="s">
        <v>495</v>
      </c>
      <c r="N301" s="666">
        <v>15658206</v>
      </c>
      <c r="O301" s="666">
        <v>13124366</v>
      </c>
      <c r="P301" s="666">
        <v>13689600</v>
      </c>
      <c r="Q301" s="664">
        <v>2</v>
      </c>
      <c r="R301" s="664" t="s">
        <v>496</v>
      </c>
      <c r="S301" s="664">
        <v>100</v>
      </c>
      <c r="T301" s="666">
        <v>15658206</v>
      </c>
      <c r="U301" s="666">
        <v>13124366</v>
      </c>
      <c r="V301" s="664">
        <v>100</v>
      </c>
      <c r="W301" s="666">
        <v>207556264</v>
      </c>
      <c r="X301" s="664">
        <v>2</v>
      </c>
      <c r="Y301" s="664">
        <v>1160902009</v>
      </c>
      <c r="Z301" s="664">
        <v>2023</v>
      </c>
      <c r="AA301" s="664">
        <v>12</v>
      </c>
      <c r="AB301" s="664">
        <v>5026003002</v>
      </c>
      <c r="AC301" s="664">
        <v>1160903005</v>
      </c>
      <c r="AD301" s="664">
        <v>0</v>
      </c>
      <c r="AE301" s="664">
        <v>0</v>
      </c>
      <c r="AF301" s="664">
        <v>1</v>
      </c>
      <c r="AG301" s="664">
        <v>1160605001</v>
      </c>
      <c r="AH301" s="664">
        <v>740</v>
      </c>
      <c r="AI301" s="664" t="s">
        <v>503</v>
      </c>
      <c r="AJ301" s="667">
        <v>0</v>
      </c>
      <c r="AK301" s="668">
        <f t="shared" si="31"/>
        <v>0</v>
      </c>
      <c r="AL301" s="668">
        <f t="shared" si="32"/>
        <v>0</v>
      </c>
      <c r="AM301" s="668">
        <f t="shared" si="32"/>
        <v>0</v>
      </c>
      <c r="AN301" s="668"/>
      <c r="AO301" s="668"/>
      <c r="AP301" s="668">
        <f t="shared" si="33"/>
        <v>0</v>
      </c>
      <c r="AQ301" s="668">
        <f t="shared" si="34"/>
        <v>0</v>
      </c>
      <c r="AR301" s="668">
        <f t="shared" si="34"/>
        <v>0</v>
      </c>
      <c r="AS301" s="668"/>
      <c r="AT301" s="668"/>
      <c r="AV301" s="670">
        <f t="shared" si="35"/>
        <v>37200000</v>
      </c>
      <c r="AW301" s="670">
        <f t="shared" si="36"/>
        <v>13124366</v>
      </c>
      <c r="AX301" s="671">
        <f t="shared" si="30"/>
        <v>21541794</v>
      </c>
      <c r="AY301" s="671">
        <f t="shared" si="37"/>
        <v>0</v>
      </c>
    </row>
    <row r="302" spans="1:51">
      <c r="A302" s="664" t="s">
        <v>494</v>
      </c>
      <c r="B302" s="664"/>
      <c r="C302" s="664"/>
      <c r="D302" s="664">
        <v>1160405001</v>
      </c>
      <c r="E302" s="664">
        <v>0</v>
      </c>
      <c r="F302" s="664">
        <v>46491</v>
      </c>
      <c r="G302" s="665">
        <v>43554</v>
      </c>
      <c r="H302" s="665">
        <v>44650</v>
      </c>
      <c r="I302" s="664">
        <v>632</v>
      </c>
      <c r="J302" s="666">
        <v>50000000</v>
      </c>
      <c r="K302" s="666">
        <v>18000000</v>
      </c>
      <c r="L302" s="666">
        <v>28954024</v>
      </c>
      <c r="M302" s="664" t="s">
        <v>495</v>
      </c>
      <c r="N302" s="666">
        <v>21045976</v>
      </c>
      <c r="O302" s="666">
        <v>18000000</v>
      </c>
      <c r="P302" s="666">
        <v>15800000</v>
      </c>
      <c r="Q302" s="664">
        <v>2</v>
      </c>
      <c r="R302" s="664" t="s">
        <v>496</v>
      </c>
      <c r="S302" s="664">
        <v>100</v>
      </c>
      <c r="T302" s="666">
        <v>21045976</v>
      </c>
      <c r="U302" s="666">
        <v>18000000</v>
      </c>
      <c r="V302" s="664">
        <v>100</v>
      </c>
      <c r="W302" s="666">
        <v>207556264</v>
      </c>
      <c r="X302" s="664">
        <v>2</v>
      </c>
      <c r="Y302" s="664">
        <v>1160902009</v>
      </c>
      <c r="Z302" s="664">
        <v>2023</v>
      </c>
      <c r="AA302" s="664">
        <v>12</v>
      </c>
      <c r="AB302" s="664">
        <v>5026003002</v>
      </c>
      <c r="AC302" s="664">
        <v>1160903005</v>
      </c>
      <c r="AD302" s="664">
        <v>0</v>
      </c>
      <c r="AE302" s="664">
        <v>0</v>
      </c>
      <c r="AF302" s="664">
        <v>1</v>
      </c>
      <c r="AG302" s="664">
        <v>1160605001</v>
      </c>
      <c r="AH302" s="664">
        <v>740</v>
      </c>
      <c r="AI302" s="664" t="s">
        <v>503</v>
      </c>
      <c r="AJ302" s="667">
        <v>0</v>
      </c>
      <c r="AK302" s="668">
        <f t="shared" si="31"/>
        <v>0</v>
      </c>
      <c r="AL302" s="668">
        <f t="shared" si="32"/>
        <v>0</v>
      </c>
      <c r="AM302" s="668">
        <f t="shared" si="32"/>
        <v>0</v>
      </c>
      <c r="AN302" s="668"/>
      <c r="AO302" s="668"/>
      <c r="AP302" s="668">
        <f t="shared" si="33"/>
        <v>0</v>
      </c>
      <c r="AQ302" s="668">
        <f t="shared" si="34"/>
        <v>0</v>
      </c>
      <c r="AR302" s="668">
        <f t="shared" si="34"/>
        <v>0</v>
      </c>
      <c r="AS302" s="668"/>
      <c r="AT302" s="668"/>
      <c r="AV302" s="670">
        <f t="shared" si="35"/>
        <v>50000000</v>
      </c>
      <c r="AW302" s="670">
        <f t="shared" si="36"/>
        <v>18000000</v>
      </c>
      <c r="AX302" s="671">
        <f t="shared" si="30"/>
        <v>28954024</v>
      </c>
      <c r="AY302" s="671">
        <f t="shared" si="37"/>
        <v>0</v>
      </c>
    </row>
    <row r="303" spans="1:51">
      <c r="A303" s="664" t="s">
        <v>494</v>
      </c>
      <c r="B303" s="664"/>
      <c r="C303" s="664"/>
      <c r="D303" s="664">
        <v>1160405001</v>
      </c>
      <c r="E303" s="664">
        <v>0</v>
      </c>
      <c r="F303" s="664">
        <v>46496</v>
      </c>
      <c r="G303" s="665">
        <v>43554</v>
      </c>
      <c r="H303" s="665">
        <v>44650</v>
      </c>
      <c r="I303" s="664">
        <v>632</v>
      </c>
      <c r="J303" s="666">
        <v>224899000</v>
      </c>
      <c r="K303" s="666">
        <v>80963640</v>
      </c>
      <c r="L303" s="666">
        <v>130234622</v>
      </c>
      <c r="M303" s="664" t="s">
        <v>495</v>
      </c>
      <c r="N303" s="666">
        <v>94664378</v>
      </c>
      <c r="O303" s="666">
        <v>80963640</v>
      </c>
      <c r="P303" s="666">
        <v>71068084</v>
      </c>
      <c r="Q303" s="664">
        <v>2</v>
      </c>
      <c r="R303" s="664" t="s">
        <v>496</v>
      </c>
      <c r="S303" s="664">
        <v>100</v>
      </c>
      <c r="T303" s="666">
        <v>94664378</v>
      </c>
      <c r="U303" s="666">
        <v>80963640</v>
      </c>
      <c r="V303" s="664">
        <v>100</v>
      </c>
      <c r="W303" s="666">
        <v>207556264</v>
      </c>
      <c r="X303" s="664">
        <v>2</v>
      </c>
      <c r="Y303" s="664">
        <v>1160902009</v>
      </c>
      <c r="Z303" s="664">
        <v>2023</v>
      </c>
      <c r="AA303" s="664">
        <v>12</v>
      </c>
      <c r="AB303" s="664">
        <v>5026003002</v>
      </c>
      <c r="AC303" s="664">
        <v>1160903005</v>
      </c>
      <c r="AD303" s="664">
        <v>0</v>
      </c>
      <c r="AE303" s="664">
        <v>0</v>
      </c>
      <c r="AF303" s="664">
        <v>1</v>
      </c>
      <c r="AG303" s="664">
        <v>1160605001</v>
      </c>
      <c r="AH303" s="664">
        <v>740</v>
      </c>
      <c r="AI303" s="664" t="s">
        <v>503</v>
      </c>
      <c r="AJ303" s="667">
        <v>0</v>
      </c>
      <c r="AK303" s="668">
        <f t="shared" si="31"/>
        <v>0</v>
      </c>
      <c r="AL303" s="668">
        <f t="shared" si="32"/>
        <v>0</v>
      </c>
      <c r="AM303" s="668">
        <f t="shared" si="32"/>
        <v>0</v>
      </c>
      <c r="AN303" s="668"/>
      <c r="AO303" s="668"/>
      <c r="AP303" s="668">
        <f t="shared" si="33"/>
        <v>0</v>
      </c>
      <c r="AQ303" s="668">
        <f t="shared" si="34"/>
        <v>0</v>
      </c>
      <c r="AR303" s="668">
        <f t="shared" si="34"/>
        <v>0</v>
      </c>
      <c r="AS303" s="668"/>
      <c r="AT303" s="668"/>
      <c r="AV303" s="670">
        <f t="shared" si="35"/>
        <v>224899000</v>
      </c>
      <c r="AW303" s="670">
        <f t="shared" si="36"/>
        <v>80963640</v>
      </c>
      <c r="AX303" s="671">
        <f t="shared" si="30"/>
        <v>130234622</v>
      </c>
      <c r="AY303" s="671">
        <f t="shared" si="37"/>
        <v>0</v>
      </c>
    </row>
    <row r="304" spans="1:51">
      <c r="A304" s="664" t="s">
        <v>494</v>
      </c>
      <c r="B304" s="664"/>
      <c r="C304" s="664"/>
      <c r="D304" s="664">
        <v>1160405001</v>
      </c>
      <c r="E304" s="664">
        <v>0</v>
      </c>
      <c r="F304" s="664">
        <v>46490</v>
      </c>
      <c r="G304" s="665">
        <v>43554</v>
      </c>
      <c r="H304" s="665">
        <v>44650</v>
      </c>
      <c r="I304" s="664">
        <v>632</v>
      </c>
      <c r="J304" s="666">
        <v>450000000</v>
      </c>
      <c r="K304" s="666">
        <v>162000000</v>
      </c>
      <c r="L304" s="666">
        <v>260586218</v>
      </c>
      <c r="M304" s="664" t="s">
        <v>495</v>
      </c>
      <c r="N304" s="666">
        <v>189413782</v>
      </c>
      <c r="O304" s="666">
        <v>162000000</v>
      </c>
      <c r="P304" s="666">
        <v>142200000</v>
      </c>
      <c r="Q304" s="664">
        <v>2</v>
      </c>
      <c r="R304" s="664" t="s">
        <v>496</v>
      </c>
      <c r="S304" s="664">
        <v>100</v>
      </c>
      <c r="T304" s="666">
        <v>189413782</v>
      </c>
      <c r="U304" s="666">
        <v>162000000</v>
      </c>
      <c r="V304" s="664">
        <v>100</v>
      </c>
      <c r="W304" s="666">
        <v>207556264</v>
      </c>
      <c r="X304" s="664">
        <v>15</v>
      </c>
      <c r="Y304" s="664">
        <v>1160902009</v>
      </c>
      <c r="Z304" s="664">
        <v>2023</v>
      </c>
      <c r="AA304" s="664">
        <v>12</v>
      </c>
      <c r="AB304" s="664">
        <v>5026003002</v>
      </c>
      <c r="AC304" s="664">
        <v>1160903005</v>
      </c>
      <c r="AD304" s="664">
        <v>0</v>
      </c>
      <c r="AE304" s="664">
        <v>0</v>
      </c>
      <c r="AF304" s="664">
        <v>1</v>
      </c>
      <c r="AG304" s="664">
        <v>1160605001</v>
      </c>
      <c r="AH304" s="664">
        <v>740</v>
      </c>
      <c r="AI304" s="664" t="s">
        <v>503</v>
      </c>
      <c r="AJ304" s="667">
        <v>0</v>
      </c>
      <c r="AK304" s="668">
        <f t="shared" si="31"/>
        <v>0</v>
      </c>
      <c r="AL304" s="668">
        <f t="shared" si="32"/>
        <v>0</v>
      </c>
      <c r="AM304" s="668">
        <f t="shared" si="32"/>
        <v>0</v>
      </c>
      <c r="AN304" s="668"/>
      <c r="AO304" s="668"/>
      <c r="AP304" s="668">
        <f t="shared" si="33"/>
        <v>0</v>
      </c>
      <c r="AQ304" s="668">
        <f t="shared" si="34"/>
        <v>0</v>
      </c>
      <c r="AR304" s="668">
        <f t="shared" si="34"/>
        <v>0</v>
      </c>
      <c r="AS304" s="668"/>
      <c r="AT304" s="668"/>
      <c r="AV304" s="670">
        <f t="shared" si="35"/>
        <v>450000000</v>
      </c>
      <c r="AW304" s="670">
        <f t="shared" si="36"/>
        <v>162000000</v>
      </c>
      <c r="AX304" s="671">
        <f t="shared" si="30"/>
        <v>260586218</v>
      </c>
      <c r="AY304" s="671">
        <f t="shared" si="37"/>
        <v>0</v>
      </c>
    </row>
    <row r="305" spans="1:51">
      <c r="A305" s="664" t="s">
        <v>494</v>
      </c>
      <c r="B305" s="664"/>
      <c r="C305" s="664"/>
      <c r="D305" s="664">
        <v>1160505001</v>
      </c>
      <c r="E305" s="664">
        <v>0</v>
      </c>
      <c r="F305" s="664">
        <v>46282</v>
      </c>
      <c r="G305" s="665">
        <v>43528</v>
      </c>
      <c r="H305" s="665">
        <v>44259</v>
      </c>
      <c r="I305" s="664">
        <v>1018</v>
      </c>
      <c r="J305" s="666">
        <v>733000</v>
      </c>
      <c r="K305" s="666">
        <v>88448</v>
      </c>
      <c r="L305" s="666">
        <v>0</v>
      </c>
      <c r="M305" s="664" t="s">
        <v>495</v>
      </c>
      <c r="N305" s="666">
        <v>733000</v>
      </c>
      <c r="O305" s="666">
        <v>88448</v>
      </c>
      <c r="P305" s="666">
        <v>373097</v>
      </c>
      <c r="Q305" s="664">
        <v>1</v>
      </c>
      <c r="R305" s="664" t="s">
        <v>496</v>
      </c>
      <c r="S305" s="664">
        <v>100</v>
      </c>
      <c r="T305" s="666">
        <v>733000</v>
      </c>
      <c r="U305" s="666">
        <v>88448</v>
      </c>
      <c r="V305" s="664">
        <v>300</v>
      </c>
      <c r="W305" s="666">
        <v>6166942</v>
      </c>
      <c r="X305" s="664">
        <v>15</v>
      </c>
      <c r="Y305" s="664">
        <v>1160902010</v>
      </c>
      <c r="Z305" s="664">
        <v>2023</v>
      </c>
      <c r="AA305" s="664">
        <v>12</v>
      </c>
      <c r="AB305" s="664">
        <v>5026003002</v>
      </c>
      <c r="AC305" s="664">
        <v>1160903005</v>
      </c>
      <c r="AD305" s="664">
        <v>0</v>
      </c>
      <c r="AE305" s="664">
        <v>0</v>
      </c>
      <c r="AF305" s="664">
        <v>0</v>
      </c>
      <c r="AG305" s="664">
        <v>1160605001</v>
      </c>
      <c r="AH305" s="664">
        <v>1018</v>
      </c>
      <c r="AI305" s="664" t="s">
        <v>499</v>
      </c>
      <c r="AJ305" s="667">
        <v>0.05</v>
      </c>
      <c r="AK305" s="668">
        <f t="shared" si="31"/>
        <v>36650</v>
      </c>
      <c r="AL305" s="668">
        <f t="shared" si="32"/>
        <v>36650</v>
      </c>
      <c r="AM305" s="668">
        <f t="shared" si="32"/>
        <v>36650</v>
      </c>
      <c r="AN305" s="668"/>
      <c r="AO305" s="668"/>
      <c r="AP305" s="668">
        <f t="shared" si="33"/>
        <v>2211.2000000000003</v>
      </c>
      <c r="AQ305" s="668">
        <f t="shared" si="34"/>
        <v>2211.2000000000003</v>
      </c>
      <c r="AR305" s="668">
        <f t="shared" si="34"/>
        <v>2211.2000000000003</v>
      </c>
      <c r="AS305" s="668"/>
      <c r="AT305" s="668"/>
      <c r="AV305" s="670">
        <f t="shared" si="35"/>
        <v>623050</v>
      </c>
      <c r="AW305" s="670">
        <f t="shared" si="36"/>
        <v>81814.400000000009</v>
      </c>
      <c r="AX305" s="671">
        <f t="shared" si="30"/>
        <v>0</v>
      </c>
    </row>
    <row r="306" spans="1:51">
      <c r="A306" s="664" t="s">
        <v>494</v>
      </c>
      <c r="B306" s="664"/>
      <c r="C306" s="664"/>
      <c r="D306" s="664">
        <v>1160403001</v>
      </c>
      <c r="E306" s="664">
        <v>0</v>
      </c>
      <c r="F306" s="664">
        <v>45054</v>
      </c>
      <c r="G306" s="665">
        <v>43307</v>
      </c>
      <c r="H306" s="665">
        <v>45133</v>
      </c>
      <c r="I306" s="664">
        <v>156</v>
      </c>
      <c r="J306" s="666">
        <v>11000000</v>
      </c>
      <c r="K306" s="666">
        <v>745250</v>
      </c>
      <c r="L306" s="666">
        <v>187962500</v>
      </c>
      <c r="M306" s="664" t="s">
        <v>495</v>
      </c>
      <c r="N306" s="666">
        <v>0</v>
      </c>
      <c r="O306" s="666">
        <v>745250</v>
      </c>
      <c r="P306" s="666">
        <v>858000</v>
      </c>
      <c r="Q306" s="664">
        <v>2</v>
      </c>
      <c r="R306" s="664" t="s">
        <v>494</v>
      </c>
      <c r="S306" s="664">
        <v>100</v>
      </c>
      <c r="T306" s="666">
        <v>0</v>
      </c>
      <c r="U306" s="666">
        <v>745250</v>
      </c>
      <c r="V306" s="664">
        <v>100</v>
      </c>
      <c r="W306" s="666">
        <v>11241017</v>
      </c>
      <c r="X306" s="664">
        <v>2</v>
      </c>
      <c r="Y306" s="664">
        <v>1160902005</v>
      </c>
      <c r="Z306" s="664">
        <v>2023</v>
      </c>
      <c r="AA306" s="664">
        <v>12</v>
      </c>
      <c r="AB306" s="664">
        <v>5026003002</v>
      </c>
      <c r="AC306" s="664">
        <v>1160903003</v>
      </c>
      <c r="AD306" s="664">
        <v>0</v>
      </c>
      <c r="AE306" s="664">
        <v>0</v>
      </c>
      <c r="AF306" s="664">
        <v>1</v>
      </c>
      <c r="AG306" s="664">
        <v>1160603001</v>
      </c>
      <c r="AH306" s="664">
        <v>156</v>
      </c>
      <c r="AI306" s="664" t="s">
        <v>500</v>
      </c>
      <c r="AJ306" s="667">
        <v>0.3</v>
      </c>
      <c r="AK306" s="668">
        <f t="shared" si="31"/>
        <v>3300000</v>
      </c>
      <c r="AL306" s="668">
        <f t="shared" si="32"/>
        <v>3300000</v>
      </c>
      <c r="AM306" s="668">
        <f t="shared" si="32"/>
        <v>3300000</v>
      </c>
      <c r="AN306" s="668"/>
      <c r="AO306" s="668"/>
      <c r="AP306" s="668">
        <f t="shared" si="33"/>
        <v>111787.5</v>
      </c>
      <c r="AQ306" s="668">
        <f t="shared" si="34"/>
        <v>111787.5</v>
      </c>
      <c r="AR306" s="668">
        <f t="shared" si="34"/>
        <v>111787.5</v>
      </c>
      <c r="AS306" s="668"/>
      <c r="AT306" s="668"/>
      <c r="AV306" s="670">
        <f t="shared" si="35"/>
        <v>1100000</v>
      </c>
      <c r="AW306" s="670">
        <f t="shared" si="36"/>
        <v>409887.5</v>
      </c>
      <c r="AX306" s="671">
        <f t="shared" si="30"/>
        <v>11000000</v>
      </c>
      <c r="AY306" s="671">
        <f>+AX306-L306</f>
        <v>-176962500</v>
      </c>
    </row>
    <row r="307" spans="1:51">
      <c r="A307" s="664" t="s">
        <v>494</v>
      </c>
      <c r="B307" s="664"/>
      <c r="C307" s="664"/>
      <c r="D307" s="664">
        <v>1160403001</v>
      </c>
      <c r="E307" s="664">
        <v>0</v>
      </c>
      <c r="F307" s="664">
        <v>45056</v>
      </c>
      <c r="G307" s="665">
        <v>43307</v>
      </c>
      <c r="H307" s="665">
        <v>45133</v>
      </c>
      <c r="I307" s="664">
        <v>156</v>
      </c>
      <c r="J307" s="666">
        <v>3000000</v>
      </c>
      <c r="K307" s="666">
        <v>281250</v>
      </c>
      <c r="L307" s="666">
        <v>51262500</v>
      </c>
      <c r="M307" s="664" t="s">
        <v>495</v>
      </c>
      <c r="N307" s="666">
        <v>0</v>
      </c>
      <c r="O307" s="666">
        <v>281250</v>
      </c>
      <c r="P307" s="666">
        <v>234000</v>
      </c>
      <c r="Q307" s="664">
        <v>2</v>
      </c>
      <c r="R307" s="664" t="s">
        <v>494</v>
      </c>
      <c r="S307" s="664">
        <v>100</v>
      </c>
      <c r="T307" s="666">
        <v>0</v>
      </c>
      <c r="U307" s="666">
        <v>281250</v>
      </c>
      <c r="V307" s="664">
        <v>100</v>
      </c>
      <c r="W307" s="666">
        <v>11241017</v>
      </c>
      <c r="X307" s="664">
        <v>14</v>
      </c>
      <c r="Y307" s="664">
        <v>1160902005</v>
      </c>
      <c r="Z307" s="664">
        <v>2023</v>
      </c>
      <c r="AA307" s="664">
        <v>12</v>
      </c>
      <c r="AB307" s="664">
        <v>5026003002</v>
      </c>
      <c r="AC307" s="664">
        <v>1160903003</v>
      </c>
      <c r="AD307" s="664">
        <v>0</v>
      </c>
      <c r="AE307" s="664">
        <v>0</v>
      </c>
      <c r="AF307" s="664">
        <v>1</v>
      </c>
      <c r="AG307" s="664">
        <v>1160603001</v>
      </c>
      <c r="AH307" s="664">
        <v>156</v>
      </c>
      <c r="AI307" s="664" t="s">
        <v>500</v>
      </c>
      <c r="AJ307" s="667">
        <v>0.3</v>
      </c>
      <c r="AK307" s="668">
        <f t="shared" si="31"/>
        <v>900000</v>
      </c>
      <c r="AL307" s="668">
        <f t="shared" si="32"/>
        <v>900000</v>
      </c>
      <c r="AM307" s="668">
        <f t="shared" si="32"/>
        <v>900000</v>
      </c>
      <c r="AN307" s="668"/>
      <c r="AO307" s="668"/>
      <c r="AP307" s="668">
        <f t="shared" si="33"/>
        <v>42187.5</v>
      </c>
      <c r="AQ307" s="668">
        <f t="shared" si="34"/>
        <v>42187.5</v>
      </c>
      <c r="AR307" s="668">
        <f t="shared" si="34"/>
        <v>42187.5</v>
      </c>
      <c r="AS307" s="668"/>
      <c r="AT307" s="668"/>
      <c r="AV307" s="670">
        <f t="shared" si="35"/>
        <v>300000</v>
      </c>
      <c r="AW307" s="670">
        <f t="shared" si="36"/>
        <v>154687.5</v>
      </c>
      <c r="AX307" s="671">
        <f t="shared" si="30"/>
        <v>3000000</v>
      </c>
      <c r="AY307" s="671">
        <f>+AX307-L307</f>
        <v>-48262500</v>
      </c>
    </row>
    <row r="308" spans="1:51">
      <c r="A308" s="664" t="s">
        <v>494</v>
      </c>
      <c r="B308" s="664"/>
      <c r="C308" s="664"/>
      <c r="D308" s="664">
        <v>1160505001</v>
      </c>
      <c r="E308" s="664">
        <v>0</v>
      </c>
      <c r="F308" s="664">
        <v>38545</v>
      </c>
      <c r="G308" s="665">
        <v>42241</v>
      </c>
      <c r="H308" s="665">
        <v>42607</v>
      </c>
      <c r="I308" s="664">
        <v>2647</v>
      </c>
      <c r="J308" s="666">
        <v>12000000</v>
      </c>
      <c r="K308" s="666">
        <v>1080000</v>
      </c>
      <c r="L308" s="666">
        <v>0</v>
      </c>
      <c r="M308" s="664" t="s">
        <v>495</v>
      </c>
      <c r="N308" s="666">
        <v>12000000</v>
      </c>
      <c r="O308" s="666">
        <v>1080000</v>
      </c>
      <c r="P308" s="666">
        <v>15882000</v>
      </c>
      <c r="Q308" s="664">
        <v>1</v>
      </c>
      <c r="R308" s="664" t="s">
        <v>496</v>
      </c>
      <c r="S308" s="664">
        <v>100</v>
      </c>
      <c r="T308" s="666">
        <v>12000000</v>
      </c>
      <c r="U308" s="666">
        <v>1080000</v>
      </c>
      <c r="V308" s="664">
        <v>200</v>
      </c>
      <c r="W308" s="666">
        <v>6900097</v>
      </c>
      <c r="X308" s="664">
        <v>2</v>
      </c>
      <c r="Y308" s="664">
        <v>1160902010</v>
      </c>
      <c r="Z308" s="664">
        <v>2023</v>
      </c>
      <c r="AA308" s="664">
        <v>12</v>
      </c>
      <c r="AB308" s="664">
        <v>5026003002</v>
      </c>
      <c r="AC308" s="664">
        <v>1160903005</v>
      </c>
      <c r="AD308" s="664">
        <v>0</v>
      </c>
      <c r="AE308" s="664">
        <v>0</v>
      </c>
      <c r="AF308" s="664">
        <v>0</v>
      </c>
      <c r="AG308" s="664">
        <v>1160605001</v>
      </c>
      <c r="AH308" s="664">
        <v>2647</v>
      </c>
      <c r="AI308" s="664" t="s">
        <v>503</v>
      </c>
      <c r="AJ308" s="667">
        <v>0</v>
      </c>
      <c r="AK308" s="668">
        <f t="shared" si="31"/>
        <v>0</v>
      </c>
      <c r="AL308" s="668">
        <f t="shared" si="32"/>
        <v>0</v>
      </c>
      <c r="AM308" s="668">
        <f t="shared" si="32"/>
        <v>0</v>
      </c>
      <c r="AN308" s="668"/>
      <c r="AO308" s="668"/>
      <c r="AP308" s="668">
        <f t="shared" si="33"/>
        <v>0</v>
      </c>
      <c r="AQ308" s="668">
        <f t="shared" si="34"/>
        <v>0</v>
      </c>
      <c r="AR308" s="668">
        <f t="shared" si="34"/>
        <v>0</v>
      </c>
      <c r="AS308" s="668"/>
      <c r="AT308" s="668"/>
      <c r="AV308" s="670">
        <f t="shared" si="35"/>
        <v>12000000</v>
      </c>
      <c r="AW308" s="670">
        <f t="shared" si="36"/>
        <v>1080000</v>
      </c>
      <c r="AX308" s="671">
        <f t="shared" si="30"/>
        <v>0</v>
      </c>
    </row>
    <row r="309" spans="1:51">
      <c r="A309" s="664" t="s">
        <v>494</v>
      </c>
      <c r="B309" s="664"/>
      <c r="C309" s="664"/>
      <c r="D309" s="664">
        <v>1160505001</v>
      </c>
      <c r="E309" s="664">
        <v>0</v>
      </c>
      <c r="F309" s="664">
        <v>44615</v>
      </c>
      <c r="G309" s="665">
        <v>43251</v>
      </c>
      <c r="H309" s="665">
        <v>43982</v>
      </c>
      <c r="I309" s="664">
        <v>1292</v>
      </c>
      <c r="J309" s="666">
        <v>15000000</v>
      </c>
      <c r="K309" s="666">
        <v>120000</v>
      </c>
      <c r="L309" s="666">
        <v>0</v>
      </c>
      <c r="M309" s="664" t="s">
        <v>495</v>
      </c>
      <c r="N309" s="666">
        <v>15000000</v>
      </c>
      <c r="O309" s="666">
        <v>120000</v>
      </c>
      <c r="P309" s="666">
        <v>9690000</v>
      </c>
      <c r="Q309" s="664">
        <v>1</v>
      </c>
      <c r="R309" s="664" t="s">
        <v>496</v>
      </c>
      <c r="S309" s="664">
        <v>100</v>
      </c>
      <c r="T309" s="666">
        <v>15000000</v>
      </c>
      <c r="U309" s="666">
        <v>120000</v>
      </c>
      <c r="V309" s="664">
        <v>300</v>
      </c>
      <c r="W309" s="666">
        <v>10163557</v>
      </c>
      <c r="X309" s="664">
        <v>15</v>
      </c>
      <c r="Y309" s="664">
        <v>1160902010</v>
      </c>
      <c r="Z309" s="664">
        <v>2023</v>
      </c>
      <c r="AA309" s="664">
        <v>12</v>
      </c>
      <c r="AB309" s="664">
        <v>5026003002</v>
      </c>
      <c r="AC309" s="664">
        <v>1160903005</v>
      </c>
      <c r="AD309" s="664">
        <v>0</v>
      </c>
      <c r="AE309" s="664">
        <v>0</v>
      </c>
      <c r="AF309" s="664">
        <v>0</v>
      </c>
      <c r="AG309" s="664">
        <v>1160605001</v>
      </c>
      <c r="AH309" s="664">
        <v>1292</v>
      </c>
      <c r="AI309" s="664" t="s">
        <v>497</v>
      </c>
      <c r="AJ309" s="667">
        <v>0.01</v>
      </c>
      <c r="AK309" s="668">
        <f t="shared" si="31"/>
        <v>150000</v>
      </c>
      <c r="AL309" s="668">
        <f t="shared" si="32"/>
        <v>150000</v>
      </c>
      <c r="AM309" s="668">
        <f t="shared" si="32"/>
        <v>150000</v>
      </c>
      <c r="AN309" s="668"/>
      <c r="AO309" s="668"/>
      <c r="AP309" s="668">
        <f t="shared" si="33"/>
        <v>600</v>
      </c>
      <c r="AQ309" s="668">
        <f t="shared" si="34"/>
        <v>600</v>
      </c>
      <c r="AR309" s="668">
        <f t="shared" si="34"/>
        <v>600</v>
      </c>
      <c r="AS309" s="668"/>
      <c r="AT309" s="668"/>
      <c r="AV309" s="670">
        <f t="shared" si="35"/>
        <v>14550000</v>
      </c>
      <c r="AW309" s="670">
        <f t="shared" si="36"/>
        <v>118200</v>
      </c>
      <c r="AX309" s="671">
        <f t="shared" si="30"/>
        <v>0</v>
      </c>
    </row>
    <row r="310" spans="1:51">
      <c r="A310" s="664" t="s">
        <v>494</v>
      </c>
      <c r="B310" s="664"/>
      <c r="C310" s="664"/>
      <c r="D310" s="664">
        <v>1160505001</v>
      </c>
      <c r="E310" s="664">
        <v>0</v>
      </c>
      <c r="F310" s="664">
        <v>46723</v>
      </c>
      <c r="G310" s="665">
        <v>43601</v>
      </c>
      <c r="H310" s="665">
        <v>44332</v>
      </c>
      <c r="I310" s="664">
        <v>946</v>
      </c>
      <c r="J310" s="666">
        <v>5000000</v>
      </c>
      <c r="K310" s="666">
        <v>1500000</v>
      </c>
      <c r="L310" s="666">
        <v>0</v>
      </c>
      <c r="M310" s="664" t="s">
        <v>495</v>
      </c>
      <c r="N310" s="666">
        <v>5000000</v>
      </c>
      <c r="O310" s="666">
        <v>1500000</v>
      </c>
      <c r="P310" s="666">
        <v>2365000</v>
      </c>
      <c r="Q310" s="664">
        <v>1</v>
      </c>
      <c r="R310" s="664" t="s">
        <v>496</v>
      </c>
      <c r="S310" s="664">
        <v>100</v>
      </c>
      <c r="T310" s="666">
        <v>5000000</v>
      </c>
      <c r="U310" s="666">
        <v>1500000</v>
      </c>
      <c r="V310" s="664">
        <v>300</v>
      </c>
      <c r="W310" s="666">
        <v>10163557</v>
      </c>
      <c r="X310" s="664">
        <v>15</v>
      </c>
      <c r="Y310" s="664">
        <v>1160902010</v>
      </c>
      <c r="Z310" s="664">
        <v>2023</v>
      </c>
      <c r="AA310" s="664">
        <v>12</v>
      </c>
      <c r="AB310" s="664">
        <v>5026003002</v>
      </c>
      <c r="AC310" s="664">
        <v>1160903005</v>
      </c>
      <c r="AD310" s="664">
        <v>0</v>
      </c>
      <c r="AE310" s="664">
        <v>0</v>
      </c>
      <c r="AF310" s="664">
        <v>0</v>
      </c>
      <c r="AG310" s="664">
        <v>1160605001</v>
      </c>
      <c r="AH310" s="664">
        <v>1292</v>
      </c>
      <c r="AI310" s="664" t="s">
        <v>497</v>
      </c>
      <c r="AJ310" s="667">
        <v>0.01</v>
      </c>
      <c r="AK310" s="668">
        <f t="shared" si="31"/>
        <v>50000</v>
      </c>
      <c r="AL310" s="668">
        <f t="shared" si="32"/>
        <v>50000</v>
      </c>
      <c r="AM310" s="668">
        <f t="shared" si="32"/>
        <v>50000</v>
      </c>
      <c r="AN310" s="668"/>
      <c r="AO310" s="668"/>
      <c r="AP310" s="668">
        <f t="shared" si="33"/>
        <v>7500</v>
      </c>
      <c r="AQ310" s="668">
        <f t="shared" si="34"/>
        <v>7500</v>
      </c>
      <c r="AR310" s="668">
        <f t="shared" si="34"/>
        <v>7500</v>
      </c>
      <c r="AS310" s="668"/>
      <c r="AT310" s="668"/>
      <c r="AV310" s="670">
        <f t="shared" si="35"/>
        <v>4850000</v>
      </c>
      <c r="AW310" s="670">
        <f t="shared" si="36"/>
        <v>1477500</v>
      </c>
      <c r="AX310" s="671">
        <f t="shared" si="30"/>
        <v>0</v>
      </c>
    </row>
    <row r="311" spans="1:51">
      <c r="A311" s="664" t="s">
        <v>494</v>
      </c>
      <c r="B311" s="664"/>
      <c r="C311" s="664"/>
      <c r="D311" s="664">
        <v>1160505001</v>
      </c>
      <c r="E311" s="664">
        <v>0</v>
      </c>
      <c r="F311" s="664">
        <v>46934</v>
      </c>
      <c r="G311" s="665">
        <v>43633</v>
      </c>
      <c r="H311" s="665">
        <v>44364</v>
      </c>
      <c r="I311" s="664">
        <v>915</v>
      </c>
      <c r="J311" s="666">
        <v>629903</v>
      </c>
      <c r="K311" s="666">
        <v>0</v>
      </c>
      <c r="L311" s="666">
        <v>0</v>
      </c>
      <c r="M311" s="664" t="s">
        <v>495</v>
      </c>
      <c r="N311" s="666">
        <v>629903</v>
      </c>
      <c r="O311" s="666">
        <v>0</v>
      </c>
      <c r="P311" s="666">
        <v>288181</v>
      </c>
      <c r="Q311" s="664">
        <v>1</v>
      </c>
      <c r="R311" s="664" t="s">
        <v>496</v>
      </c>
      <c r="S311" s="664">
        <v>100</v>
      </c>
      <c r="T311" s="666">
        <v>629903</v>
      </c>
      <c r="U311" s="666">
        <v>0</v>
      </c>
      <c r="V311" s="664">
        <v>100</v>
      </c>
      <c r="W311" s="666">
        <v>2117867</v>
      </c>
      <c r="X311" s="664">
        <v>15</v>
      </c>
      <c r="Y311" s="664">
        <v>1160902010</v>
      </c>
      <c r="Z311" s="664">
        <v>2023</v>
      </c>
      <c r="AA311" s="664">
        <v>12</v>
      </c>
      <c r="AB311" s="664">
        <v>5026003002</v>
      </c>
      <c r="AC311" s="664">
        <v>1160903005</v>
      </c>
      <c r="AD311" s="664">
        <v>0</v>
      </c>
      <c r="AE311" s="664">
        <v>0</v>
      </c>
      <c r="AF311" s="664">
        <v>0</v>
      </c>
      <c r="AG311" s="664">
        <v>1160605001</v>
      </c>
      <c r="AH311" s="664">
        <v>915</v>
      </c>
      <c r="AI311" s="664" t="s">
        <v>499</v>
      </c>
      <c r="AJ311" s="667">
        <v>0.05</v>
      </c>
      <c r="AK311" s="668">
        <f t="shared" si="31"/>
        <v>31495.15</v>
      </c>
      <c r="AL311" s="668">
        <f t="shared" si="32"/>
        <v>31495.15</v>
      </c>
      <c r="AM311" s="668">
        <f t="shared" si="32"/>
        <v>31495.15</v>
      </c>
      <c r="AN311" s="668"/>
      <c r="AO311" s="668"/>
      <c r="AP311" s="668">
        <f t="shared" si="33"/>
        <v>0</v>
      </c>
      <c r="AQ311" s="668">
        <f t="shared" si="34"/>
        <v>0</v>
      </c>
      <c r="AR311" s="668">
        <f t="shared" si="34"/>
        <v>0</v>
      </c>
      <c r="AS311" s="668"/>
      <c r="AT311" s="668"/>
      <c r="AV311" s="670">
        <f t="shared" si="35"/>
        <v>535417.54999999993</v>
      </c>
      <c r="AW311" s="670">
        <f t="shared" si="36"/>
        <v>0</v>
      </c>
      <c r="AX311" s="671">
        <f t="shared" si="30"/>
        <v>0</v>
      </c>
    </row>
    <row r="312" spans="1:51">
      <c r="A312" s="664" t="s">
        <v>494</v>
      </c>
      <c r="B312" s="664"/>
      <c r="C312" s="664"/>
      <c r="D312" s="664">
        <v>1160505001</v>
      </c>
      <c r="E312" s="664">
        <v>0</v>
      </c>
      <c r="F312" s="664">
        <v>43476</v>
      </c>
      <c r="G312" s="665">
        <v>43129</v>
      </c>
      <c r="H312" s="665">
        <v>44225</v>
      </c>
      <c r="I312" s="664">
        <v>1053</v>
      </c>
      <c r="J312" s="666">
        <v>2747156</v>
      </c>
      <c r="K312" s="666">
        <v>16483</v>
      </c>
      <c r="L312" s="666">
        <v>0</v>
      </c>
      <c r="M312" s="664" t="s">
        <v>495</v>
      </c>
      <c r="N312" s="666">
        <v>2747156</v>
      </c>
      <c r="O312" s="666">
        <v>16483</v>
      </c>
      <c r="P312" s="666">
        <v>1446378</v>
      </c>
      <c r="Q312" s="664">
        <v>1</v>
      </c>
      <c r="R312" s="664" t="s">
        <v>496</v>
      </c>
      <c r="S312" s="664">
        <v>100</v>
      </c>
      <c r="T312" s="666">
        <v>2747156</v>
      </c>
      <c r="U312" s="666">
        <v>16483</v>
      </c>
      <c r="V312" s="664">
        <v>200</v>
      </c>
      <c r="W312" s="666">
        <v>3374036</v>
      </c>
      <c r="X312" s="664">
        <v>15</v>
      </c>
      <c r="Y312" s="664">
        <v>1160902010</v>
      </c>
      <c r="Z312" s="664">
        <v>2023</v>
      </c>
      <c r="AA312" s="664">
        <v>12</v>
      </c>
      <c r="AB312" s="664">
        <v>5026003002</v>
      </c>
      <c r="AC312" s="664">
        <v>1160903005</v>
      </c>
      <c r="AD312" s="664">
        <v>0</v>
      </c>
      <c r="AE312" s="664">
        <v>0</v>
      </c>
      <c r="AF312" s="664">
        <v>0</v>
      </c>
      <c r="AG312" s="664">
        <v>1160605001</v>
      </c>
      <c r="AH312" s="664">
        <v>1053</v>
      </c>
      <c r="AI312" s="664" t="s">
        <v>499</v>
      </c>
      <c r="AJ312" s="667">
        <v>0.05</v>
      </c>
      <c r="AK312" s="668">
        <f t="shared" si="31"/>
        <v>137357.80000000002</v>
      </c>
      <c r="AL312" s="668">
        <f t="shared" si="32"/>
        <v>137357.80000000002</v>
      </c>
      <c r="AM312" s="668">
        <f t="shared" si="32"/>
        <v>137357.80000000002</v>
      </c>
      <c r="AN312" s="668"/>
      <c r="AO312" s="668"/>
      <c r="AP312" s="668">
        <f t="shared" si="33"/>
        <v>412.07500000000005</v>
      </c>
      <c r="AQ312" s="668">
        <f t="shared" si="34"/>
        <v>412.07500000000005</v>
      </c>
      <c r="AR312" s="668">
        <f t="shared" si="34"/>
        <v>412.07500000000005</v>
      </c>
      <c r="AS312" s="668"/>
      <c r="AT312" s="668"/>
      <c r="AV312" s="670">
        <f t="shared" si="35"/>
        <v>2335082.6000000006</v>
      </c>
      <c r="AW312" s="670">
        <f t="shared" si="36"/>
        <v>15246.774999999998</v>
      </c>
      <c r="AX312" s="671">
        <f t="shared" si="30"/>
        <v>0</v>
      </c>
    </row>
    <row r="313" spans="1:51">
      <c r="A313" s="664" t="s">
        <v>494</v>
      </c>
      <c r="B313" s="664"/>
      <c r="C313" s="664"/>
      <c r="D313" s="664">
        <v>1160505001</v>
      </c>
      <c r="E313" s="664">
        <v>0</v>
      </c>
      <c r="F313" s="664">
        <v>45895</v>
      </c>
      <c r="G313" s="665">
        <v>43499</v>
      </c>
      <c r="H313" s="665">
        <v>44595</v>
      </c>
      <c r="I313" s="664">
        <v>689</v>
      </c>
      <c r="J313" s="666">
        <v>6000000</v>
      </c>
      <c r="K313" s="666">
        <v>1620000</v>
      </c>
      <c r="L313" s="666">
        <v>0</v>
      </c>
      <c r="M313" s="664" t="s">
        <v>495</v>
      </c>
      <c r="N313" s="666">
        <v>6000000</v>
      </c>
      <c r="O313" s="666">
        <v>1620000</v>
      </c>
      <c r="P313" s="666">
        <v>2067000</v>
      </c>
      <c r="Q313" s="664">
        <v>1</v>
      </c>
      <c r="R313" s="664" t="s">
        <v>496</v>
      </c>
      <c r="S313" s="664">
        <v>100</v>
      </c>
      <c r="T313" s="666">
        <v>6000000</v>
      </c>
      <c r="U313" s="666">
        <v>1620000</v>
      </c>
      <c r="V313" s="664">
        <v>100</v>
      </c>
      <c r="W313" s="666">
        <v>3374036</v>
      </c>
      <c r="X313" s="664">
        <v>15</v>
      </c>
      <c r="Y313" s="664">
        <v>1160902010</v>
      </c>
      <c r="Z313" s="664">
        <v>2023</v>
      </c>
      <c r="AA313" s="664">
        <v>12</v>
      </c>
      <c r="AB313" s="664">
        <v>5026003002</v>
      </c>
      <c r="AC313" s="664">
        <v>1160903005</v>
      </c>
      <c r="AD313" s="664">
        <v>0</v>
      </c>
      <c r="AE313" s="664">
        <v>0</v>
      </c>
      <c r="AF313" s="664">
        <v>0</v>
      </c>
      <c r="AG313" s="664">
        <v>1160605001</v>
      </c>
      <c r="AH313" s="664">
        <v>1053</v>
      </c>
      <c r="AI313" s="664" t="s">
        <v>499</v>
      </c>
      <c r="AJ313" s="667">
        <v>0.05</v>
      </c>
      <c r="AK313" s="668">
        <f t="shared" si="31"/>
        <v>300000</v>
      </c>
      <c r="AL313" s="668">
        <f t="shared" si="32"/>
        <v>300000</v>
      </c>
      <c r="AM313" s="668">
        <f t="shared" si="32"/>
        <v>300000</v>
      </c>
      <c r="AN313" s="668"/>
      <c r="AO313" s="668"/>
      <c r="AP313" s="668">
        <f t="shared" si="33"/>
        <v>40500</v>
      </c>
      <c r="AQ313" s="668">
        <f t="shared" si="34"/>
        <v>40500</v>
      </c>
      <c r="AR313" s="668">
        <f t="shared" si="34"/>
        <v>40500</v>
      </c>
      <c r="AS313" s="668"/>
      <c r="AT313" s="668"/>
      <c r="AV313" s="670">
        <f t="shared" si="35"/>
        <v>5100000</v>
      </c>
      <c r="AW313" s="670">
        <f t="shared" si="36"/>
        <v>1498500</v>
      </c>
      <c r="AX313" s="671">
        <f t="shared" si="30"/>
        <v>0</v>
      </c>
    </row>
    <row r="314" spans="1:51">
      <c r="A314" s="664" t="s">
        <v>494</v>
      </c>
      <c r="B314" s="664"/>
      <c r="C314" s="664"/>
      <c r="D314" s="664">
        <v>1160504001</v>
      </c>
      <c r="E314" s="664">
        <v>0</v>
      </c>
      <c r="F314" s="664">
        <v>44414</v>
      </c>
      <c r="G314" s="665">
        <v>43224</v>
      </c>
      <c r="H314" s="665">
        <v>45050</v>
      </c>
      <c r="I314" s="664">
        <v>238</v>
      </c>
      <c r="J314" s="666">
        <v>180009</v>
      </c>
      <c r="K314" s="666">
        <v>40500</v>
      </c>
      <c r="L314" s="666">
        <v>0</v>
      </c>
      <c r="M314" s="664" t="s">
        <v>495</v>
      </c>
      <c r="N314" s="666">
        <v>180009</v>
      </c>
      <c r="O314" s="666">
        <v>40500</v>
      </c>
      <c r="P314" s="666">
        <v>21421</v>
      </c>
      <c r="Q314" s="664">
        <v>1</v>
      </c>
      <c r="R314" s="664" t="s">
        <v>501</v>
      </c>
      <c r="S314" s="664">
        <v>100</v>
      </c>
      <c r="T314" s="666">
        <v>180009</v>
      </c>
      <c r="U314" s="666">
        <v>40500</v>
      </c>
      <c r="V314" s="664">
        <v>100</v>
      </c>
      <c r="W314" s="666">
        <v>6357324</v>
      </c>
      <c r="X314" s="664">
        <v>14</v>
      </c>
      <c r="Y314" s="664">
        <v>1160902008</v>
      </c>
      <c r="Z314" s="664">
        <v>2023</v>
      </c>
      <c r="AA314" s="664">
        <v>12</v>
      </c>
      <c r="AB314" s="664">
        <v>5026003002</v>
      </c>
      <c r="AC314" s="664">
        <v>1160903004</v>
      </c>
      <c r="AD314" s="664">
        <v>0</v>
      </c>
      <c r="AE314" s="664">
        <v>0</v>
      </c>
      <c r="AF314" s="664">
        <v>0</v>
      </c>
      <c r="AG314" s="664">
        <v>1160604001</v>
      </c>
      <c r="AH314" s="664">
        <v>238</v>
      </c>
      <c r="AI314" s="664" t="s">
        <v>500</v>
      </c>
      <c r="AJ314" s="667">
        <v>0.3</v>
      </c>
      <c r="AK314" s="668">
        <f t="shared" si="31"/>
        <v>54002.7</v>
      </c>
      <c r="AL314" s="668">
        <f t="shared" si="32"/>
        <v>54002.7</v>
      </c>
      <c r="AM314" s="668">
        <f t="shared" si="32"/>
        <v>54002.7</v>
      </c>
      <c r="AN314" s="668"/>
      <c r="AO314" s="668"/>
      <c r="AP314" s="668">
        <f t="shared" si="33"/>
        <v>6075</v>
      </c>
      <c r="AQ314" s="668">
        <f t="shared" si="34"/>
        <v>6075</v>
      </c>
      <c r="AR314" s="668">
        <f t="shared" si="34"/>
        <v>6075</v>
      </c>
      <c r="AS314" s="668"/>
      <c r="AT314" s="668"/>
      <c r="AV314" s="670">
        <f t="shared" si="35"/>
        <v>18000.900000000009</v>
      </c>
      <c r="AW314" s="670">
        <f t="shared" si="36"/>
        <v>22275</v>
      </c>
      <c r="AX314" s="671">
        <f t="shared" si="30"/>
        <v>0</v>
      </c>
    </row>
    <row r="315" spans="1:51">
      <c r="A315" s="664" t="s">
        <v>494</v>
      </c>
      <c r="B315" s="664"/>
      <c r="C315" s="664"/>
      <c r="D315" s="664">
        <v>1160504001</v>
      </c>
      <c r="E315" s="664">
        <v>0</v>
      </c>
      <c r="F315" s="664">
        <v>44524</v>
      </c>
      <c r="G315" s="665">
        <v>43240</v>
      </c>
      <c r="H315" s="665">
        <v>45066</v>
      </c>
      <c r="I315" s="664">
        <v>222</v>
      </c>
      <c r="J315" s="666">
        <v>3200000</v>
      </c>
      <c r="K315" s="666">
        <v>642667</v>
      </c>
      <c r="L315" s="666">
        <v>0</v>
      </c>
      <c r="M315" s="664" t="s">
        <v>495</v>
      </c>
      <c r="N315" s="666">
        <v>3200000</v>
      </c>
      <c r="O315" s="666">
        <v>642667</v>
      </c>
      <c r="P315" s="666">
        <v>355200</v>
      </c>
      <c r="Q315" s="664">
        <v>1</v>
      </c>
      <c r="R315" s="664" t="s">
        <v>501</v>
      </c>
      <c r="S315" s="664">
        <v>100</v>
      </c>
      <c r="T315" s="666">
        <v>3200000</v>
      </c>
      <c r="U315" s="666">
        <v>642667</v>
      </c>
      <c r="V315" s="664">
        <v>100</v>
      </c>
      <c r="W315" s="666">
        <v>7936463</v>
      </c>
      <c r="X315" s="664">
        <v>14</v>
      </c>
      <c r="Y315" s="664">
        <v>1160902008</v>
      </c>
      <c r="Z315" s="664">
        <v>2023</v>
      </c>
      <c r="AA315" s="664">
        <v>12</v>
      </c>
      <c r="AB315" s="664">
        <v>5026003002</v>
      </c>
      <c r="AC315" s="664">
        <v>1160903004</v>
      </c>
      <c r="AD315" s="664">
        <v>0</v>
      </c>
      <c r="AE315" s="664">
        <v>0</v>
      </c>
      <c r="AF315" s="664">
        <v>0</v>
      </c>
      <c r="AG315" s="664">
        <v>1160604001</v>
      </c>
      <c r="AH315" s="664">
        <v>222</v>
      </c>
      <c r="AI315" s="664" t="s">
        <v>500</v>
      </c>
      <c r="AJ315" s="667">
        <v>0.3</v>
      </c>
      <c r="AK315" s="668">
        <f t="shared" si="31"/>
        <v>960000</v>
      </c>
      <c r="AL315" s="668">
        <f t="shared" si="32"/>
        <v>960000</v>
      </c>
      <c r="AM315" s="668">
        <f t="shared" si="32"/>
        <v>960000</v>
      </c>
      <c r="AN315" s="668"/>
      <c r="AO315" s="668"/>
      <c r="AP315" s="668">
        <f t="shared" si="33"/>
        <v>96400.05</v>
      </c>
      <c r="AQ315" s="668">
        <f t="shared" si="34"/>
        <v>96400.05</v>
      </c>
      <c r="AR315" s="668">
        <f t="shared" si="34"/>
        <v>96400.05</v>
      </c>
      <c r="AS315" s="668"/>
      <c r="AT315" s="668"/>
      <c r="AV315" s="670">
        <f t="shared" si="35"/>
        <v>320000</v>
      </c>
      <c r="AW315" s="670">
        <f t="shared" si="36"/>
        <v>353466.85</v>
      </c>
      <c r="AX315" s="671">
        <f t="shared" si="30"/>
        <v>0</v>
      </c>
    </row>
    <row r="316" spans="1:51">
      <c r="A316" s="664" t="s">
        <v>494</v>
      </c>
      <c r="B316" s="664"/>
      <c r="C316" s="664"/>
      <c r="D316" s="664">
        <v>1160505001</v>
      </c>
      <c r="E316" s="664">
        <v>0</v>
      </c>
      <c r="F316" s="664">
        <v>42826</v>
      </c>
      <c r="G316" s="665">
        <v>42967</v>
      </c>
      <c r="H316" s="665">
        <v>44793</v>
      </c>
      <c r="I316" s="664">
        <v>492</v>
      </c>
      <c r="J316" s="666">
        <v>4000000</v>
      </c>
      <c r="K316" s="666">
        <v>1731876</v>
      </c>
      <c r="L316" s="666">
        <v>0</v>
      </c>
      <c r="M316" s="664" t="s">
        <v>495</v>
      </c>
      <c r="N316" s="666">
        <v>4000000</v>
      </c>
      <c r="O316" s="666">
        <v>1731876</v>
      </c>
      <c r="P316" s="666">
        <v>984000</v>
      </c>
      <c r="Q316" s="664">
        <v>1</v>
      </c>
      <c r="R316" s="664" t="s">
        <v>496</v>
      </c>
      <c r="S316" s="664">
        <v>100</v>
      </c>
      <c r="T316" s="666">
        <v>4000000</v>
      </c>
      <c r="U316" s="666">
        <v>1731876</v>
      </c>
      <c r="V316" s="664">
        <v>100</v>
      </c>
      <c r="W316" s="666">
        <v>1801961</v>
      </c>
      <c r="X316" s="664">
        <v>14</v>
      </c>
      <c r="Y316" s="664">
        <v>1160902010</v>
      </c>
      <c r="Z316" s="664">
        <v>2023</v>
      </c>
      <c r="AA316" s="664">
        <v>12</v>
      </c>
      <c r="AB316" s="664">
        <v>5026003002</v>
      </c>
      <c r="AC316" s="664">
        <v>1160903005</v>
      </c>
      <c r="AD316" s="664">
        <v>0</v>
      </c>
      <c r="AE316" s="664">
        <v>0</v>
      </c>
      <c r="AF316" s="664">
        <v>0</v>
      </c>
      <c r="AG316" s="664">
        <v>1160605001</v>
      </c>
      <c r="AH316" s="664">
        <v>492</v>
      </c>
      <c r="AI316" s="664" t="s">
        <v>498</v>
      </c>
      <c r="AJ316" s="667">
        <v>0.1</v>
      </c>
      <c r="AK316" s="668">
        <f t="shared" si="31"/>
        <v>400000</v>
      </c>
      <c r="AL316" s="668">
        <f t="shared" si="32"/>
        <v>400000</v>
      </c>
      <c r="AM316" s="668">
        <f t="shared" si="32"/>
        <v>400000</v>
      </c>
      <c r="AN316" s="668"/>
      <c r="AO316" s="668"/>
      <c r="AP316" s="668">
        <f t="shared" si="33"/>
        <v>86593.8</v>
      </c>
      <c r="AQ316" s="668">
        <f t="shared" si="34"/>
        <v>86593.8</v>
      </c>
      <c r="AR316" s="668">
        <f t="shared" si="34"/>
        <v>86593.8</v>
      </c>
      <c r="AS316" s="668"/>
      <c r="AT316" s="668"/>
      <c r="AV316" s="670">
        <f t="shared" si="35"/>
        <v>2800000</v>
      </c>
      <c r="AW316" s="670">
        <f t="shared" si="36"/>
        <v>1472094.5999999999</v>
      </c>
      <c r="AX316" s="671">
        <f t="shared" si="30"/>
        <v>0</v>
      </c>
    </row>
    <row r="317" spans="1:51">
      <c r="A317" s="664" t="s">
        <v>494</v>
      </c>
      <c r="B317" s="664"/>
      <c r="C317" s="664"/>
      <c r="D317" s="664">
        <v>1160505001</v>
      </c>
      <c r="E317" s="664">
        <v>0</v>
      </c>
      <c r="F317" s="664">
        <v>43762</v>
      </c>
      <c r="G317" s="665">
        <v>43153</v>
      </c>
      <c r="H317" s="665">
        <v>43883</v>
      </c>
      <c r="I317" s="664">
        <v>1390</v>
      </c>
      <c r="J317" s="666">
        <v>1500000</v>
      </c>
      <c r="K317" s="666">
        <v>231250</v>
      </c>
      <c r="L317" s="666">
        <v>0</v>
      </c>
      <c r="M317" s="664" t="s">
        <v>495</v>
      </c>
      <c r="N317" s="666">
        <v>1500000</v>
      </c>
      <c r="O317" s="666">
        <v>231250</v>
      </c>
      <c r="P317" s="666">
        <v>1042500</v>
      </c>
      <c r="Q317" s="664">
        <v>1</v>
      </c>
      <c r="R317" s="664" t="s">
        <v>496</v>
      </c>
      <c r="S317" s="664">
        <v>100</v>
      </c>
      <c r="T317" s="666">
        <v>1500000</v>
      </c>
      <c r="U317" s="666">
        <v>231250</v>
      </c>
      <c r="V317" s="664">
        <v>100</v>
      </c>
      <c r="W317" s="666">
        <v>2091231</v>
      </c>
      <c r="X317" s="664">
        <v>14</v>
      </c>
      <c r="Y317" s="664">
        <v>1160902010</v>
      </c>
      <c r="Z317" s="664">
        <v>2023</v>
      </c>
      <c r="AA317" s="664">
        <v>12</v>
      </c>
      <c r="AB317" s="664">
        <v>5026003002</v>
      </c>
      <c r="AC317" s="664">
        <v>1160903005</v>
      </c>
      <c r="AD317" s="664">
        <v>0</v>
      </c>
      <c r="AE317" s="664">
        <v>0</v>
      </c>
      <c r="AF317" s="664">
        <v>0</v>
      </c>
      <c r="AG317" s="664">
        <v>1160605001</v>
      </c>
      <c r="AH317" s="664">
        <v>1390</v>
      </c>
      <c r="AI317" s="664" t="s">
        <v>497</v>
      </c>
      <c r="AJ317" s="667">
        <v>0.01</v>
      </c>
      <c r="AK317" s="668">
        <f t="shared" si="31"/>
        <v>15000</v>
      </c>
      <c r="AL317" s="668">
        <f t="shared" si="32"/>
        <v>15000</v>
      </c>
      <c r="AM317" s="668">
        <f t="shared" si="32"/>
        <v>15000</v>
      </c>
      <c r="AN317" s="668"/>
      <c r="AO317" s="668"/>
      <c r="AP317" s="668">
        <f t="shared" si="33"/>
        <v>1156.25</v>
      </c>
      <c r="AQ317" s="668">
        <f t="shared" si="34"/>
        <v>1156.25</v>
      </c>
      <c r="AR317" s="668">
        <f t="shared" si="34"/>
        <v>1156.25</v>
      </c>
      <c r="AS317" s="668"/>
      <c r="AT317" s="668"/>
      <c r="AV317" s="670">
        <f t="shared" si="35"/>
        <v>1455000</v>
      </c>
      <c r="AW317" s="670">
        <f t="shared" si="36"/>
        <v>227781.25</v>
      </c>
      <c r="AX317" s="671">
        <f t="shared" si="30"/>
        <v>0</v>
      </c>
    </row>
    <row r="318" spans="1:51">
      <c r="A318" s="664" t="s">
        <v>494</v>
      </c>
      <c r="B318" s="664"/>
      <c r="C318" s="664"/>
      <c r="D318" s="664">
        <v>1160505001</v>
      </c>
      <c r="E318" s="664">
        <v>0</v>
      </c>
      <c r="F318" s="664">
        <v>44095</v>
      </c>
      <c r="G318" s="665">
        <v>43183</v>
      </c>
      <c r="H318" s="665">
        <v>43914</v>
      </c>
      <c r="I318" s="664">
        <v>1358</v>
      </c>
      <c r="J318" s="666">
        <v>400000</v>
      </c>
      <c r="K318" s="666">
        <v>67000</v>
      </c>
      <c r="L318" s="666">
        <v>0</v>
      </c>
      <c r="M318" s="664" t="s">
        <v>495</v>
      </c>
      <c r="N318" s="666">
        <v>400000</v>
      </c>
      <c r="O318" s="666">
        <v>67000</v>
      </c>
      <c r="P318" s="666">
        <v>271600</v>
      </c>
      <c r="Q318" s="664">
        <v>1</v>
      </c>
      <c r="R318" s="664" t="s">
        <v>496</v>
      </c>
      <c r="S318" s="664">
        <v>100</v>
      </c>
      <c r="T318" s="666">
        <v>400000</v>
      </c>
      <c r="U318" s="666">
        <v>67000</v>
      </c>
      <c r="V318" s="664">
        <v>100</v>
      </c>
      <c r="W318" s="666">
        <v>2091231</v>
      </c>
      <c r="X318" s="664">
        <v>15</v>
      </c>
      <c r="Y318" s="664">
        <v>1160902010</v>
      </c>
      <c r="Z318" s="664">
        <v>2023</v>
      </c>
      <c r="AA318" s="664">
        <v>12</v>
      </c>
      <c r="AB318" s="664">
        <v>5026003002</v>
      </c>
      <c r="AC318" s="664">
        <v>1160903005</v>
      </c>
      <c r="AD318" s="664">
        <v>0</v>
      </c>
      <c r="AE318" s="664">
        <v>0</v>
      </c>
      <c r="AF318" s="664">
        <v>0</v>
      </c>
      <c r="AG318" s="664">
        <v>1160605001</v>
      </c>
      <c r="AH318" s="664">
        <v>1390</v>
      </c>
      <c r="AI318" s="664" t="s">
        <v>497</v>
      </c>
      <c r="AJ318" s="667">
        <v>0.01</v>
      </c>
      <c r="AK318" s="668">
        <f t="shared" si="31"/>
        <v>4000</v>
      </c>
      <c r="AL318" s="668">
        <f t="shared" si="32"/>
        <v>4000</v>
      </c>
      <c r="AM318" s="668">
        <f t="shared" si="32"/>
        <v>4000</v>
      </c>
      <c r="AN318" s="668"/>
      <c r="AO318" s="668"/>
      <c r="AP318" s="668">
        <f t="shared" si="33"/>
        <v>335</v>
      </c>
      <c r="AQ318" s="668">
        <f t="shared" si="34"/>
        <v>335</v>
      </c>
      <c r="AR318" s="668">
        <f t="shared" si="34"/>
        <v>335</v>
      </c>
      <c r="AS318" s="668"/>
      <c r="AT318" s="668"/>
      <c r="AV318" s="670">
        <f t="shared" si="35"/>
        <v>388000</v>
      </c>
      <c r="AW318" s="670">
        <f t="shared" si="36"/>
        <v>65995</v>
      </c>
      <c r="AX318" s="671">
        <f t="shared" si="30"/>
        <v>0</v>
      </c>
    </row>
    <row r="319" spans="1:51">
      <c r="A319" s="664" t="s">
        <v>494</v>
      </c>
      <c r="B319" s="664"/>
      <c r="C319" s="664"/>
      <c r="D319" s="664">
        <v>1160505001</v>
      </c>
      <c r="E319" s="664">
        <v>0</v>
      </c>
      <c r="F319" s="664">
        <v>45860</v>
      </c>
      <c r="G319" s="665">
        <v>43493</v>
      </c>
      <c r="H319" s="665">
        <v>44589</v>
      </c>
      <c r="I319" s="664">
        <v>694</v>
      </c>
      <c r="J319" s="666">
        <v>8000000</v>
      </c>
      <c r="K319" s="666">
        <v>2160000</v>
      </c>
      <c r="L319" s="666">
        <v>0</v>
      </c>
      <c r="M319" s="664" t="s">
        <v>495</v>
      </c>
      <c r="N319" s="666">
        <v>8000000</v>
      </c>
      <c r="O319" s="666">
        <v>2160000</v>
      </c>
      <c r="P319" s="666">
        <v>2776000</v>
      </c>
      <c r="Q319" s="664">
        <v>1</v>
      </c>
      <c r="R319" s="664" t="s">
        <v>496</v>
      </c>
      <c r="S319" s="664">
        <v>100</v>
      </c>
      <c r="T319" s="666">
        <v>8000000</v>
      </c>
      <c r="U319" s="666">
        <v>2160000</v>
      </c>
      <c r="V319" s="664">
        <v>100</v>
      </c>
      <c r="W319" s="666">
        <v>602446</v>
      </c>
      <c r="X319" s="664">
        <v>15</v>
      </c>
      <c r="Y319" s="664">
        <v>1160902010</v>
      </c>
      <c r="Z319" s="664">
        <v>2023</v>
      </c>
      <c r="AA319" s="664">
        <v>12</v>
      </c>
      <c r="AB319" s="664">
        <v>5026003002</v>
      </c>
      <c r="AC319" s="664">
        <v>1160903005</v>
      </c>
      <c r="AD319" s="664">
        <v>0</v>
      </c>
      <c r="AE319" s="664">
        <v>0</v>
      </c>
      <c r="AF319" s="664">
        <v>0</v>
      </c>
      <c r="AG319" s="664">
        <v>1160605001</v>
      </c>
      <c r="AH319" s="664">
        <v>694</v>
      </c>
      <c r="AI319" s="664" t="s">
        <v>498</v>
      </c>
      <c r="AJ319" s="667">
        <v>0.1</v>
      </c>
      <c r="AK319" s="668">
        <f t="shared" si="31"/>
        <v>800000</v>
      </c>
      <c r="AL319" s="668">
        <f t="shared" si="32"/>
        <v>800000</v>
      </c>
      <c r="AM319" s="668">
        <f t="shared" si="32"/>
        <v>800000</v>
      </c>
      <c r="AN319" s="668"/>
      <c r="AO319" s="668"/>
      <c r="AP319" s="668">
        <f t="shared" si="33"/>
        <v>108000</v>
      </c>
      <c r="AQ319" s="668">
        <f t="shared" si="34"/>
        <v>108000</v>
      </c>
      <c r="AR319" s="668">
        <f t="shared" si="34"/>
        <v>108000</v>
      </c>
      <c r="AS319" s="668"/>
      <c r="AT319" s="668"/>
      <c r="AV319" s="670">
        <f t="shared" si="35"/>
        <v>5600000</v>
      </c>
      <c r="AW319" s="670">
        <f t="shared" si="36"/>
        <v>1836000</v>
      </c>
      <c r="AX319" s="671">
        <f t="shared" si="30"/>
        <v>0</v>
      </c>
    </row>
    <row r="320" spans="1:51">
      <c r="A320" s="664" t="s">
        <v>494</v>
      </c>
      <c r="B320" s="664"/>
      <c r="C320" s="664"/>
      <c r="D320" s="664">
        <v>1160505001</v>
      </c>
      <c r="E320" s="664">
        <v>0</v>
      </c>
      <c r="F320" s="664">
        <v>43394</v>
      </c>
      <c r="G320" s="665">
        <v>43122</v>
      </c>
      <c r="H320" s="665">
        <v>44218</v>
      </c>
      <c r="I320" s="664">
        <v>1060</v>
      </c>
      <c r="J320" s="666">
        <v>6000000</v>
      </c>
      <c r="K320" s="666">
        <v>1717860</v>
      </c>
      <c r="L320" s="666">
        <v>0</v>
      </c>
      <c r="M320" s="664" t="s">
        <v>495</v>
      </c>
      <c r="N320" s="666">
        <v>6000000</v>
      </c>
      <c r="O320" s="666">
        <v>1717860</v>
      </c>
      <c r="P320" s="666">
        <v>3180000</v>
      </c>
      <c r="Q320" s="664">
        <v>1</v>
      </c>
      <c r="R320" s="664" t="s">
        <v>496</v>
      </c>
      <c r="S320" s="664">
        <v>100</v>
      </c>
      <c r="T320" s="666">
        <v>6000000</v>
      </c>
      <c r="U320" s="666">
        <v>1717860</v>
      </c>
      <c r="V320" s="664">
        <v>100</v>
      </c>
      <c r="W320" s="666">
        <v>2309297</v>
      </c>
      <c r="X320" s="664">
        <v>14</v>
      </c>
      <c r="Y320" s="664">
        <v>1160902010</v>
      </c>
      <c r="Z320" s="664">
        <v>2023</v>
      </c>
      <c r="AA320" s="664">
        <v>12</v>
      </c>
      <c r="AB320" s="664">
        <v>5026003002</v>
      </c>
      <c r="AC320" s="664">
        <v>1160903005</v>
      </c>
      <c r="AD320" s="664">
        <v>0</v>
      </c>
      <c r="AE320" s="664">
        <v>0</v>
      </c>
      <c r="AF320" s="664">
        <v>0</v>
      </c>
      <c r="AG320" s="664">
        <v>1160605001</v>
      </c>
      <c r="AH320" s="664">
        <v>1060</v>
      </c>
      <c r="AI320" s="664" t="s">
        <v>499</v>
      </c>
      <c r="AJ320" s="667">
        <v>0.05</v>
      </c>
      <c r="AK320" s="668">
        <f t="shared" si="31"/>
        <v>300000</v>
      </c>
      <c r="AL320" s="668">
        <f t="shared" si="32"/>
        <v>300000</v>
      </c>
      <c r="AM320" s="668">
        <f t="shared" si="32"/>
        <v>300000</v>
      </c>
      <c r="AN320" s="668"/>
      <c r="AO320" s="668"/>
      <c r="AP320" s="668">
        <f t="shared" si="33"/>
        <v>42946.5</v>
      </c>
      <c r="AQ320" s="668">
        <f t="shared" si="34"/>
        <v>42946.5</v>
      </c>
      <c r="AR320" s="668">
        <f t="shared" si="34"/>
        <v>42946.5</v>
      </c>
      <c r="AS320" s="668"/>
      <c r="AT320" s="668"/>
      <c r="AV320" s="670">
        <f t="shared" si="35"/>
        <v>5100000</v>
      </c>
      <c r="AW320" s="670">
        <f t="shared" si="36"/>
        <v>1589020.5</v>
      </c>
      <c r="AX320" s="671">
        <f t="shared" si="30"/>
        <v>0</v>
      </c>
    </row>
    <row r="321" spans="1:51">
      <c r="A321" s="664" t="s">
        <v>494</v>
      </c>
      <c r="B321" s="664"/>
      <c r="C321" s="664"/>
      <c r="D321" s="664">
        <v>1160505004</v>
      </c>
      <c r="E321" s="664">
        <v>31867</v>
      </c>
      <c r="F321" s="664">
        <v>36121</v>
      </c>
      <c r="G321" s="665">
        <v>41840</v>
      </c>
      <c r="H321" s="665">
        <v>42936</v>
      </c>
      <c r="I321" s="664">
        <v>2322</v>
      </c>
      <c r="J321" s="666">
        <v>90491</v>
      </c>
      <c r="K321" s="666">
        <v>0</v>
      </c>
      <c r="L321" s="666">
        <v>0</v>
      </c>
      <c r="M321" s="664" t="s">
        <v>495</v>
      </c>
      <c r="N321" s="666">
        <v>90491</v>
      </c>
      <c r="O321" s="666">
        <v>0</v>
      </c>
      <c r="P321" s="666">
        <v>105060</v>
      </c>
      <c r="Q321" s="664">
        <v>1</v>
      </c>
      <c r="R321" s="664" t="s">
        <v>496</v>
      </c>
      <c r="S321" s="664">
        <v>100</v>
      </c>
      <c r="T321" s="666">
        <v>90491</v>
      </c>
      <c r="U321" s="666">
        <v>0</v>
      </c>
      <c r="V321" s="664">
        <v>100</v>
      </c>
      <c r="W321" s="666">
        <v>0</v>
      </c>
      <c r="X321" s="664">
        <v>5</v>
      </c>
      <c r="Y321" s="664">
        <v>1160902010</v>
      </c>
      <c r="Z321" s="664">
        <v>2023</v>
      </c>
      <c r="AA321" s="664">
        <v>12</v>
      </c>
      <c r="AB321" s="664">
        <v>5026003002</v>
      </c>
      <c r="AC321" s="664">
        <v>1160903005</v>
      </c>
      <c r="AD321" s="664">
        <v>0</v>
      </c>
      <c r="AE321" s="664">
        <v>0</v>
      </c>
      <c r="AF321" s="664">
        <v>0</v>
      </c>
      <c r="AG321" s="664">
        <v>1160605001</v>
      </c>
      <c r="AH321" s="664">
        <v>2322</v>
      </c>
      <c r="AI321" s="664" t="s">
        <v>497</v>
      </c>
      <c r="AJ321" s="667">
        <v>0.01</v>
      </c>
      <c r="AK321" s="668">
        <f t="shared" si="31"/>
        <v>904.91</v>
      </c>
      <c r="AL321" s="668">
        <f t="shared" si="32"/>
        <v>904.91</v>
      </c>
      <c r="AM321" s="668">
        <f t="shared" si="32"/>
        <v>904.91</v>
      </c>
      <c r="AN321" s="668"/>
      <c r="AO321" s="668"/>
      <c r="AP321" s="668">
        <f t="shared" si="33"/>
        <v>0</v>
      </c>
      <c r="AQ321" s="668">
        <f t="shared" si="34"/>
        <v>0</v>
      </c>
      <c r="AR321" s="668">
        <f t="shared" si="34"/>
        <v>0</v>
      </c>
      <c r="AS321" s="668"/>
      <c r="AT321" s="668"/>
      <c r="AV321" s="670">
        <f t="shared" si="35"/>
        <v>87776.26999999999</v>
      </c>
      <c r="AW321" s="670">
        <f t="shared" si="36"/>
        <v>0</v>
      </c>
      <c r="AX321" s="671">
        <f t="shared" si="30"/>
        <v>0</v>
      </c>
    </row>
    <row r="322" spans="1:51">
      <c r="A322" s="664" t="s">
        <v>494</v>
      </c>
      <c r="B322" s="664"/>
      <c r="C322" s="664"/>
      <c r="D322" s="664">
        <v>1160504001</v>
      </c>
      <c r="E322" s="664">
        <v>0</v>
      </c>
      <c r="F322" s="664">
        <v>44602</v>
      </c>
      <c r="G322" s="665">
        <v>43248</v>
      </c>
      <c r="H322" s="665">
        <v>45074</v>
      </c>
      <c r="I322" s="664">
        <v>214</v>
      </c>
      <c r="J322" s="666">
        <v>920000</v>
      </c>
      <c r="K322" s="666">
        <v>125350</v>
      </c>
      <c r="L322" s="666">
        <v>0</v>
      </c>
      <c r="M322" s="664" t="s">
        <v>495</v>
      </c>
      <c r="N322" s="666">
        <v>920000</v>
      </c>
      <c r="O322" s="666">
        <v>125350</v>
      </c>
      <c r="P322" s="666">
        <v>98440</v>
      </c>
      <c r="Q322" s="664">
        <v>1</v>
      </c>
      <c r="R322" s="664" t="s">
        <v>501</v>
      </c>
      <c r="S322" s="664">
        <v>100</v>
      </c>
      <c r="T322" s="666">
        <v>920000</v>
      </c>
      <c r="U322" s="666">
        <v>125350</v>
      </c>
      <c r="V322" s="664">
        <v>100</v>
      </c>
      <c r="W322" s="666">
        <v>991932</v>
      </c>
      <c r="X322" s="664">
        <v>14</v>
      </c>
      <c r="Y322" s="664">
        <v>1160902008</v>
      </c>
      <c r="Z322" s="664">
        <v>2023</v>
      </c>
      <c r="AA322" s="664">
        <v>12</v>
      </c>
      <c r="AB322" s="664">
        <v>5026003002</v>
      </c>
      <c r="AC322" s="664">
        <v>1160903004</v>
      </c>
      <c r="AD322" s="664">
        <v>0</v>
      </c>
      <c r="AE322" s="664">
        <v>0</v>
      </c>
      <c r="AF322" s="664">
        <v>0</v>
      </c>
      <c r="AG322" s="664">
        <v>1160604001</v>
      </c>
      <c r="AH322" s="664">
        <v>214</v>
      </c>
      <c r="AI322" s="664" t="s">
        <v>500</v>
      </c>
      <c r="AJ322" s="667">
        <v>0.3</v>
      </c>
      <c r="AK322" s="668">
        <f t="shared" si="31"/>
        <v>276000</v>
      </c>
      <c r="AL322" s="668">
        <f t="shared" si="32"/>
        <v>276000</v>
      </c>
      <c r="AM322" s="668">
        <f t="shared" si="32"/>
        <v>276000</v>
      </c>
      <c r="AN322" s="668"/>
      <c r="AO322" s="668"/>
      <c r="AP322" s="668">
        <f t="shared" si="33"/>
        <v>18802.5</v>
      </c>
      <c r="AQ322" s="668">
        <f t="shared" si="34"/>
        <v>18802.5</v>
      </c>
      <c r="AR322" s="668">
        <f t="shared" si="34"/>
        <v>18802.5</v>
      </c>
      <c r="AS322" s="668"/>
      <c r="AT322" s="668"/>
      <c r="AV322" s="670">
        <f t="shared" si="35"/>
        <v>92000</v>
      </c>
      <c r="AW322" s="670">
        <f t="shared" si="36"/>
        <v>68942.5</v>
      </c>
      <c r="AX322" s="671">
        <f t="shared" si="30"/>
        <v>0</v>
      </c>
    </row>
    <row r="323" spans="1:51">
      <c r="A323" s="664" t="s">
        <v>494</v>
      </c>
      <c r="B323" s="664"/>
      <c r="C323" s="664"/>
      <c r="D323" s="664">
        <v>1160405004</v>
      </c>
      <c r="E323" s="664">
        <v>46508</v>
      </c>
      <c r="F323" s="664">
        <v>46514</v>
      </c>
      <c r="G323" s="665">
        <v>43555</v>
      </c>
      <c r="H323" s="665">
        <v>44651</v>
      </c>
      <c r="I323" s="664">
        <v>632</v>
      </c>
      <c r="J323" s="666">
        <v>108920424</v>
      </c>
      <c r="K323" s="666">
        <v>33148109</v>
      </c>
      <c r="L323" s="666">
        <v>216355000</v>
      </c>
      <c r="M323" s="664" t="s">
        <v>495</v>
      </c>
      <c r="N323" s="666">
        <v>0</v>
      </c>
      <c r="O323" s="666">
        <v>33148109</v>
      </c>
      <c r="P323" s="666">
        <v>34418854</v>
      </c>
      <c r="Q323" s="664">
        <v>2</v>
      </c>
      <c r="R323" s="664" t="s">
        <v>496</v>
      </c>
      <c r="S323" s="664">
        <v>100</v>
      </c>
      <c r="T323" s="666">
        <v>0</v>
      </c>
      <c r="U323" s="666">
        <v>33148109</v>
      </c>
      <c r="V323" s="664">
        <v>100</v>
      </c>
      <c r="W323" s="666">
        <v>15052598</v>
      </c>
      <c r="X323" s="664">
        <v>5</v>
      </c>
      <c r="Y323" s="664">
        <v>1160902009</v>
      </c>
      <c r="Z323" s="664">
        <v>2023</v>
      </c>
      <c r="AA323" s="664">
        <v>12</v>
      </c>
      <c r="AB323" s="664">
        <v>5026003002</v>
      </c>
      <c r="AC323" s="664">
        <v>1160903005</v>
      </c>
      <c r="AD323" s="664">
        <v>0</v>
      </c>
      <c r="AE323" s="664">
        <v>0</v>
      </c>
      <c r="AF323" s="664">
        <v>1</v>
      </c>
      <c r="AG323" s="664">
        <v>1160605001</v>
      </c>
      <c r="AH323" s="664">
        <v>632</v>
      </c>
      <c r="AI323" s="664" t="s">
        <v>498</v>
      </c>
      <c r="AJ323" s="667">
        <v>0.1</v>
      </c>
      <c r="AK323" s="668">
        <f t="shared" si="31"/>
        <v>10892042.4</v>
      </c>
      <c r="AL323" s="668">
        <f t="shared" si="32"/>
        <v>10892042.4</v>
      </c>
      <c r="AM323" s="668">
        <f t="shared" si="32"/>
        <v>10892042.4</v>
      </c>
      <c r="AN323" s="668"/>
      <c r="AO323" s="668"/>
      <c r="AP323" s="668">
        <f t="shared" si="33"/>
        <v>1657405.4500000002</v>
      </c>
      <c r="AQ323" s="668">
        <f t="shared" si="34"/>
        <v>1657405.4500000002</v>
      </c>
      <c r="AR323" s="668">
        <f t="shared" si="34"/>
        <v>1657405.4500000002</v>
      </c>
      <c r="AS323" s="668"/>
      <c r="AT323" s="668"/>
      <c r="AV323" s="670">
        <f t="shared" si="35"/>
        <v>76244296.799999982</v>
      </c>
      <c r="AW323" s="670">
        <f t="shared" si="36"/>
        <v>28175892.650000002</v>
      </c>
      <c r="AX323" s="671">
        <f t="shared" si="30"/>
        <v>108920424</v>
      </c>
      <c r="AY323" s="671">
        <f>+AX323-L323</f>
        <v>-107434576</v>
      </c>
    </row>
    <row r="324" spans="1:51">
      <c r="A324" s="664" t="s">
        <v>494</v>
      </c>
      <c r="B324" s="664"/>
      <c r="C324" s="664"/>
      <c r="D324" s="664">
        <v>1160405004</v>
      </c>
      <c r="E324" s="664">
        <v>0</v>
      </c>
      <c r="F324" s="664">
        <v>43269</v>
      </c>
      <c r="G324" s="665">
        <v>43555</v>
      </c>
      <c r="H324" s="665">
        <v>44651</v>
      </c>
      <c r="I324" s="664">
        <v>632</v>
      </c>
      <c r="J324" s="666">
        <v>0</v>
      </c>
      <c r="K324" s="666">
        <v>18595423</v>
      </c>
      <c r="L324" s="666">
        <v>0</v>
      </c>
      <c r="M324" s="664" t="s">
        <v>495</v>
      </c>
      <c r="N324" s="666">
        <v>0</v>
      </c>
      <c r="O324" s="666">
        <v>18595423</v>
      </c>
      <c r="P324" s="666">
        <v>0</v>
      </c>
      <c r="Q324" s="664">
        <v>2</v>
      </c>
      <c r="R324" s="664" t="s">
        <v>496</v>
      </c>
      <c r="S324" s="664">
        <v>100</v>
      </c>
      <c r="T324" s="666">
        <v>0</v>
      </c>
      <c r="U324" s="666">
        <v>18595423</v>
      </c>
      <c r="V324" s="664">
        <v>100</v>
      </c>
      <c r="W324" s="666">
        <v>15052598</v>
      </c>
      <c r="X324" s="664">
        <v>5</v>
      </c>
      <c r="Y324" s="664">
        <v>1160902009</v>
      </c>
      <c r="Z324" s="664">
        <v>2023</v>
      </c>
      <c r="AA324" s="664">
        <v>12</v>
      </c>
      <c r="AB324" s="664">
        <v>5026003002</v>
      </c>
      <c r="AC324" s="664">
        <v>1160903005</v>
      </c>
      <c r="AD324" s="664">
        <v>0</v>
      </c>
      <c r="AE324" s="664">
        <v>0</v>
      </c>
      <c r="AF324" s="664">
        <v>1</v>
      </c>
      <c r="AG324" s="664">
        <v>1160605001</v>
      </c>
      <c r="AH324" s="664">
        <v>632</v>
      </c>
      <c r="AI324" s="664" t="s">
        <v>498</v>
      </c>
      <c r="AJ324" s="667">
        <v>0.1</v>
      </c>
      <c r="AK324" s="668">
        <f t="shared" si="31"/>
        <v>0</v>
      </c>
      <c r="AL324" s="668">
        <f t="shared" si="32"/>
        <v>0</v>
      </c>
      <c r="AM324" s="668">
        <f t="shared" si="32"/>
        <v>0</v>
      </c>
      <c r="AN324" s="668"/>
      <c r="AO324" s="668"/>
      <c r="AP324" s="668">
        <f t="shared" si="33"/>
        <v>929771.15</v>
      </c>
      <c r="AQ324" s="668">
        <f t="shared" si="34"/>
        <v>929771.15</v>
      </c>
      <c r="AR324" s="668">
        <f t="shared" si="34"/>
        <v>929771.15</v>
      </c>
      <c r="AS324" s="668"/>
      <c r="AT324" s="668"/>
      <c r="AV324" s="670">
        <f t="shared" si="35"/>
        <v>0</v>
      </c>
      <c r="AW324" s="670">
        <f t="shared" si="36"/>
        <v>15806109.550000001</v>
      </c>
      <c r="AX324" s="671">
        <f t="shared" si="30"/>
        <v>0</v>
      </c>
    </row>
    <row r="325" spans="1:51">
      <c r="A325" s="664" t="s">
        <v>494</v>
      </c>
      <c r="B325" s="664"/>
      <c r="C325" s="664"/>
      <c r="D325" s="664">
        <v>1160505001</v>
      </c>
      <c r="E325" s="664">
        <v>0</v>
      </c>
      <c r="F325" s="664">
        <v>45566</v>
      </c>
      <c r="G325" s="665">
        <v>43451</v>
      </c>
      <c r="H325" s="665">
        <v>43816</v>
      </c>
      <c r="I325" s="664">
        <v>1455</v>
      </c>
      <c r="J325" s="666">
        <v>20000000</v>
      </c>
      <c r="K325" s="666">
        <v>2400000</v>
      </c>
      <c r="L325" s="666">
        <v>0</v>
      </c>
      <c r="M325" s="664" t="s">
        <v>495</v>
      </c>
      <c r="N325" s="666">
        <v>20000000</v>
      </c>
      <c r="O325" s="666">
        <v>2400000</v>
      </c>
      <c r="P325" s="666">
        <v>14550000</v>
      </c>
      <c r="Q325" s="664">
        <v>1</v>
      </c>
      <c r="R325" s="664" t="s">
        <v>496</v>
      </c>
      <c r="S325" s="664">
        <v>100</v>
      </c>
      <c r="T325" s="666">
        <v>20000000</v>
      </c>
      <c r="U325" s="666">
        <v>2400000</v>
      </c>
      <c r="V325" s="664">
        <v>100</v>
      </c>
      <c r="W325" s="666">
        <v>5072636</v>
      </c>
      <c r="X325" s="664">
        <v>15</v>
      </c>
      <c r="Y325" s="664">
        <v>1160902010</v>
      </c>
      <c r="Z325" s="664">
        <v>2023</v>
      </c>
      <c r="AA325" s="664">
        <v>12</v>
      </c>
      <c r="AB325" s="664">
        <v>5026003002</v>
      </c>
      <c r="AC325" s="664">
        <v>1160903005</v>
      </c>
      <c r="AD325" s="664">
        <v>0</v>
      </c>
      <c r="AE325" s="664">
        <v>0</v>
      </c>
      <c r="AF325" s="664">
        <v>0</v>
      </c>
      <c r="AG325" s="664">
        <v>1160605001</v>
      </c>
      <c r="AH325" s="664">
        <v>1455</v>
      </c>
      <c r="AI325" s="664" t="s">
        <v>497</v>
      </c>
      <c r="AJ325" s="667">
        <v>0.01</v>
      </c>
      <c r="AK325" s="668">
        <f t="shared" si="31"/>
        <v>200000</v>
      </c>
      <c r="AL325" s="668">
        <f t="shared" si="32"/>
        <v>200000</v>
      </c>
      <c r="AM325" s="668">
        <f t="shared" si="32"/>
        <v>200000</v>
      </c>
      <c r="AN325" s="668"/>
      <c r="AO325" s="668"/>
      <c r="AP325" s="668">
        <f t="shared" si="33"/>
        <v>12000</v>
      </c>
      <c r="AQ325" s="668">
        <f t="shared" si="34"/>
        <v>12000</v>
      </c>
      <c r="AR325" s="668">
        <f t="shared" si="34"/>
        <v>12000</v>
      </c>
      <c r="AS325" s="668"/>
      <c r="AT325" s="668"/>
      <c r="AV325" s="670">
        <f t="shared" si="35"/>
        <v>19400000</v>
      </c>
      <c r="AW325" s="670">
        <f t="shared" si="36"/>
        <v>2364000</v>
      </c>
      <c r="AX325" s="671">
        <f t="shared" si="30"/>
        <v>0</v>
      </c>
    </row>
    <row r="326" spans="1:51">
      <c r="A326" s="664" t="s">
        <v>494</v>
      </c>
      <c r="B326" s="664"/>
      <c r="C326" s="664"/>
      <c r="D326" s="664">
        <v>1160505001</v>
      </c>
      <c r="E326" s="664">
        <v>0</v>
      </c>
      <c r="F326" s="664">
        <v>45970</v>
      </c>
      <c r="G326" s="665">
        <v>43503</v>
      </c>
      <c r="H326" s="665">
        <v>43868</v>
      </c>
      <c r="I326" s="664">
        <v>1405</v>
      </c>
      <c r="J326" s="666">
        <v>3000000</v>
      </c>
      <c r="K326" s="666">
        <v>270000</v>
      </c>
      <c r="L326" s="666">
        <v>0</v>
      </c>
      <c r="M326" s="664" t="s">
        <v>495</v>
      </c>
      <c r="N326" s="666">
        <v>3000000</v>
      </c>
      <c r="O326" s="666">
        <v>270000</v>
      </c>
      <c r="P326" s="666">
        <v>2107500</v>
      </c>
      <c r="Q326" s="664">
        <v>1</v>
      </c>
      <c r="R326" s="664" t="s">
        <v>496</v>
      </c>
      <c r="S326" s="664">
        <v>100</v>
      </c>
      <c r="T326" s="666">
        <v>3000000</v>
      </c>
      <c r="U326" s="666">
        <v>270000</v>
      </c>
      <c r="V326" s="664">
        <v>100</v>
      </c>
      <c r="W326" s="666">
        <v>1222492</v>
      </c>
      <c r="X326" s="664">
        <v>2</v>
      </c>
      <c r="Y326" s="664">
        <v>1160902010</v>
      </c>
      <c r="Z326" s="664">
        <v>2023</v>
      </c>
      <c r="AA326" s="664">
        <v>12</v>
      </c>
      <c r="AB326" s="664">
        <v>5026003002</v>
      </c>
      <c r="AC326" s="664">
        <v>1160903005</v>
      </c>
      <c r="AD326" s="664">
        <v>0</v>
      </c>
      <c r="AE326" s="664">
        <v>0</v>
      </c>
      <c r="AF326" s="664">
        <v>0</v>
      </c>
      <c r="AG326" s="664">
        <v>1160605001</v>
      </c>
      <c r="AH326" s="664">
        <v>1405</v>
      </c>
      <c r="AI326" s="664" t="s">
        <v>497</v>
      </c>
      <c r="AJ326" s="667">
        <v>0.01</v>
      </c>
      <c r="AK326" s="668">
        <f t="shared" si="31"/>
        <v>30000</v>
      </c>
      <c r="AL326" s="668">
        <f t="shared" si="32"/>
        <v>30000</v>
      </c>
      <c r="AM326" s="668">
        <f t="shared" si="32"/>
        <v>30000</v>
      </c>
      <c r="AN326" s="668"/>
      <c r="AO326" s="668"/>
      <c r="AP326" s="668">
        <f t="shared" si="33"/>
        <v>1350</v>
      </c>
      <c r="AQ326" s="668">
        <f t="shared" si="34"/>
        <v>1350</v>
      </c>
      <c r="AR326" s="668">
        <f t="shared" si="34"/>
        <v>1350</v>
      </c>
      <c r="AS326" s="668"/>
      <c r="AT326" s="668"/>
      <c r="AV326" s="670">
        <f t="shared" si="35"/>
        <v>2910000</v>
      </c>
      <c r="AW326" s="670">
        <f t="shared" si="36"/>
        <v>265950</v>
      </c>
      <c r="AX326" s="671">
        <f t="shared" ref="AX326:AX389" si="38">+J326-N326</f>
        <v>0</v>
      </c>
    </row>
    <row r="327" spans="1:51">
      <c r="A327" s="664" t="s">
        <v>494</v>
      </c>
      <c r="B327" s="664"/>
      <c r="C327" s="664"/>
      <c r="D327" s="664">
        <v>1160505002</v>
      </c>
      <c r="E327" s="664">
        <v>0</v>
      </c>
      <c r="F327" s="664">
        <v>46220</v>
      </c>
      <c r="G327" s="665">
        <v>43521</v>
      </c>
      <c r="H327" s="665">
        <v>43886</v>
      </c>
      <c r="I327" s="664">
        <v>1387</v>
      </c>
      <c r="J327" s="666">
        <v>989400</v>
      </c>
      <c r="K327" s="666">
        <v>89052</v>
      </c>
      <c r="L327" s="666">
        <v>0</v>
      </c>
      <c r="M327" s="664" t="s">
        <v>495</v>
      </c>
      <c r="N327" s="666">
        <v>989400</v>
      </c>
      <c r="O327" s="666">
        <v>89052</v>
      </c>
      <c r="P327" s="666">
        <v>686149</v>
      </c>
      <c r="Q327" s="664">
        <v>1</v>
      </c>
      <c r="R327" s="664" t="s">
        <v>496</v>
      </c>
      <c r="S327" s="664">
        <v>100</v>
      </c>
      <c r="T327" s="666">
        <v>989400</v>
      </c>
      <c r="U327" s="666">
        <v>89052</v>
      </c>
      <c r="V327" s="664">
        <v>100</v>
      </c>
      <c r="W327" s="666">
        <v>1222492</v>
      </c>
      <c r="X327" s="664">
        <v>6</v>
      </c>
      <c r="Y327" s="664">
        <v>1160902010</v>
      </c>
      <c r="Z327" s="664">
        <v>2023</v>
      </c>
      <c r="AA327" s="664">
        <v>12</v>
      </c>
      <c r="AB327" s="664">
        <v>5026003002</v>
      </c>
      <c r="AC327" s="664">
        <v>1160903005</v>
      </c>
      <c r="AD327" s="664">
        <v>0</v>
      </c>
      <c r="AE327" s="664">
        <v>0</v>
      </c>
      <c r="AF327" s="664">
        <v>0</v>
      </c>
      <c r="AG327" s="664">
        <v>1160605001</v>
      </c>
      <c r="AH327" s="664">
        <v>1405</v>
      </c>
      <c r="AI327" s="664" t="s">
        <v>497</v>
      </c>
      <c r="AJ327" s="667">
        <v>0.01</v>
      </c>
      <c r="AK327" s="668">
        <f t="shared" ref="AK327:AK390" si="39">+$J327*$AJ327</f>
        <v>9894</v>
      </c>
      <c r="AL327" s="668">
        <f t="shared" ref="AL327:AM390" si="40">IF(($J327-$AK327)&gt;0,$J327*$AJ327,0)</f>
        <v>9894</v>
      </c>
      <c r="AM327" s="668">
        <f t="shared" si="40"/>
        <v>9894</v>
      </c>
      <c r="AN327" s="668"/>
      <c r="AO327" s="668"/>
      <c r="AP327" s="668">
        <f t="shared" ref="AP327:AP390" si="41">+K327*(AJ327/2)</f>
        <v>445.26</v>
      </c>
      <c r="AQ327" s="668">
        <f t="shared" ref="AQ327:AR390" si="42">AP327</f>
        <v>445.26</v>
      </c>
      <c r="AR327" s="668">
        <f t="shared" si="42"/>
        <v>445.26</v>
      </c>
      <c r="AS327" s="668"/>
      <c r="AT327" s="668"/>
      <c r="AV327" s="670">
        <f t="shared" ref="AV327:AV390" si="43">J327-AK327-AL327-AM327</f>
        <v>959718</v>
      </c>
      <c r="AW327" s="670">
        <f t="shared" ref="AW327:AW390" si="44">+K327-AP327-AQ327-AR327</f>
        <v>87716.220000000016</v>
      </c>
      <c r="AX327" s="671">
        <f t="shared" si="38"/>
        <v>0</v>
      </c>
    </row>
    <row r="328" spans="1:51">
      <c r="A328" s="664" t="s">
        <v>494</v>
      </c>
      <c r="B328" s="664"/>
      <c r="C328" s="664"/>
      <c r="D328" s="664">
        <v>1160505001</v>
      </c>
      <c r="E328" s="664">
        <v>0</v>
      </c>
      <c r="F328" s="664">
        <v>47085</v>
      </c>
      <c r="G328" s="665">
        <v>43658</v>
      </c>
      <c r="H328" s="665">
        <v>44573</v>
      </c>
      <c r="I328" s="664">
        <v>710</v>
      </c>
      <c r="J328" s="666">
        <v>1179610</v>
      </c>
      <c r="K328" s="666">
        <v>98792</v>
      </c>
      <c r="L328" s="666">
        <v>0</v>
      </c>
      <c r="M328" s="664" t="s">
        <v>495</v>
      </c>
      <c r="N328" s="666">
        <v>1179610</v>
      </c>
      <c r="O328" s="666">
        <v>98792</v>
      </c>
      <c r="P328" s="666">
        <v>418762</v>
      </c>
      <c r="Q328" s="664">
        <v>1</v>
      </c>
      <c r="R328" s="664" t="s">
        <v>496</v>
      </c>
      <c r="S328" s="664">
        <v>100</v>
      </c>
      <c r="T328" s="666">
        <v>1179610</v>
      </c>
      <c r="U328" s="666">
        <v>98792</v>
      </c>
      <c r="V328" s="664">
        <v>100</v>
      </c>
      <c r="W328" s="666">
        <v>5887706</v>
      </c>
      <c r="X328" s="664">
        <v>14</v>
      </c>
      <c r="Y328" s="664">
        <v>1160902010</v>
      </c>
      <c r="Z328" s="664">
        <v>2023</v>
      </c>
      <c r="AA328" s="664">
        <v>12</v>
      </c>
      <c r="AB328" s="664">
        <v>5026003002</v>
      </c>
      <c r="AC328" s="664">
        <v>1160903005</v>
      </c>
      <c r="AD328" s="664">
        <v>0</v>
      </c>
      <c r="AE328" s="664">
        <v>0</v>
      </c>
      <c r="AF328" s="664">
        <v>0</v>
      </c>
      <c r="AG328" s="664">
        <v>1160605001</v>
      </c>
      <c r="AH328" s="664">
        <v>710</v>
      </c>
      <c r="AI328" s="664" t="s">
        <v>498</v>
      </c>
      <c r="AJ328" s="667">
        <v>0.1</v>
      </c>
      <c r="AK328" s="668">
        <f t="shared" si="39"/>
        <v>117961</v>
      </c>
      <c r="AL328" s="668">
        <f t="shared" si="40"/>
        <v>117961</v>
      </c>
      <c r="AM328" s="668">
        <f t="shared" si="40"/>
        <v>117961</v>
      </c>
      <c r="AN328" s="668"/>
      <c r="AO328" s="668"/>
      <c r="AP328" s="668">
        <f t="shared" si="41"/>
        <v>4939.6000000000004</v>
      </c>
      <c r="AQ328" s="668">
        <f t="shared" si="42"/>
        <v>4939.6000000000004</v>
      </c>
      <c r="AR328" s="668">
        <f t="shared" si="42"/>
        <v>4939.6000000000004</v>
      </c>
      <c r="AS328" s="668"/>
      <c r="AT328" s="668"/>
      <c r="AV328" s="670">
        <f t="shared" si="43"/>
        <v>825727</v>
      </c>
      <c r="AW328" s="670">
        <f t="shared" si="44"/>
        <v>83973.199999999983</v>
      </c>
      <c r="AX328" s="671">
        <f t="shared" si="38"/>
        <v>0</v>
      </c>
    </row>
    <row r="329" spans="1:51">
      <c r="A329" s="664" t="s">
        <v>494</v>
      </c>
      <c r="B329" s="664"/>
      <c r="C329" s="664"/>
      <c r="D329" s="664">
        <v>1160505001</v>
      </c>
      <c r="E329" s="664">
        <v>0</v>
      </c>
      <c r="F329" s="664">
        <v>44922</v>
      </c>
      <c r="G329" s="665">
        <v>43289</v>
      </c>
      <c r="H329" s="665">
        <v>44750</v>
      </c>
      <c r="I329" s="664">
        <v>534</v>
      </c>
      <c r="J329" s="666">
        <v>250000</v>
      </c>
      <c r="K329" s="666">
        <v>0</v>
      </c>
      <c r="L329" s="666">
        <v>0</v>
      </c>
      <c r="M329" s="664" t="s">
        <v>495</v>
      </c>
      <c r="N329" s="666">
        <v>250000</v>
      </c>
      <c r="O329" s="666">
        <v>0</v>
      </c>
      <c r="P329" s="666">
        <v>66750</v>
      </c>
      <c r="Q329" s="664">
        <v>1</v>
      </c>
      <c r="R329" s="664" t="s">
        <v>496</v>
      </c>
      <c r="S329" s="664">
        <v>100</v>
      </c>
      <c r="T329" s="666">
        <v>250000</v>
      </c>
      <c r="U329" s="666">
        <v>0</v>
      </c>
      <c r="V329" s="664">
        <v>100</v>
      </c>
      <c r="W329" s="666">
        <v>5408757</v>
      </c>
      <c r="X329" s="664">
        <v>14</v>
      </c>
      <c r="Y329" s="664">
        <v>1160902010</v>
      </c>
      <c r="Z329" s="664">
        <v>2023</v>
      </c>
      <c r="AA329" s="664">
        <v>12</v>
      </c>
      <c r="AB329" s="664">
        <v>5026003002</v>
      </c>
      <c r="AC329" s="664">
        <v>1160903005</v>
      </c>
      <c r="AD329" s="664">
        <v>0</v>
      </c>
      <c r="AE329" s="664">
        <v>0</v>
      </c>
      <c r="AF329" s="664">
        <v>0</v>
      </c>
      <c r="AG329" s="664">
        <v>1160605001</v>
      </c>
      <c r="AH329" s="664">
        <v>534</v>
      </c>
      <c r="AI329" s="664" t="s">
        <v>498</v>
      </c>
      <c r="AJ329" s="667">
        <v>0.1</v>
      </c>
      <c r="AK329" s="668">
        <f t="shared" si="39"/>
        <v>25000</v>
      </c>
      <c r="AL329" s="668">
        <f t="shared" si="40"/>
        <v>25000</v>
      </c>
      <c r="AM329" s="668">
        <f t="shared" si="40"/>
        <v>25000</v>
      </c>
      <c r="AN329" s="668"/>
      <c r="AO329" s="668"/>
      <c r="AP329" s="668">
        <f t="shared" si="41"/>
        <v>0</v>
      </c>
      <c r="AQ329" s="668">
        <f t="shared" si="42"/>
        <v>0</v>
      </c>
      <c r="AR329" s="668">
        <f t="shared" si="42"/>
        <v>0</v>
      </c>
      <c r="AS329" s="668"/>
      <c r="AT329" s="668"/>
      <c r="AV329" s="670">
        <f t="shared" si="43"/>
        <v>175000</v>
      </c>
      <c r="AW329" s="670">
        <f t="shared" si="44"/>
        <v>0</v>
      </c>
      <c r="AX329" s="671">
        <f t="shared" si="38"/>
        <v>0</v>
      </c>
    </row>
    <row r="330" spans="1:51">
      <c r="A330" s="664" t="s">
        <v>494</v>
      </c>
      <c r="B330" s="664"/>
      <c r="C330" s="664"/>
      <c r="D330" s="664">
        <v>1160505001</v>
      </c>
      <c r="E330" s="664">
        <v>0</v>
      </c>
      <c r="F330" s="664">
        <v>42214</v>
      </c>
      <c r="G330" s="665">
        <v>42875</v>
      </c>
      <c r="H330" s="665">
        <v>44701</v>
      </c>
      <c r="I330" s="664">
        <v>582</v>
      </c>
      <c r="J330" s="666">
        <v>1194052</v>
      </c>
      <c r="K330" s="666">
        <v>73304</v>
      </c>
      <c r="L330" s="666">
        <v>0</v>
      </c>
      <c r="M330" s="664" t="s">
        <v>495</v>
      </c>
      <c r="N330" s="666">
        <v>1194052</v>
      </c>
      <c r="O330" s="666">
        <v>73304</v>
      </c>
      <c r="P330" s="666">
        <v>347469</v>
      </c>
      <c r="Q330" s="664">
        <v>1</v>
      </c>
      <c r="R330" s="664" t="s">
        <v>496</v>
      </c>
      <c r="S330" s="664">
        <v>100</v>
      </c>
      <c r="T330" s="666">
        <v>1194052</v>
      </c>
      <c r="U330" s="666">
        <v>73304</v>
      </c>
      <c r="V330" s="664">
        <v>100</v>
      </c>
      <c r="W330" s="666">
        <v>5962521</v>
      </c>
      <c r="X330" s="664">
        <v>14</v>
      </c>
      <c r="Y330" s="664">
        <v>1160902010</v>
      </c>
      <c r="Z330" s="664">
        <v>2023</v>
      </c>
      <c r="AA330" s="664">
        <v>12</v>
      </c>
      <c r="AB330" s="664">
        <v>5026003002</v>
      </c>
      <c r="AC330" s="664">
        <v>1160903005</v>
      </c>
      <c r="AD330" s="664">
        <v>0</v>
      </c>
      <c r="AE330" s="664">
        <v>0</v>
      </c>
      <c r="AF330" s="664">
        <v>0</v>
      </c>
      <c r="AG330" s="664">
        <v>1160605001</v>
      </c>
      <c r="AH330" s="664">
        <v>582</v>
      </c>
      <c r="AI330" s="664" t="s">
        <v>498</v>
      </c>
      <c r="AJ330" s="667">
        <v>0.1</v>
      </c>
      <c r="AK330" s="668">
        <f t="shared" si="39"/>
        <v>119405.20000000001</v>
      </c>
      <c r="AL330" s="668">
        <f t="shared" si="40"/>
        <v>119405.20000000001</v>
      </c>
      <c r="AM330" s="668">
        <f t="shared" si="40"/>
        <v>119405.20000000001</v>
      </c>
      <c r="AN330" s="668"/>
      <c r="AO330" s="668"/>
      <c r="AP330" s="668">
        <f t="shared" si="41"/>
        <v>3665.2000000000003</v>
      </c>
      <c r="AQ330" s="668">
        <f t="shared" si="42"/>
        <v>3665.2000000000003</v>
      </c>
      <c r="AR330" s="668">
        <f t="shared" si="42"/>
        <v>3665.2000000000003</v>
      </c>
      <c r="AS330" s="668"/>
      <c r="AT330" s="668"/>
      <c r="AV330" s="670">
        <f t="shared" si="43"/>
        <v>835836.40000000014</v>
      </c>
      <c r="AW330" s="670">
        <f t="shared" si="44"/>
        <v>62308.400000000009</v>
      </c>
      <c r="AX330" s="671">
        <f t="shared" si="38"/>
        <v>0</v>
      </c>
    </row>
    <row r="331" spans="1:51">
      <c r="A331" s="664" t="s">
        <v>494</v>
      </c>
      <c r="B331" s="664"/>
      <c r="C331" s="664"/>
      <c r="D331" s="664">
        <v>1160505004</v>
      </c>
      <c r="E331" s="664">
        <v>46671</v>
      </c>
      <c r="F331" s="664">
        <v>46672</v>
      </c>
      <c r="G331" s="665">
        <v>43589</v>
      </c>
      <c r="H331" s="665">
        <v>44685</v>
      </c>
      <c r="I331" s="664">
        <v>598</v>
      </c>
      <c r="J331" s="666">
        <v>2158450</v>
      </c>
      <c r="K331" s="666">
        <v>0</v>
      </c>
      <c r="L331" s="666">
        <v>0</v>
      </c>
      <c r="M331" s="664" t="s">
        <v>495</v>
      </c>
      <c r="N331" s="666">
        <v>2158450</v>
      </c>
      <c r="O331" s="666">
        <v>0</v>
      </c>
      <c r="P331" s="666">
        <v>645377</v>
      </c>
      <c r="Q331" s="664">
        <v>1</v>
      </c>
      <c r="R331" s="664" t="s">
        <v>496</v>
      </c>
      <c r="S331" s="664">
        <v>100</v>
      </c>
      <c r="T331" s="666">
        <v>2158450</v>
      </c>
      <c r="U331" s="666">
        <v>0</v>
      </c>
      <c r="V331" s="664">
        <v>100</v>
      </c>
      <c r="W331" s="666">
        <v>5495165</v>
      </c>
      <c r="X331" s="664">
        <v>5</v>
      </c>
      <c r="Y331" s="664">
        <v>1160902010</v>
      </c>
      <c r="Z331" s="664">
        <v>2023</v>
      </c>
      <c r="AA331" s="664">
        <v>12</v>
      </c>
      <c r="AB331" s="664">
        <v>5026003002</v>
      </c>
      <c r="AC331" s="664">
        <v>1160903005</v>
      </c>
      <c r="AD331" s="664">
        <v>0</v>
      </c>
      <c r="AE331" s="664">
        <v>0</v>
      </c>
      <c r="AF331" s="664">
        <v>0</v>
      </c>
      <c r="AG331" s="664">
        <v>1160605001</v>
      </c>
      <c r="AH331" s="664">
        <v>598</v>
      </c>
      <c r="AI331" s="664" t="s">
        <v>498</v>
      </c>
      <c r="AJ331" s="667">
        <v>0.1</v>
      </c>
      <c r="AK331" s="668">
        <f t="shared" si="39"/>
        <v>215845</v>
      </c>
      <c r="AL331" s="668">
        <f t="shared" si="40"/>
        <v>215845</v>
      </c>
      <c r="AM331" s="668">
        <f t="shared" si="40"/>
        <v>215845</v>
      </c>
      <c r="AN331" s="668"/>
      <c r="AO331" s="668"/>
      <c r="AP331" s="668">
        <f t="shared" si="41"/>
        <v>0</v>
      </c>
      <c r="AQ331" s="668">
        <f t="shared" si="42"/>
        <v>0</v>
      </c>
      <c r="AR331" s="668">
        <f t="shared" si="42"/>
        <v>0</v>
      </c>
      <c r="AS331" s="668"/>
      <c r="AT331" s="668"/>
      <c r="AV331" s="670">
        <f t="shared" si="43"/>
        <v>1510915</v>
      </c>
      <c r="AW331" s="670">
        <f t="shared" si="44"/>
        <v>0</v>
      </c>
      <c r="AX331" s="671">
        <f t="shared" si="38"/>
        <v>0</v>
      </c>
    </row>
    <row r="332" spans="1:51">
      <c r="A332" s="664" t="s">
        <v>494</v>
      </c>
      <c r="B332" s="664"/>
      <c r="C332" s="664"/>
      <c r="D332" s="664">
        <v>1160505004</v>
      </c>
      <c r="E332" s="664">
        <v>0</v>
      </c>
      <c r="F332" s="664">
        <v>42611</v>
      </c>
      <c r="G332" s="665">
        <v>43589</v>
      </c>
      <c r="H332" s="665">
        <v>44685</v>
      </c>
      <c r="I332" s="664">
        <v>598</v>
      </c>
      <c r="J332" s="666">
        <v>0</v>
      </c>
      <c r="K332" s="666">
        <v>1059453</v>
      </c>
      <c r="L332" s="666">
        <v>0</v>
      </c>
      <c r="M332" s="664" t="s">
        <v>495</v>
      </c>
      <c r="N332" s="666">
        <v>0</v>
      </c>
      <c r="O332" s="666">
        <v>1059453</v>
      </c>
      <c r="P332" s="666">
        <v>0</v>
      </c>
      <c r="Q332" s="664">
        <v>1</v>
      </c>
      <c r="R332" s="664" t="s">
        <v>496</v>
      </c>
      <c r="S332" s="664">
        <v>100</v>
      </c>
      <c r="T332" s="666">
        <v>0</v>
      </c>
      <c r="U332" s="666">
        <v>1059453</v>
      </c>
      <c r="V332" s="664">
        <v>100</v>
      </c>
      <c r="W332" s="666">
        <v>5495165</v>
      </c>
      <c r="X332" s="664">
        <v>5</v>
      </c>
      <c r="Y332" s="664">
        <v>1160902010</v>
      </c>
      <c r="Z332" s="664">
        <v>2023</v>
      </c>
      <c r="AA332" s="664">
        <v>12</v>
      </c>
      <c r="AB332" s="664">
        <v>5026003002</v>
      </c>
      <c r="AC332" s="664">
        <v>1160903005</v>
      </c>
      <c r="AD332" s="664">
        <v>0</v>
      </c>
      <c r="AE332" s="664">
        <v>0</v>
      </c>
      <c r="AF332" s="664">
        <v>0</v>
      </c>
      <c r="AG332" s="664">
        <v>1160605001</v>
      </c>
      <c r="AH332" s="664">
        <v>598</v>
      </c>
      <c r="AI332" s="664" t="s">
        <v>498</v>
      </c>
      <c r="AJ332" s="667">
        <v>0.1</v>
      </c>
      <c r="AK332" s="668">
        <f t="shared" si="39"/>
        <v>0</v>
      </c>
      <c r="AL332" s="668">
        <f t="shared" si="40"/>
        <v>0</v>
      </c>
      <c r="AM332" s="668">
        <f t="shared" si="40"/>
        <v>0</v>
      </c>
      <c r="AN332" s="668"/>
      <c r="AO332" s="668"/>
      <c r="AP332" s="668">
        <f t="shared" si="41"/>
        <v>52972.65</v>
      </c>
      <c r="AQ332" s="668">
        <f t="shared" si="42"/>
        <v>52972.65</v>
      </c>
      <c r="AR332" s="668">
        <f t="shared" si="42"/>
        <v>52972.65</v>
      </c>
      <c r="AS332" s="668"/>
      <c r="AT332" s="668"/>
      <c r="AV332" s="670">
        <f t="shared" si="43"/>
        <v>0</v>
      </c>
      <c r="AW332" s="670">
        <f t="shared" si="44"/>
        <v>900535.04999999993</v>
      </c>
      <c r="AX332" s="671">
        <f t="shared" si="38"/>
        <v>0</v>
      </c>
    </row>
    <row r="333" spans="1:51">
      <c r="A333" s="664" t="s">
        <v>494</v>
      </c>
      <c r="B333" s="664"/>
      <c r="C333" s="664"/>
      <c r="D333" s="664">
        <v>1160505001</v>
      </c>
      <c r="E333" s="664">
        <v>0</v>
      </c>
      <c r="F333" s="664">
        <v>46044</v>
      </c>
      <c r="G333" s="665">
        <v>43507</v>
      </c>
      <c r="H333" s="665">
        <v>44603</v>
      </c>
      <c r="I333" s="664">
        <v>681</v>
      </c>
      <c r="J333" s="666">
        <v>7024999</v>
      </c>
      <c r="K333" s="666">
        <v>28100</v>
      </c>
      <c r="L333" s="666">
        <v>0</v>
      </c>
      <c r="M333" s="664" t="s">
        <v>495</v>
      </c>
      <c r="N333" s="666">
        <v>7024999</v>
      </c>
      <c r="O333" s="666">
        <v>28100</v>
      </c>
      <c r="P333" s="666">
        <v>2392012</v>
      </c>
      <c r="Q333" s="664">
        <v>1</v>
      </c>
      <c r="R333" s="664" t="s">
        <v>496</v>
      </c>
      <c r="S333" s="664">
        <v>100</v>
      </c>
      <c r="T333" s="666">
        <v>7024999</v>
      </c>
      <c r="U333" s="666">
        <v>28100</v>
      </c>
      <c r="V333" s="664">
        <v>100</v>
      </c>
      <c r="W333" s="666">
        <v>7720777</v>
      </c>
      <c r="X333" s="664">
        <v>14</v>
      </c>
      <c r="Y333" s="664">
        <v>1160902010</v>
      </c>
      <c r="Z333" s="664">
        <v>2023</v>
      </c>
      <c r="AA333" s="664">
        <v>12</v>
      </c>
      <c r="AB333" s="664">
        <v>5026003002</v>
      </c>
      <c r="AC333" s="664">
        <v>1160903005</v>
      </c>
      <c r="AD333" s="664">
        <v>0</v>
      </c>
      <c r="AE333" s="664">
        <v>0</v>
      </c>
      <c r="AF333" s="664">
        <v>0</v>
      </c>
      <c r="AG333" s="664">
        <v>1160605001</v>
      </c>
      <c r="AH333" s="664">
        <v>681</v>
      </c>
      <c r="AI333" s="664" t="s">
        <v>498</v>
      </c>
      <c r="AJ333" s="667">
        <v>0.1</v>
      </c>
      <c r="AK333" s="668">
        <f t="shared" si="39"/>
        <v>702499.9</v>
      </c>
      <c r="AL333" s="668">
        <f t="shared" si="40"/>
        <v>702499.9</v>
      </c>
      <c r="AM333" s="668">
        <f t="shared" si="40"/>
        <v>702499.9</v>
      </c>
      <c r="AN333" s="668"/>
      <c r="AO333" s="668"/>
      <c r="AP333" s="668">
        <f t="shared" si="41"/>
        <v>1405</v>
      </c>
      <c r="AQ333" s="668">
        <f t="shared" si="42"/>
        <v>1405</v>
      </c>
      <c r="AR333" s="668">
        <f t="shared" si="42"/>
        <v>1405</v>
      </c>
      <c r="AS333" s="668"/>
      <c r="AT333" s="668"/>
      <c r="AV333" s="670">
        <f t="shared" si="43"/>
        <v>4917499.2999999989</v>
      </c>
      <c r="AW333" s="670">
        <f t="shared" si="44"/>
        <v>23885</v>
      </c>
      <c r="AX333" s="671">
        <f t="shared" si="38"/>
        <v>0</v>
      </c>
    </row>
    <row r="334" spans="1:51">
      <c r="A334" s="664" t="s">
        <v>494</v>
      </c>
      <c r="B334" s="664"/>
      <c r="C334" s="664"/>
      <c r="D334" s="664">
        <v>1160505001</v>
      </c>
      <c r="E334" s="664">
        <v>0</v>
      </c>
      <c r="F334" s="664">
        <v>46045</v>
      </c>
      <c r="G334" s="665">
        <v>43507</v>
      </c>
      <c r="H334" s="665">
        <v>44603</v>
      </c>
      <c r="I334" s="664">
        <v>681</v>
      </c>
      <c r="J334" s="666">
        <v>5000000</v>
      </c>
      <c r="K334" s="666">
        <v>292500</v>
      </c>
      <c r="L334" s="666">
        <v>0</v>
      </c>
      <c r="M334" s="664" t="s">
        <v>495</v>
      </c>
      <c r="N334" s="666">
        <v>5000000</v>
      </c>
      <c r="O334" s="666">
        <v>292500</v>
      </c>
      <c r="P334" s="666">
        <v>1702500</v>
      </c>
      <c r="Q334" s="664">
        <v>1</v>
      </c>
      <c r="R334" s="664" t="s">
        <v>496</v>
      </c>
      <c r="S334" s="664">
        <v>100</v>
      </c>
      <c r="T334" s="666">
        <v>5000000</v>
      </c>
      <c r="U334" s="666">
        <v>292500</v>
      </c>
      <c r="V334" s="664">
        <v>100</v>
      </c>
      <c r="W334" s="666">
        <v>7720777</v>
      </c>
      <c r="X334" s="664">
        <v>15</v>
      </c>
      <c r="Y334" s="664">
        <v>1160902010</v>
      </c>
      <c r="Z334" s="664">
        <v>2023</v>
      </c>
      <c r="AA334" s="664">
        <v>12</v>
      </c>
      <c r="AB334" s="664">
        <v>5026003002</v>
      </c>
      <c r="AC334" s="664">
        <v>1160903005</v>
      </c>
      <c r="AD334" s="664">
        <v>0</v>
      </c>
      <c r="AE334" s="664">
        <v>0</v>
      </c>
      <c r="AF334" s="664">
        <v>0</v>
      </c>
      <c r="AG334" s="664">
        <v>1160605001</v>
      </c>
      <c r="AH334" s="664">
        <v>681</v>
      </c>
      <c r="AI334" s="664" t="s">
        <v>498</v>
      </c>
      <c r="AJ334" s="667">
        <v>0.1</v>
      </c>
      <c r="AK334" s="668">
        <f t="shared" si="39"/>
        <v>500000</v>
      </c>
      <c r="AL334" s="668">
        <f t="shared" si="40"/>
        <v>500000</v>
      </c>
      <c r="AM334" s="668">
        <f t="shared" si="40"/>
        <v>500000</v>
      </c>
      <c r="AN334" s="668"/>
      <c r="AO334" s="668"/>
      <c r="AP334" s="668">
        <f t="shared" si="41"/>
        <v>14625</v>
      </c>
      <c r="AQ334" s="668">
        <f t="shared" si="42"/>
        <v>14625</v>
      </c>
      <c r="AR334" s="668">
        <f t="shared" si="42"/>
        <v>14625</v>
      </c>
      <c r="AS334" s="668"/>
      <c r="AT334" s="668"/>
      <c r="AV334" s="670">
        <f t="shared" si="43"/>
        <v>3500000</v>
      </c>
      <c r="AW334" s="670">
        <f t="shared" si="44"/>
        <v>248625</v>
      </c>
      <c r="AX334" s="671">
        <f t="shared" si="38"/>
        <v>0</v>
      </c>
    </row>
    <row r="335" spans="1:51">
      <c r="A335" s="664" t="s">
        <v>494</v>
      </c>
      <c r="B335" s="664"/>
      <c r="C335" s="664"/>
      <c r="D335" s="664">
        <v>1160505001</v>
      </c>
      <c r="E335" s="664">
        <v>0</v>
      </c>
      <c r="F335" s="664">
        <v>45010</v>
      </c>
      <c r="G335" s="665">
        <v>43300</v>
      </c>
      <c r="H335" s="665">
        <v>43665</v>
      </c>
      <c r="I335" s="664">
        <v>1603</v>
      </c>
      <c r="J335" s="666">
        <v>8000000</v>
      </c>
      <c r="K335" s="666">
        <v>960000</v>
      </c>
      <c r="L335" s="666">
        <v>0</v>
      </c>
      <c r="M335" s="664" t="s">
        <v>495</v>
      </c>
      <c r="N335" s="666">
        <v>8000000</v>
      </c>
      <c r="O335" s="666">
        <v>960000</v>
      </c>
      <c r="P335" s="666">
        <v>6412000</v>
      </c>
      <c r="Q335" s="664">
        <v>1</v>
      </c>
      <c r="R335" s="664" t="s">
        <v>496</v>
      </c>
      <c r="S335" s="664">
        <v>100</v>
      </c>
      <c r="T335" s="666">
        <v>8000000</v>
      </c>
      <c r="U335" s="666">
        <v>960000</v>
      </c>
      <c r="V335" s="664">
        <v>300</v>
      </c>
      <c r="W335" s="666">
        <v>2657956</v>
      </c>
      <c r="X335" s="664">
        <v>15</v>
      </c>
      <c r="Y335" s="664">
        <v>1160902010</v>
      </c>
      <c r="Z335" s="664">
        <v>2023</v>
      </c>
      <c r="AA335" s="664">
        <v>12</v>
      </c>
      <c r="AB335" s="664">
        <v>5026003002</v>
      </c>
      <c r="AC335" s="664">
        <v>1160903005</v>
      </c>
      <c r="AD335" s="664">
        <v>0</v>
      </c>
      <c r="AE335" s="664">
        <v>0</v>
      </c>
      <c r="AF335" s="664">
        <v>0</v>
      </c>
      <c r="AG335" s="664">
        <v>1160605001</v>
      </c>
      <c r="AH335" s="664">
        <v>1766</v>
      </c>
      <c r="AI335" s="664" t="s">
        <v>497</v>
      </c>
      <c r="AJ335" s="667">
        <v>0.01</v>
      </c>
      <c r="AK335" s="668">
        <f t="shared" si="39"/>
        <v>80000</v>
      </c>
      <c r="AL335" s="668">
        <f t="shared" si="40"/>
        <v>80000</v>
      </c>
      <c r="AM335" s="668">
        <f t="shared" si="40"/>
        <v>80000</v>
      </c>
      <c r="AN335" s="668"/>
      <c r="AO335" s="668"/>
      <c r="AP335" s="668">
        <f t="shared" si="41"/>
        <v>4800</v>
      </c>
      <c r="AQ335" s="668">
        <f t="shared" si="42"/>
        <v>4800</v>
      </c>
      <c r="AR335" s="668">
        <f t="shared" si="42"/>
        <v>4800</v>
      </c>
      <c r="AS335" s="668"/>
      <c r="AT335" s="668"/>
      <c r="AV335" s="670">
        <f t="shared" si="43"/>
        <v>7760000</v>
      </c>
      <c r="AW335" s="670">
        <f t="shared" si="44"/>
        <v>945600</v>
      </c>
      <c r="AX335" s="671">
        <f t="shared" si="38"/>
        <v>0</v>
      </c>
    </row>
    <row r="336" spans="1:51">
      <c r="A336" s="664" t="s">
        <v>494</v>
      </c>
      <c r="B336" s="664"/>
      <c r="C336" s="664"/>
      <c r="D336" s="664">
        <v>1160505002</v>
      </c>
      <c r="E336" s="664">
        <v>0</v>
      </c>
      <c r="F336" s="664">
        <v>43578</v>
      </c>
      <c r="G336" s="665">
        <v>43137</v>
      </c>
      <c r="H336" s="665">
        <v>43502</v>
      </c>
      <c r="I336" s="664">
        <v>1766</v>
      </c>
      <c r="J336" s="666">
        <v>4340000</v>
      </c>
      <c r="K336" s="666">
        <v>520800</v>
      </c>
      <c r="L336" s="666">
        <v>0</v>
      </c>
      <c r="M336" s="664" t="s">
        <v>495</v>
      </c>
      <c r="N336" s="666">
        <v>4340000</v>
      </c>
      <c r="O336" s="666">
        <v>520800</v>
      </c>
      <c r="P336" s="666">
        <v>3832220</v>
      </c>
      <c r="Q336" s="664">
        <v>1</v>
      </c>
      <c r="R336" s="664" t="s">
        <v>496</v>
      </c>
      <c r="S336" s="664">
        <v>100</v>
      </c>
      <c r="T336" s="666">
        <v>4340000</v>
      </c>
      <c r="U336" s="666">
        <v>520800</v>
      </c>
      <c r="V336" s="664">
        <v>300</v>
      </c>
      <c r="W336" s="666">
        <v>2657956</v>
      </c>
      <c r="X336" s="664">
        <v>17</v>
      </c>
      <c r="Y336" s="664">
        <v>1160902010</v>
      </c>
      <c r="Z336" s="664">
        <v>2023</v>
      </c>
      <c r="AA336" s="664">
        <v>12</v>
      </c>
      <c r="AB336" s="664">
        <v>5026003002</v>
      </c>
      <c r="AC336" s="664">
        <v>1160903005</v>
      </c>
      <c r="AD336" s="664">
        <v>0</v>
      </c>
      <c r="AE336" s="664">
        <v>0</v>
      </c>
      <c r="AF336" s="664">
        <v>0</v>
      </c>
      <c r="AG336" s="664">
        <v>1160605001</v>
      </c>
      <c r="AH336" s="664">
        <v>1766</v>
      </c>
      <c r="AI336" s="664" t="s">
        <v>497</v>
      </c>
      <c r="AJ336" s="667">
        <v>0.01</v>
      </c>
      <c r="AK336" s="668">
        <f t="shared" si="39"/>
        <v>43400</v>
      </c>
      <c r="AL336" s="668">
        <f t="shared" si="40"/>
        <v>43400</v>
      </c>
      <c r="AM336" s="668">
        <f t="shared" si="40"/>
        <v>43400</v>
      </c>
      <c r="AN336" s="668"/>
      <c r="AO336" s="668"/>
      <c r="AP336" s="668">
        <f t="shared" si="41"/>
        <v>2604</v>
      </c>
      <c r="AQ336" s="668">
        <f t="shared" si="42"/>
        <v>2604</v>
      </c>
      <c r="AR336" s="668">
        <f t="shared" si="42"/>
        <v>2604</v>
      </c>
      <c r="AS336" s="668"/>
      <c r="AT336" s="668"/>
      <c r="AV336" s="670">
        <f t="shared" si="43"/>
        <v>4209800</v>
      </c>
      <c r="AW336" s="670">
        <f t="shared" si="44"/>
        <v>512988</v>
      </c>
      <c r="AX336" s="671">
        <f t="shared" si="38"/>
        <v>0</v>
      </c>
    </row>
    <row r="337" spans="1:51">
      <c r="A337" s="664" t="s">
        <v>494</v>
      </c>
      <c r="B337" s="664"/>
      <c r="C337" s="664"/>
      <c r="D337" s="664">
        <v>1160505001</v>
      </c>
      <c r="E337" s="664">
        <v>0</v>
      </c>
      <c r="F337" s="664">
        <v>47156</v>
      </c>
      <c r="G337" s="665">
        <v>43672</v>
      </c>
      <c r="H337" s="665">
        <v>44543</v>
      </c>
      <c r="I337" s="664">
        <v>739</v>
      </c>
      <c r="J337" s="666">
        <v>41000000</v>
      </c>
      <c r="K337" s="666">
        <v>8784250</v>
      </c>
      <c r="L337" s="666">
        <v>0</v>
      </c>
      <c r="M337" s="664" t="s">
        <v>495</v>
      </c>
      <c r="N337" s="666">
        <v>41000000</v>
      </c>
      <c r="O337" s="666">
        <v>8784250</v>
      </c>
      <c r="P337" s="666">
        <v>15149500</v>
      </c>
      <c r="Q337" s="664">
        <v>1</v>
      </c>
      <c r="R337" s="664" t="s">
        <v>496</v>
      </c>
      <c r="S337" s="664">
        <v>100</v>
      </c>
      <c r="T337" s="666">
        <v>41000000</v>
      </c>
      <c r="U337" s="666">
        <v>8784250</v>
      </c>
      <c r="V337" s="664">
        <v>300</v>
      </c>
      <c r="W337" s="666">
        <v>44385435</v>
      </c>
      <c r="X337" s="664">
        <v>15</v>
      </c>
      <c r="Y337" s="664">
        <v>1160902010</v>
      </c>
      <c r="Z337" s="664">
        <v>2023</v>
      </c>
      <c r="AA337" s="664">
        <v>12</v>
      </c>
      <c r="AB337" s="664">
        <v>5026003002</v>
      </c>
      <c r="AC337" s="664">
        <v>1160903005</v>
      </c>
      <c r="AD337" s="664">
        <v>0</v>
      </c>
      <c r="AE337" s="664">
        <v>0</v>
      </c>
      <c r="AF337" s="664">
        <v>0</v>
      </c>
      <c r="AG337" s="664">
        <v>1160605001</v>
      </c>
      <c r="AH337" s="664">
        <v>739</v>
      </c>
      <c r="AI337" s="664" t="s">
        <v>499</v>
      </c>
      <c r="AJ337" s="667">
        <v>0.05</v>
      </c>
      <c r="AK337" s="668">
        <f t="shared" si="39"/>
        <v>2050000</v>
      </c>
      <c r="AL337" s="668">
        <f t="shared" si="40"/>
        <v>2050000</v>
      </c>
      <c r="AM337" s="668">
        <f t="shared" si="40"/>
        <v>2050000</v>
      </c>
      <c r="AN337" s="668"/>
      <c r="AO337" s="668"/>
      <c r="AP337" s="668">
        <f t="shared" si="41"/>
        <v>219606.25</v>
      </c>
      <c r="AQ337" s="668">
        <f t="shared" si="42"/>
        <v>219606.25</v>
      </c>
      <c r="AR337" s="668">
        <f t="shared" si="42"/>
        <v>219606.25</v>
      </c>
      <c r="AS337" s="668"/>
      <c r="AT337" s="668"/>
      <c r="AV337" s="670">
        <f t="shared" si="43"/>
        <v>34850000</v>
      </c>
      <c r="AW337" s="670">
        <f t="shared" si="44"/>
        <v>8125431.25</v>
      </c>
      <c r="AX337" s="671">
        <f t="shared" si="38"/>
        <v>0</v>
      </c>
    </row>
    <row r="338" spans="1:51">
      <c r="A338" s="664" t="s">
        <v>494</v>
      </c>
      <c r="B338" s="664"/>
      <c r="C338" s="664"/>
      <c r="D338" s="664">
        <v>1160505001</v>
      </c>
      <c r="E338" s="664">
        <v>0</v>
      </c>
      <c r="F338" s="664">
        <v>46814</v>
      </c>
      <c r="G338" s="665">
        <v>43617</v>
      </c>
      <c r="H338" s="665">
        <v>44713</v>
      </c>
      <c r="I338" s="664">
        <v>571</v>
      </c>
      <c r="J338" s="666">
        <v>2666667</v>
      </c>
      <c r="K338" s="666">
        <v>214000</v>
      </c>
      <c r="L338" s="666">
        <v>0</v>
      </c>
      <c r="M338" s="664" t="s">
        <v>495</v>
      </c>
      <c r="N338" s="666">
        <v>2666667</v>
      </c>
      <c r="O338" s="666">
        <v>214000</v>
      </c>
      <c r="P338" s="666">
        <v>761333</v>
      </c>
      <c r="Q338" s="664">
        <v>1</v>
      </c>
      <c r="R338" s="664" t="s">
        <v>496</v>
      </c>
      <c r="S338" s="664">
        <v>100</v>
      </c>
      <c r="T338" s="666">
        <v>2666667</v>
      </c>
      <c r="U338" s="666">
        <v>214000</v>
      </c>
      <c r="V338" s="664">
        <v>300</v>
      </c>
      <c r="W338" s="666">
        <v>5664989</v>
      </c>
      <c r="X338" s="664">
        <v>15</v>
      </c>
      <c r="Y338" s="664">
        <v>1160902010</v>
      </c>
      <c r="Z338" s="664">
        <v>2023</v>
      </c>
      <c r="AA338" s="664">
        <v>12</v>
      </c>
      <c r="AB338" s="664">
        <v>5026003002</v>
      </c>
      <c r="AC338" s="664">
        <v>1160903005</v>
      </c>
      <c r="AD338" s="664">
        <v>0</v>
      </c>
      <c r="AE338" s="664">
        <v>0</v>
      </c>
      <c r="AF338" s="664">
        <v>0</v>
      </c>
      <c r="AG338" s="664">
        <v>1160605001</v>
      </c>
      <c r="AH338" s="664">
        <v>571</v>
      </c>
      <c r="AI338" s="664" t="s">
        <v>498</v>
      </c>
      <c r="AJ338" s="667">
        <v>0.1</v>
      </c>
      <c r="AK338" s="668">
        <f t="shared" si="39"/>
        <v>266666.7</v>
      </c>
      <c r="AL338" s="668">
        <f t="shared" si="40"/>
        <v>266666.7</v>
      </c>
      <c r="AM338" s="668">
        <f t="shared" si="40"/>
        <v>266666.7</v>
      </c>
      <c r="AN338" s="668"/>
      <c r="AO338" s="668"/>
      <c r="AP338" s="668">
        <f t="shared" si="41"/>
        <v>10700</v>
      </c>
      <c r="AQ338" s="668">
        <f t="shared" si="42"/>
        <v>10700</v>
      </c>
      <c r="AR338" s="668">
        <f t="shared" si="42"/>
        <v>10700</v>
      </c>
      <c r="AS338" s="668"/>
      <c r="AT338" s="668"/>
      <c r="AV338" s="670">
        <f t="shared" si="43"/>
        <v>1866666.8999999997</v>
      </c>
      <c r="AW338" s="670">
        <f t="shared" si="44"/>
        <v>181900</v>
      </c>
      <c r="AX338" s="671">
        <f t="shared" si="38"/>
        <v>0</v>
      </c>
    </row>
    <row r="339" spans="1:51">
      <c r="A339" s="664" t="s">
        <v>494</v>
      </c>
      <c r="B339" s="664"/>
      <c r="C339" s="664"/>
      <c r="D339" s="664">
        <v>1160504001</v>
      </c>
      <c r="E339" s="664">
        <v>0</v>
      </c>
      <c r="F339" s="664">
        <v>44250</v>
      </c>
      <c r="G339" s="665">
        <v>43204</v>
      </c>
      <c r="H339" s="665">
        <v>45030</v>
      </c>
      <c r="I339" s="664">
        <v>258</v>
      </c>
      <c r="J339" s="666">
        <v>2400000</v>
      </c>
      <c r="K339" s="666">
        <v>396800</v>
      </c>
      <c r="L339" s="666">
        <v>0</v>
      </c>
      <c r="M339" s="664" t="s">
        <v>495</v>
      </c>
      <c r="N339" s="666">
        <v>2400000</v>
      </c>
      <c r="O339" s="666">
        <v>396800</v>
      </c>
      <c r="P339" s="666">
        <v>309600</v>
      </c>
      <c r="Q339" s="664">
        <v>1</v>
      </c>
      <c r="R339" s="664" t="s">
        <v>501</v>
      </c>
      <c r="S339" s="664">
        <v>100</v>
      </c>
      <c r="T339" s="666">
        <v>2400000</v>
      </c>
      <c r="U339" s="666">
        <v>396800</v>
      </c>
      <c r="V339" s="664">
        <v>100</v>
      </c>
      <c r="W339" s="666">
        <v>5136822</v>
      </c>
      <c r="X339" s="664">
        <v>14</v>
      </c>
      <c r="Y339" s="664">
        <v>1160902008</v>
      </c>
      <c r="Z339" s="664">
        <v>2023</v>
      </c>
      <c r="AA339" s="664">
        <v>12</v>
      </c>
      <c r="AB339" s="664">
        <v>5026003002</v>
      </c>
      <c r="AC339" s="664">
        <v>1160903004</v>
      </c>
      <c r="AD339" s="664">
        <v>0</v>
      </c>
      <c r="AE339" s="664">
        <v>0</v>
      </c>
      <c r="AF339" s="664">
        <v>0</v>
      </c>
      <c r="AG339" s="664">
        <v>1160604001</v>
      </c>
      <c r="AH339" s="664">
        <v>258</v>
      </c>
      <c r="AI339" s="664" t="s">
        <v>500</v>
      </c>
      <c r="AJ339" s="667">
        <v>0.3</v>
      </c>
      <c r="AK339" s="668">
        <f t="shared" si="39"/>
        <v>720000</v>
      </c>
      <c r="AL339" s="668">
        <f t="shared" si="40"/>
        <v>720000</v>
      </c>
      <c r="AM339" s="668">
        <f t="shared" si="40"/>
        <v>720000</v>
      </c>
      <c r="AN339" s="668"/>
      <c r="AO339" s="668"/>
      <c r="AP339" s="668">
        <f t="shared" si="41"/>
        <v>59520</v>
      </c>
      <c r="AQ339" s="668">
        <f t="shared" si="42"/>
        <v>59520</v>
      </c>
      <c r="AR339" s="668">
        <f t="shared" si="42"/>
        <v>59520</v>
      </c>
      <c r="AS339" s="668"/>
      <c r="AT339" s="668"/>
      <c r="AV339" s="670">
        <f t="shared" si="43"/>
        <v>240000</v>
      </c>
      <c r="AW339" s="670">
        <f t="shared" si="44"/>
        <v>218240</v>
      </c>
      <c r="AX339" s="671">
        <f t="shared" si="38"/>
        <v>0</v>
      </c>
    </row>
    <row r="340" spans="1:51">
      <c r="A340" s="664" t="s">
        <v>494</v>
      </c>
      <c r="B340" s="664"/>
      <c r="C340" s="664"/>
      <c r="D340" s="664">
        <v>1160505001</v>
      </c>
      <c r="E340" s="664">
        <v>0</v>
      </c>
      <c r="F340" s="664">
        <v>46952</v>
      </c>
      <c r="G340" s="665">
        <v>43637</v>
      </c>
      <c r="H340" s="665">
        <v>44003</v>
      </c>
      <c r="I340" s="664">
        <v>1271</v>
      </c>
      <c r="J340" s="666">
        <v>11740640</v>
      </c>
      <c r="K340" s="666">
        <v>0</v>
      </c>
      <c r="L340" s="666">
        <v>0</v>
      </c>
      <c r="M340" s="664" t="s">
        <v>495</v>
      </c>
      <c r="N340" s="666">
        <v>11740640</v>
      </c>
      <c r="O340" s="666">
        <v>0</v>
      </c>
      <c r="P340" s="666">
        <v>7461177</v>
      </c>
      <c r="Q340" s="664">
        <v>1</v>
      </c>
      <c r="R340" s="664" t="s">
        <v>496</v>
      </c>
      <c r="S340" s="664">
        <v>100</v>
      </c>
      <c r="T340" s="666">
        <v>11740640</v>
      </c>
      <c r="U340" s="666">
        <v>0</v>
      </c>
      <c r="V340" s="664">
        <v>500</v>
      </c>
      <c r="W340" s="666">
        <v>7672657</v>
      </c>
      <c r="X340" s="664">
        <v>15</v>
      </c>
      <c r="Y340" s="664">
        <v>1160902010</v>
      </c>
      <c r="Z340" s="664">
        <v>2023</v>
      </c>
      <c r="AA340" s="664">
        <v>12</v>
      </c>
      <c r="AB340" s="664">
        <v>5026003002</v>
      </c>
      <c r="AC340" s="664">
        <v>1160903005</v>
      </c>
      <c r="AD340" s="664">
        <v>0</v>
      </c>
      <c r="AE340" s="664">
        <v>0</v>
      </c>
      <c r="AF340" s="664">
        <v>0</v>
      </c>
      <c r="AG340" s="664">
        <v>1160605001</v>
      </c>
      <c r="AH340" s="664">
        <v>1271</v>
      </c>
      <c r="AI340" s="664" t="s">
        <v>497</v>
      </c>
      <c r="AJ340" s="667">
        <v>0.01</v>
      </c>
      <c r="AK340" s="668">
        <f t="shared" si="39"/>
        <v>117406.40000000001</v>
      </c>
      <c r="AL340" s="668">
        <f t="shared" si="40"/>
        <v>117406.40000000001</v>
      </c>
      <c r="AM340" s="668">
        <f t="shared" si="40"/>
        <v>117406.40000000001</v>
      </c>
      <c r="AN340" s="668"/>
      <c r="AO340" s="668"/>
      <c r="AP340" s="668">
        <f t="shared" si="41"/>
        <v>0</v>
      </c>
      <c r="AQ340" s="668">
        <f t="shared" si="42"/>
        <v>0</v>
      </c>
      <c r="AR340" s="668">
        <f t="shared" si="42"/>
        <v>0</v>
      </c>
      <c r="AS340" s="668"/>
      <c r="AT340" s="668"/>
      <c r="AV340" s="670">
        <f t="shared" si="43"/>
        <v>11388420.799999999</v>
      </c>
      <c r="AW340" s="670">
        <f t="shared" si="44"/>
        <v>0</v>
      </c>
      <c r="AX340" s="671">
        <f t="shared" si="38"/>
        <v>0</v>
      </c>
    </row>
    <row r="341" spans="1:51">
      <c r="A341" s="664" t="s">
        <v>494</v>
      </c>
      <c r="B341" s="664"/>
      <c r="C341" s="664"/>
      <c r="D341" s="664">
        <v>1160505001</v>
      </c>
      <c r="E341" s="664">
        <v>0</v>
      </c>
      <c r="F341" s="664">
        <v>46112</v>
      </c>
      <c r="G341" s="665">
        <v>43513</v>
      </c>
      <c r="H341" s="665">
        <v>44609</v>
      </c>
      <c r="I341" s="664">
        <v>675</v>
      </c>
      <c r="J341" s="666">
        <v>2279500</v>
      </c>
      <c r="K341" s="666">
        <v>0</v>
      </c>
      <c r="L341" s="666">
        <v>0</v>
      </c>
      <c r="M341" s="664" t="s">
        <v>495</v>
      </c>
      <c r="N341" s="666">
        <v>2279500</v>
      </c>
      <c r="O341" s="666">
        <v>0</v>
      </c>
      <c r="P341" s="666">
        <v>769331</v>
      </c>
      <c r="Q341" s="664">
        <v>1</v>
      </c>
      <c r="R341" s="664" t="s">
        <v>496</v>
      </c>
      <c r="S341" s="664">
        <v>100</v>
      </c>
      <c r="T341" s="666">
        <v>2279500</v>
      </c>
      <c r="U341" s="666">
        <v>0</v>
      </c>
      <c r="V341" s="664">
        <v>100</v>
      </c>
      <c r="W341" s="666">
        <v>4543060</v>
      </c>
      <c r="X341" s="664">
        <v>2</v>
      </c>
      <c r="Y341" s="664">
        <v>1160902010</v>
      </c>
      <c r="Z341" s="664">
        <v>2023</v>
      </c>
      <c r="AA341" s="664">
        <v>12</v>
      </c>
      <c r="AB341" s="664">
        <v>5026003002</v>
      </c>
      <c r="AC341" s="664">
        <v>1160903005</v>
      </c>
      <c r="AD341" s="664">
        <v>0</v>
      </c>
      <c r="AE341" s="664">
        <v>0</v>
      </c>
      <c r="AF341" s="664">
        <v>0</v>
      </c>
      <c r="AG341" s="664">
        <v>1160605001</v>
      </c>
      <c r="AH341" s="664">
        <v>675</v>
      </c>
      <c r="AI341" s="664" t="s">
        <v>498</v>
      </c>
      <c r="AJ341" s="667">
        <v>0.1</v>
      </c>
      <c r="AK341" s="668">
        <f t="shared" si="39"/>
        <v>227950</v>
      </c>
      <c r="AL341" s="668">
        <f t="shared" si="40"/>
        <v>227950</v>
      </c>
      <c r="AM341" s="668">
        <f t="shared" si="40"/>
        <v>227950</v>
      </c>
      <c r="AN341" s="668"/>
      <c r="AO341" s="668"/>
      <c r="AP341" s="668">
        <f t="shared" si="41"/>
        <v>0</v>
      </c>
      <c r="AQ341" s="668">
        <f t="shared" si="42"/>
        <v>0</v>
      </c>
      <c r="AR341" s="668">
        <f t="shared" si="42"/>
        <v>0</v>
      </c>
      <c r="AS341" s="668"/>
      <c r="AT341" s="668"/>
      <c r="AV341" s="670">
        <f t="shared" si="43"/>
        <v>1595650</v>
      </c>
      <c r="AW341" s="670">
        <f t="shared" si="44"/>
        <v>0</v>
      </c>
      <c r="AX341" s="671">
        <f t="shared" si="38"/>
        <v>0</v>
      </c>
    </row>
    <row r="342" spans="1:51">
      <c r="A342" s="664" t="s">
        <v>494</v>
      </c>
      <c r="B342" s="664"/>
      <c r="C342" s="664"/>
      <c r="D342" s="664">
        <v>1160505001</v>
      </c>
      <c r="E342" s="664">
        <v>0</v>
      </c>
      <c r="F342" s="664">
        <v>46757</v>
      </c>
      <c r="G342" s="665">
        <v>43604</v>
      </c>
      <c r="H342" s="665">
        <v>44700</v>
      </c>
      <c r="I342" s="664">
        <v>583</v>
      </c>
      <c r="J342" s="666">
        <v>500000</v>
      </c>
      <c r="K342" s="666">
        <v>0</v>
      </c>
      <c r="L342" s="666">
        <v>0</v>
      </c>
      <c r="M342" s="664" t="s">
        <v>495</v>
      </c>
      <c r="N342" s="666">
        <v>500000</v>
      </c>
      <c r="O342" s="666">
        <v>0</v>
      </c>
      <c r="P342" s="666">
        <v>145750</v>
      </c>
      <c r="Q342" s="664">
        <v>1</v>
      </c>
      <c r="R342" s="664" t="s">
        <v>496</v>
      </c>
      <c r="S342" s="664">
        <v>100</v>
      </c>
      <c r="T342" s="666">
        <v>500000</v>
      </c>
      <c r="U342" s="666">
        <v>0</v>
      </c>
      <c r="V342" s="664">
        <v>100</v>
      </c>
      <c r="W342" s="666">
        <v>7388842</v>
      </c>
      <c r="X342" s="664">
        <v>14</v>
      </c>
      <c r="Y342" s="664">
        <v>1160902010</v>
      </c>
      <c r="Z342" s="664">
        <v>2023</v>
      </c>
      <c r="AA342" s="664">
        <v>12</v>
      </c>
      <c r="AB342" s="664">
        <v>5026003002</v>
      </c>
      <c r="AC342" s="664">
        <v>1160903005</v>
      </c>
      <c r="AD342" s="664">
        <v>0</v>
      </c>
      <c r="AE342" s="664">
        <v>0</v>
      </c>
      <c r="AF342" s="664">
        <v>0</v>
      </c>
      <c r="AG342" s="664">
        <v>1160605001</v>
      </c>
      <c r="AH342" s="664">
        <v>583</v>
      </c>
      <c r="AI342" s="664" t="s">
        <v>498</v>
      </c>
      <c r="AJ342" s="667">
        <v>0.1</v>
      </c>
      <c r="AK342" s="668">
        <f t="shared" si="39"/>
        <v>50000</v>
      </c>
      <c r="AL342" s="668">
        <f t="shared" si="40"/>
        <v>50000</v>
      </c>
      <c r="AM342" s="668">
        <f t="shared" si="40"/>
        <v>50000</v>
      </c>
      <c r="AN342" s="668"/>
      <c r="AO342" s="668"/>
      <c r="AP342" s="668">
        <f t="shared" si="41"/>
        <v>0</v>
      </c>
      <c r="AQ342" s="668">
        <f t="shared" si="42"/>
        <v>0</v>
      </c>
      <c r="AR342" s="668">
        <f t="shared" si="42"/>
        <v>0</v>
      </c>
      <c r="AS342" s="668"/>
      <c r="AT342" s="668"/>
      <c r="AV342" s="670">
        <f t="shared" si="43"/>
        <v>350000</v>
      </c>
      <c r="AW342" s="670">
        <f t="shared" si="44"/>
        <v>0</v>
      </c>
      <c r="AX342" s="671">
        <f t="shared" si="38"/>
        <v>0</v>
      </c>
    </row>
    <row r="343" spans="1:51">
      <c r="A343" s="664" t="s">
        <v>494</v>
      </c>
      <c r="B343" s="664"/>
      <c r="C343" s="664"/>
      <c r="D343" s="664">
        <v>1160505001</v>
      </c>
      <c r="E343" s="664">
        <v>0</v>
      </c>
      <c r="F343" s="664">
        <v>44444</v>
      </c>
      <c r="G343" s="665">
        <v>43227</v>
      </c>
      <c r="H343" s="665">
        <v>43958</v>
      </c>
      <c r="I343" s="664">
        <v>1315</v>
      </c>
      <c r="J343" s="666">
        <v>8000000</v>
      </c>
      <c r="K343" s="666">
        <v>933334</v>
      </c>
      <c r="L343" s="666">
        <v>0</v>
      </c>
      <c r="M343" s="664" t="s">
        <v>495</v>
      </c>
      <c r="N343" s="666">
        <v>8000000</v>
      </c>
      <c r="O343" s="666">
        <v>933334</v>
      </c>
      <c r="P343" s="666">
        <v>5260000</v>
      </c>
      <c r="Q343" s="664">
        <v>1</v>
      </c>
      <c r="R343" s="664" t="s">
        <v>496</v>
      </c>
      <c r="S343" s="664">
        <v>100</v>
      </c>
      <c r="T343" s="666">
        <v>8000000</v>
      </c>
      <c r="U343" s="666">
        <v>933334</v>
      </c>
      <c r="V343" s="664">
        <v>100</v>
      </c>
      <c r="W343" s="666">
        <v>8820177</v>
      </c>
      <c r="X343" s="664">
        <v>2</v>
      </c>
      <c r="Y343" s="664">
        <v>1160902010</v>
      </c>
      <c r="Z343" s="664">
        <v>2023</v>
      </c>
      <c r="AA343" s="664">
        <v>12</v>
      </c>
      <c r="AB343" s="664">
        <v>5026003002</v>
      </c>
      <c r="AC343" s="664">
        <v>1160903005</v>
      </c>
      <c r="AD343" s="664">
        <v>0</v>
      </c>
      <c r="AE343" s="664">
        <v>0</v>
      </c>
      <c r="AF343" s="664">
        <v>0</v>
      </c>
      <c r="AG343" s="664">
        <v>1160605001</v>
      </c>
      <c r="AH343" s="664">
        <v>1315</v>
      </c>
      <c r="AI343" s="664" t="s">
        <v>497</v>
      </c>
      <c r="AJ343" s="667">
        <v>0.01</v>
      </c>
      <c r="AK343" s="668">
        <f t="shared" si="39"/>
        <v>80000</v>
      </c>
      <c r="AL343" s="668">
        <f t="shared" si="40"/>
        <v>80000</v>
      </c>
      <c r="AM343" s="668">
        <f t="shared" si="40"/>
        <v>80000</v>
      </c>
      <c r="AN343" s="668"/>
      <c r="AO343" s="668"/>
      <c r="AP343" s="668">
        <f t="shared" si="41"/>
        <v>4666.67</v>
      </c>
      <c r="AQ343" s="668">
        <f t="shared" si="42"/>
        <v>4666.67</v>
      </c>
      <c r="AR343" s="668">
        <f t="shared" si="42"/>
        <v>4666.67</v>
      </c>
      <c r="AS343" s="668"/>
      <c r="AT343" s="668"/>
      <c r="AV343" s="670">
        <f t="shared" si="43"/>
        <v>7760000</v>
      </c>
      <c r="AW343" s="670">
        <f t="shared" si="44"/>
        <v>919333.98999999987</v>
      </c>
      <c r="AX343" s="671">
        <f t="shared" si="38"/>
        <v>0</v>
      </c>
    </row>
    <row r="344" spans="1:51">
      <c r="A344" s="664" t="s">
        <v>494</v>
      </c>
      <c r="B344" s="664"/>
      <c r="C344" s="664"/>
      <c r="D344" s="664">
        <v>1160505001</v>
      </c>
      <c r="E344" s="664">
        <v>0</v>
      </c>
      <c r="F344" s="664">
        <v>44508</v>
      </c>
      <c r="G344" s="665">
        <v>43238</v>
      </c>
      <c r="H344" s="665">
        <v>44699</v>
      </c>
      <c r="I344" s="664">
        <v>584</v>
      </c>
      <c r="J344" s="666">
        <v>10000000</v>
      </c>
      <c r="K344" s="666">
        <v>4800000</v>
      </c>
      <c r="L344" s="666">
        <v>0</v>
      </c>
      <c r="M344" s="664" t="s">
        <v>495</v>
      </c>
      <c r="N344" s="666">
        <v>10000000</v>
      </c>
      <c r="O344" s="666">
        <v>4800000</v>
      </c>
      <c r="P344" s="666">
        <v>2920000</v>
      </c>
      <c r="Q344" s="664">
        <v>1</v>
      </c>
      <c r="R344" s="664" t="s">
        <v>496</v>
      </c>
      <c r="S344" s="664">
        <v>100</v>
      </c>
      <c r="T344" s="666">
        <v>10000000</v>
      </c>
      <c r="U344" s="666">
        <v>4800000</v>
      </c>
      <c r="V344" s="664">
        <v>100</v>
      </c>
      <c r="W344" s="666">
        <v>8820177</v>
      </c>
      <c r="X344" s="664">
        <v>14</v>
      </c>
      <c r="Y344" s="664">
        <v>1160902010</v>
      </c>
      <c r="Z344" s="664">
        <v>2023</v>
      </c>
      <c r="AA344" s="664">
        <v>12</v>
      </c>
      <c r="AB344" s="664">
        <v>5026003002</v>
      </c>
      <c r="AC344" s="664">
        <v>1160903005</v>
      </c>
      <c r="AD344" s="664">
        <v>0</v>
      </c>
      <c r="AE344" s="664">
        <v>0</v>
      </c>
      <c r="AF344" s="664">
        <v>0</v>
      </c>
      <c r="AG344" s="664">
        <v>1160605001</v>
      </c>
      <c r="AH344" s="664">
        <v>1315</v>
      </c>
      <c r="AI344" s="664" t="s">
        <v>497</v>
      </c>
      <c r="AJ344" s="667">
        <v>0.01</v>
      </c>
      <c r="AK344" s="668">
        <f t="shared" si="39"/>
        <v>100000</v>
      </c>
      <c r="AL344" s="668">
        <f t="shared" si="40"/>
        <v>100000</v>
      </c>
      <c r="AM344" s="668">
        <f t="shared" si="40"/>
        <v>100000</v>
      </c>
      <c r="AN344" s="668"/>
      <c r="AO344" s="668"/>
      <c r="AP344" s="668">
        <f t="shared" si="41"/>
        <v>24000</v>
      </c>
      <c r="AQ344" s="668">
        <f t="shared" si="42"/>
        <v>24000</v>
      </c>
      <c r="AR344" s="668">
        <f t="shared" si="42"/>
        <v>24000</v>
      </c>
      <c r="AS344" s="668"/>
      <c r="AT344" s="668"/>
      <c r="AV344" s="670">
        <f t="shared" si="43"/>
        <v>9700000</v>
      </c>
      <c r="AW344" s="670">
        <f t="shared" si="44"/>
        <v>4728000</v>
      </c>
      <c r="AX344" s="671">
        <f t="shared" si="38"/>
        <v>0</v>
      </c>
    </row>
    <row r="345" spans="1:51">
      <c r="A345" s="664" t="s">
        <v>494</v>
      </c>
      <c r="B345" s="664"/>
      <c r="C345" s="664"/>
      <c r="D345" s="664">
        <v>1160505002</v>
      </c>
      <c r="E345" s="664">
        <v>0</v>
      </c>
      <c r="F345" s="664">
        <v>45319</v>
      </c>
      <c r="G345" s="665">
        <v>43359</v>
      </c>
      <c r="H345" s="665">
        <v>43724</v>
      </c>
      <c r="I345" s="664">
        <v>1546</v>
      </c>
      <c r="J345" s="666">
        <v>1030526</v>
      </c>
      <c r="K345" s="666">
        <v>92748</v>
      </c>
      <c r="L345" s="666">
        <v>0</v>
      </c>
      <c r="M345" s="664" t="s">
        <v>495</v>
      </c>
      <c r="N345" s="666">
        <v>1030526</v>
      </c>
      <c r="O345" s="666">
        <v>92748</v>
      </c>
      <c r="P345" s="666">
        <v>796597</v>
      </c>
      <c r="Q345" s="664">
        <v>1</v>
      </c>
      <c r="R345" s="664" t="s">
        <v>496</v>
      </c>
      <c r="S345" s="664">
        <v>100</v>
      </c>
      <c r="T345" s="666">
        <v>1030526</v>
      </c>
      <c r="U345" s="666">
        <v>92748</v>
      </c>
      <c r="V345" s="664">
        <v>100</v>
      </c>
      <c r="W345" s="666">
        <v>1833830</v>
      </c>
      <c r="X345" s="664">
        <v>6</v>
      </c>
      <c r="Y345" s="664">
        <v>1160902010</v>
      </c>
      <c r="Z345" s="664">
        <v>2023</v>
      </c>
      <c r="AA345" s="664">
        <v>12</v>
      </c>
      <c r="AB345" s="664">
        <v>5026003002</v>
      </c>
      <c r="AC345" s="664">
        <v>1160903005</v>
      </c>
      <c r="AD345" s="664">
        <v>0</v>
      </c>
      <c r="AE345" s="664">
        <v>0</v>
      </c>
      <c r="AF345" s="664">
        <v>0</v>
      </c>
      <c r="AG345" s="664">
        <v>1160605001</v>
      </c>
      <c r="AH345" s="664">
        <v>1546</v>
      </c>
      <c r="AI345" s="664" t="s">
        <v>497</v>
      </c>
      <c r="AJ345" s="667">
        <v>0.01</v>
      </c>
      <c r="AK345" s="668">
        <f t="shared" si="39"/>
        <v>10305.26</v>
      </c>
      <c r="AL345" s="668">
        <f t="shared" si="40"/>
        <v>10305.26</v>
      </c>
      <c r="AM345" s="668">
        <f t="shared" si="40"/>
        <v>10305.26</v>
      </c>
      <c r="AN345" s="668"/>
      <c r="AO345" s="668"/>
      <c r="AP345" s="668">
        <f t="shared" si="41"/>
        <v>463.74</v>
      </c>
      <c r="AQ345" s="668">
        <f t="shared" si="42"/>
        <v>463.74</v>
      </c>
      <c r="AR345" s="668">
        <f t="shared" si="42"/>
        <v>463.74</v>
      </c>
      <c r="AS345" s="668"/>
      <c r="AT345" s="668"/>
      <c r="AV345" s="670">
        <f t="shared" si="43"/>
        <v>999610.22</v>
      </c>
      <c r="AW345" s="670">
        <f t="shared" si="44"/>
        <v>91356.779999999984</v>
      </c>
      <c r="AX345" s="671">
        <f t="shared" si="38"/>
        <v>0</v>
      </c>
    </row>
    <row r="346" spans="1:51">
      <c r="A346" s="664" t="s">
        <v>494</v>
      </c>
      <c r="B346" s="664"/>
      <c r="C346" s="664"/>
      <c r="D346" s="664">
        <v>1160505001</v>
      </c>
      <c r="E346" s="664">
        <v>0</v>
      </c>
      <c r="F346" s="664">
        <v>47023</v>
      </c>
      <c r="G346" s="665">
        <v>43648</v>
      </c>
      <c r="H346" s="665">
        <v>44744</v>
      </c>
      <c r="I346" s="664">
        <v>540</v>
      </c>
      <c r="J346" s="666">
        <v>1000000</v>
      </c>
      <c r="K346" s="666">
        <v>122000</v>
      </c>
      <c r="L346" s="666">
        <v>0</v>
      </c>
      <c r="M346" s="664" t="s">
        <v>495</v>
      </c>
      <c r="N346" s="666">
        <v>1000000</v>
      </c>
      <c r="O346" s="666">
        <v>122000</v>
      </c>
      <c r="P346" s="666">
        <v>270000</v>
      </c>
      <c r="Q346" s="664">
        <v>1</v>
      </c>
      <c r="R346" s="664" t="s">
        <v>496</v>
      </c>
      <c r="S346" s="664">
        <v>100</v>
      </c>
      <c r="T346" s="666">
        <v>1000000</v>
      </c>
      <c r="U346" s="666">
        <v>122000</v>
      </c>
      <c r="V346" s="664">
        <v>400</v>
      </c>
      <c r="W346" s="666">
        <v>5600461</v>
      </c>
      <c r="X346" s="664">
        <v>2</v>
      </c>
      <c r="Y346" s="664">
        <v>1160902010</v>
      </c>
      <c r="Z346" s="664">
        <v>2023</v>
      </c>
      <c r="AA346" s="664">
        <v>12</v>
      </c>
      <c r="AB346" s="664">
        <v>5026003002</v>
      </c>
      <c r="AC346" s="664">
        <v>1160903005</v>
      </c>
      <c r="AD346" s="664">
        <v>0</v>
      </c>
      <c r="AE346" s="664">
        <v>0</v>
      </c>
      <c r="AF346" s="664">
        <v>0</v>
      </c>
      <c r="AG346" s="664">
        <v>1160605001</v>
      </c>
      <c r="AH346" s="664">
        <v>540</v>
      </c>
      <c r="AI346" s="664" t="s">
        <v>498</v>
      </c>
      <c r="AJ346" s="667">
        <v>0.1</v>
      </c>
      <c r="AK346" s="668">
        <f t="shared" si="39"/>
        <v>100000</v>
      </c>
      <c r="AL346" s="668">
        <f t="shared" si="40"/>
        <v>100000</v>
      </c>
      <c r="AM346" s="668">
        <f t="shared" si="40"/>
        <v>100000</v>
      </c>
      <c r="AN346" s="668"/>
      <c r="AO346" s="668"/>
      <c r="AP346" s="668">
        <f t="shared" si="41"/>
        <v>6100</v>
      </c>
      <c r="AQ346" s="668">
        <f t="shared" si="42"/>
        <v>6100</v>
      </c>
      <c r="AR346" s="668">
        <f t="shared" si="42"/>
        <v>6100</v>
      </c>
      <c r="AS346" s="668"/>
      <c r="AT346" s="668"/>
      <c r="AV346" s="670">
        <f t="shared" si="43"/>
        <v>700000</v>
      </c>
      <c r="AW346" s="670">
        <f t="shared" si="44"/>
        <v>103700</v>
      </c>
      <c r="AX346" s="671">
        <f t="shared" si="38"/>
        <v>0</v>
      </c>
    </row>
    <row r="347" spans="1:51">
      <c r="A347" s="664" t="s">
        <v>494</v>
      </c>
      <c r="B347" s="664"/>
      <c r="C347" s="664"/>
      <c r="D347" s="664">
        <v>1160505001</v>
      </c>
      <c r="E347" s="664">
        <v>0</v>
      </c>
      <c r="F347" s="664">
        <v>45447</v>
      </c>
      <c r="G347" s="665">
        <v>43419</v>
      </c>
      <c r="H347" s="665">
        <v>44150</v>
      </c>
      <c r="I347" s="664">
        <v>1127</v>
      </c>
      <c r="J347" s="666">
        <v>2880000</v>
      </c>
      <c r="K347" s="666">
        <v>1036800</v>
      </c>
      <c r="L347" s="666">
        <v>0</v>
      </c>
      <c r="M347" s="664" t="s">
        <v>495</v>
      </c>
      <c r="N347" s="666">
        <v>2880000</v>
      </c>
      <c r="O347" s="666">
        <v>1036800</v>
      </c>
      <c r="P347" s="666">
        <v>1622880</v>
      </c>
      <c r="Q347" s="664">
        <v>1</v>
      </c>
      <c r="R347" s="664" t="s">
        <v>496</v>
      </c>
      <c r="S347" s="664">
        <v>100</v>
      </c>
      <c r="T347" s="666">
        <v>2880000</v>
      </c>
      <c r="U347" s="666">
        <v>1036800</v>
      </c>
      <c r="V347" s="664">
        <v>200</v>
      </c>
      <c r="W347" s="666">
        <v>2989839</v>
      </c>
      <c r="X347" s="664">
        <v>2</v>
      </c>
      <c r="Y347" s="664">
        <v>1160902010</v>
      </c>
      <c r="Z347" s="664">
        <v>2023</v>
      </c>
      <c r="AA347" s="664">
        <v>12</v>
      </c>
      <c r="AB347" s="664">
        <v>5026003002</v>
      </c>
      <c r="AC347" s="664">
        <v>1160903005</v>
      </c>
      <c r="AD347" s="664">
        <v>0</v>
      </c>
      <c r="AE347" s="664">
        <v>0</v>
      </c>
      <c r="AF347" s="664">
        <v>0</v>
      </c>
      <c r="AG347" s="664">
        <v>1160605001</v>
      </c>
      <c r="AH347" s="664">
        <v>1127</v>
      </c>
      <c r="AI347" s="664" t="s">
        <v>497</v>
      </c>
      <c r="AJ347" s="667">
        <v>0.01</v>
      </c>
      <c r="AK347" s="668">
        <f t="shared" si="39"/>
        <v>28800</v>
      </c>
      <c r="AL347" s="668">
        <f t="shared" si="40"/>
        <v>28800</v>
      </c>
      <c r="AM347" s="668">
        <f t="shared" si="40"/>
        <v>28800</v>
      </c>
      <c r="AN347" s="668"/>
      <c r="AO347" s="668"/>
      <c r="AP347" s="668">
        <f t="shared" si="41"/>
        <v>5184</v>
      </c>
      <c r="AQ347" s="668">
        <f t="shared" si="42"/>
        <v>5184</v>
      </c>
      <c r="AR347" s="668">
        <f t="shared" si="42"/>
        <v>5184</v>
      </c>
      <c r="AS347" s="668"/>
      <c r="AT347" s="668"/>
      <c r="AV347" s="670">
        <f t="shared" si="43"/>
        <v>2793600</v>
      </c>
      <c r="AW347" s="670">
        <f t="shared" si="44"/>
        <v>1021248</v>
      </c>
      <c r="AX347" s="671">
        <f t="shared" si="38"/>
        <v>0</v>
      </c>
    </row>
    <row r="348" spans="1:51">
      <c r="A348" s="664" t="s">
        <v>494</v>
      </c>
      <c r="B348" s="664"/>
      <c r="C348" s="664"/>
      <c r="D348" s="664">
        <v>1160405004</v>
      </c>
      <c r="E348" s="664">
        <v>40785</v>
      </c>
      <c r="F348" s="664">
        <v>47341</v>
      </c>
      <c r="G348" s="665">
        <v>43759</v>
      </c>
      <c r="H348" s="665">
        <v>44855</v>
      </c>
      <c r="I348" s="664">
        <v>431</v>
      </c>
      <c r="J348" s="666">
        <v>196879359</v>
      </c>
      <c r="K348" s="666">
        <v>106314840</v>
      </c>
      <c r="L348" s="666">
        <v>1175531000</v>
      </c>
      <c r="M348" s="664" t="s">
        <v>495</v>
      </c>
      <c r="N348" s="666">
        <v>0</v>
      </c>
      <c r="O348" s="666">
        <v>106314840</v>
      </c>
      <c r="P348" s="666">
        <v>42427502</v>
      </c>
      <c r="Q348" s="664">
        <v>2</v>
      </c>
      <c r="R348" s="664" t="s">
        <v>496</v>
      </c>
      <c r="S348" s="664">
        <v>100</v>
      </c>
      <c r="T348" s="666">
        <v>0</v>
      </c>
      <c r="U348" s="666">
        <v>106314840</v>
      </c>
      <c r="V348" s="664">
        <v>300</v>
      </c>
      <c r="W348" s="666">
        <v>64896961</v>
      </c>
      <c r="X348" s="664">
        <v>5</v>
      </c>
      <c r="Y348" s="664">
        <v>1160902008</v>
      </c>
      <c r="Z348" s="664">
        <v>2023</v>
      </c>
      <c r="AA348" s="664">
        <v>12</v>
      </c>
      <c r="AB348" s="664">
        <v>5026003002</v>
      </c>
      <c r="AC348" s="664">
        <v>1160903005</v>
      </c>
      <c r="AD348" s="664">
        <v>0</v>
      </c>
      <c r="AE348" s="664">
        <v>0</v>
      </c>
      <c r="AF348" s="664">
        <v>1</v>
      </c>
      <c r="AG348" s="664">
        <v>1160605001</v>
      </c>
      <c r="AH348" s="664">
        <v>431</v>
      </c>
      <c r="AI348" s="664" t="s">
        <v>498</v>
      </c>
      <c r="AJ348" s="667">
        <v>0.1</v>
      </c>
      <c r="AK348" s="668">
        <f t="shared" si="39"/>
        <v>19687935.900000002</v>
      </c>
      <c r="AL348" s="668">
        <f t="shared" si="40"/>
        <v>19687935.900000002</v>
      </c>
      <c r="AM348" s="668">
        <f t="shared" si="40"/>
        <v>19687935.900000002</v>
      </c>
      <c r="AN348" s="668"/>
      <c r="AO348" s="668"/>
      <c r="AP348" s="668">
        <f t="shared" si="41"/>
        <v>5315742</v>
      </c>
      <c r="AQ348" s="668">
        <f t="shared" si="42"/>
        <v>5315742</v>
      </c>
      <c r="AR348" s="668">
        <f t="shared" si="42"/>
        <v>5315742</v>
      </c>
      <c r="AS348" s="668"/>
      <c r="AT348" s="668"/>
      <c r="AV348" s="670">
        <f t="shared" si="43"/>
        <v>137815551.29999998</v>
      </c>
      <c r="AW348" s="670">
        <f t="shared" si="44"/>
        <v>90367614</v>
      </c>
      <c r="AX348" s="671">
        <f t="shared" si="38"/>
        <v>196879359</v>
      </c>
      <c r="AY348" s="671">
        <f>+AX348-L348</f>
        <v>-978651641</v>
      </c>
    </row>
    <row r="349" spans="1:51">
      <c r="A349" s="664" t="s">
        <v>494</v>
      </c>
      <c r="B349" s="664"/>
      <c r="C349" s="664"/>
      <c r="D349" s="664">
        <v>1160505001</v>
      </c>
      <c r="E349" s="664">
        <v>0</v>
      </c>
      <c r="F349" s="664">
        <v>43943</v>
      </c>
      <c r="G349" s="665">
        <v>43167</v>
      </c>
      <c r="H349" s="665">
        <v>44263</v>
      </c>
      <c r="I349" s="664">
        <v>1014</v>
      </c>
      <c r="J349" s="666">
        <v>4472026</v>
      </c>
      <c r="K349" s="666">
        <v>0</v>
      </c>
      <c r="L349" s="666">
        <v>0</v>
      </c>
      <c r="M349" s="664" t="s">
        <v>495</v>
      </c>
      <c r="N349" s="666">
        <v>4472026</v>
      </c>
      <c r="O349" s="666">
        <v>0</v>
      </c>
      <c r="P349" s="666">
        <v>2267317</v>
      </c>
      <c r="Q349" s="664">
        <v>1</v>
      </c>
      <c r="R349" s="664" t="s">
        <v>496</v>
      </c>
      <c r="S349" s="664">
        <v>100</v>
      </c>
      <c r="T349" s="666">
        <v>4472026</v>
      </c>
      <c r="U349" s="666">
        <v>0</v>
      </c>
      <c r="V349" s="664">
        <v>300</v>
      </c>
      <c r="W349" s="666">
        <v>26981416</v>
      </c>
      <c r="X349" s="664">
        <v>14</v>
      </c>
      <c r="Y349" s="664">
        <v>1160902010</v>
      </c>
      <c r="Z349" s="664">
        <v>2023</v>
      </c>
      <c r="AA349" s="664">
        <v>12</v>
      </c>
      <c r="AB349" s="664">
        <v>5026003002</v>
      </c>
      <c r="AC349" s="664">
        <v>1160903005</v>
      </c>
      <c r="AD349" s="664">
        <v>0</v>
      </c>
      <c r="AE349" s="664">
        <v>0</v>
      </c>
      <c r="AF349" s="664">
        <v>0</v>
      </c>
      <c r="AG349" s="664">
        <v>1160605001</v>
      </c>
      <c r="AH349" s="664">
        <v>1014</v>
      </c>
      <c r="AI349" s="664" t="s">
        <v>499</v>
      </c>
      <c r="AJ349" s="667">
        <v>0.05</v>
      </c>
      <c r="AK349" s="668">
        <f t="shared" si="39"/>
        <v>223601.30000000002</v>
      </c>
      <c r="AL349" s="668">
        <f t="shared" si="40"/>
        <v>223601.30000000002</v>
      </c>
      <c r="AM349" s="668">
        <f t="shared" si="40"/>
        <v>223601.30000000002</v>
      </c>
      <c r="AN349" s="668"/>
      <c r="AO349" s="668"/>
      <c r="AP349" s="668">
        <f t="shared" si="41"/>
        <v>0</v>
      </c>
      <c r="AQ349" s="668">
        <f t="shared" si="42"/>
        <v>0</v>
      </c>
      <c r="AR349" s="668">
        <f t="shared" si="42"/>
        <v>0</v>
      </c>
      <c r="AS349" s="668"/>
      <c r="AT349" s="668"/>
      <c r="AV349" s="670">
        <f t="shared" si="43"/>
        <v>3801222.1000000006</v>
      </c>
      <c r="AW349" s="670">
        <f t="shared" si="44"/>
        <v>0</v>
      </c>
      <c r="AX349" s="671">
        <f t="shared" si="38"/>
        <v>0</v>
      </c>
    </row>
    <row r="350" spans="1:51">
      <c r="A350" s="664" t="s">
        <v>494</v>
      </c>
      <c r="B350" s="664"/>
      <c r="C350" s="664"/>
      <c r="D350" s="664">
        <v>1160505004</v>
      </c>
      <c r="E350" s="664">
        <v>30484</v>
      </c>
      <c r="F350" s="664">
        <v>35091</v>
      </c>
      <c r="G350" s="665">
        <v>41719</v>
      </c>
      <c r="H350" s="665">
        <v>42815</v>
      </c>
      <c r="I350" s="664">
        <v>2441</v>
      </c>
      <c r="J350" s="666">
        <v>10049500</v>
      </c>
      <c r="K350" s="666">
        <v>3288684</v>
      </c>
      <c r="L350" s="666">
        <v>0</v>
      </c>
      <c r="M350" s="664" t="s">
        <v>495</v>
      </c>
      <c r="N350" s="666">
        <v>10049500</v>
      </c>
      <c r="O350" s="666">
        <v>3288684</v>
      </c>
      <c r="P350" s="666">
        <v>12265415</v>
      </c>
      <c r="Q350" s="664">
        <v>1</v>
      </c>
      <c r="R350" s="664" t="s">
        <v>496</v>
      </c>
      <c r="S350" s="664">
        <v>100</v>
      </c>
      <c r="T350" s="666">
        <v>10049500</v>
      </c>
      <c r="U350" s="666">
        <v>3288684</v>
      </c>
      <c r="V350" s="664">
        <v>300</v>
      </c>
      <c r="W350" s="666">
        <v>6279229</v>
      </c>
      <c r="X350" s="664">
        <v>5</v>
      </c>
      <c r="Y350" s="664">
        <v>1160902010</v>
      </c>
      <c r="Z350" s="664">
        <v>2023</v>
      </c>
      <c r="AA350" s="664">
        <v>12</v>
      </c>
      <c r="AB350" s="664">
        <v>5026003002</v>
      </c>
      <c r="AC350" s="664">
        <v>1160903005</v>
      </c>
      <c r="AD350" s="664">
        <v>0</v>
      </c>
      <c r="AE350" s="664">
        <v>0</v>
      </c>
      <c r="AF350" s="664">
        <v>0</v>
      </c>
      <c r="AG350" s="664">
        <v>1160605001</v>
      </c>
      <c r="AH350" s="664">
        <v>3242</v>
      </c>
      <c r="AI350" s="664" t="s">
        <v>497</v>
      </c>
      <c r="AJ350" s="667">
        <v>0.01</v>
      </c>
      <c r="AK350" s="668">
        <f t="shared" si="39"/>
        <v>100495</v>
      </c>
      <c r="AL350" s="668">
        <f t="shared" si="40"/>
        <v>100495</v>
      </c>
      <c r="AM350" s="668">
        <f t="shared" si="40"/>
        <v>100495</v>
      </c>
      <c r="AN350" s="668"/>
      <c r="AO350" s="668"/>
      <c r="AP350" s="668">
        <f t="shared" si="41"/>
        <v>16443.420000000002</v>
      </c>
      <c r="AQ350" s="668">
        <f t="shared" si="42"/>
        <v>16443.420000000002</v>
      </c>
      <c r="AR350" s="668">
        <f t="shared" si="42"/>
        <v>16443.420000000002</v>
      </c>
      <c r="AS350" s="668"/>
      <c r="AT350" s="668"/>
      <c r="AV350" s="670">
        <f t="shared" si="43"/>
        <v>9748015</v>
      </c>
      <c r="AW350" s="670">
        <f t="shared" si="44"/>
        <v>3239353.74</v>
      </c>
      <c r="AX350" s="671">
        <f t="shared" si="38"/>
        <v>0</v>
      </c>
    </row>
    <row r="351" spans="1:51">
      <c r="A351" s="664" t="s">
        <v>494</v>
      </c>
      <c r="B351" s="664"/>
      <c r="C351" s="664"/>
      <c r="D351" s="664">
        <v>1160505005</v>
      </c>
      <c r="E351" s="664">
        <v>0</v>
      </c>
      <c r="F351" s="664">
        <v>35296</v>
      </c>
      <c r="G351" s="665">
        <v>41739</v>
      </c>
      <c r="H351" s="665">
        <v>42003</v>
      </c>
      <c r="I351" s="664">
        <v>3242</v>
      </c>
      <c r="J351" s="666">
        <v>3771337</v>
      </c>
      <c r="K351" s="666">
        <v>0</v>
      </c>
      <c r="L351" s="666">
        <v>0</v>
      </c>
      <c r="M351" s="664" t="s">
        <v>495</v>
      </c>
      <c r="N351" s="666">
        <v>3771337</v>
      </c>
      <c r="O351" s="666">
        <v>0</v>
      </c>
      <c r="P351" s="666">
        <v>6113337</v>
      </c>
      <c r="Q351" s="664">
        <v>1</v>
      </c>
      <c r="R351" s="664" t="s">
        <v>496</v>
      </c>
      <c r="S351" s="664">
        <v>100</v>
      </c>
      <c r="T351" s="666">
        <v>3771337</v>
      </c>
      <c r="U351" s="666">
        <v>0</v>
      </c>
      <c r="V351" s="664">
        <v>300</v>
      </c>
      <c r="W351" s="666">
        <v>6279229</v>
      </c>
      <c r="X351" s="664">
        <v>13</v>
      </c>
      <c r="Y351" s="664">
        <v>1160902010</v>
      </c>
      <c r="Z351" s="664">
        <v>2023</v>
      </c>
      <c r="AA351" s="664">
        <v>12</v>
      </c>
      <c r="AB351" s="664">
        <v>5026003002</v>
      </c>
      <c r="AC351" s="664">
        <v>1160903005</v>
      </c>
      <c r="AD351" s="664">
        <v>0</v>
      </c>
      <c r="AE351" s="664">
        <v>0</v>
      </c>
      <c r="AF351" s="664">
        <v>0</v>
      </c>
      <c r="AG351" s="664">
        <v>1160605001</v>
      </c>
      <c r="AH351" s="664">
        <v>3242</v>
      </c>
      <c r="AI351" s="664" t="s">
        <v>497</v>
      </c>
      <c r="AJ351" s="667">
        <v>0.01</v>
      </c>
      <c r="AK351" s="668">
        <f t="shared" si="39"/>
        <v>37713.370000000003</v>
      </c>
      <c r="AL351" s="668">
        <f t="shared" si="40"/>
        <v>37713.370000000003</v>
      </c>
      <c r="AM351" s="668">
        <f t="shared" si="40"/>
        <v>37713.370000000003</v>
      </c>
      <c r="AN351" s="668"/>
      <c r="AO351" s="668"/>
      <c r="AP351" s="668">
        <f t="shared" si="41"/>
        <v>0</v>
      </c>
      <c r="AQ351" s="668">
        <f t="shared" si="42"/>
        <v>0</v>
      </c>
      <c r="AR351" s="668">
        <f t="shared" si="42"/>
        <v>0</v>
      </c>
      <c r="AS351" s="668"/>
      <c r="AT351" s="668"/>
      <c r="AV351" s="670">
        <f t="shared" si="43"/>
        <v>3658196.8899999997</v>
      </c>
      <c r="AW351" s="670">
        <f t="shared" si="44"/>
        <v>0</v>
      </c>
      <c r="AX351" s="671">
        <f t="shared" si="38"/>
        <v>0</v>
      </c>
    </row>
    <row r="352" spans="1:51">
      <c r="A352" s="664" t="s">
        <v>494</v>
      </c>
      <c r="B352" s="664"/>
      <c r="C352" s="664"/>
      <c r="D352" s="664">
        <v>1160505001</v>
      </c>
      <c r="E352" s="664">
        <v>0</v>
      </c>
      <c r="F352" s="664">
        <v>45880</v>
      </c>
      <c r="G352" s="665">
        <v>43498</v>
      </c>
      <c r="H352" s="665">
        <v>44594</v>
      </c>
      <c r="I352" s="664">
        <v>690</v>
      </c>
      <c r="J352" s="666">
        <v>4200000</v>
      </c>
      <c r="K352" s="666">
        <v>1134000</v>
      </c>
      <c r="L352" s="666">
        <v>0</v>
      </c>
      <c r="M352" s="664" t="s">
        <v>495</v>
      </c>
      <c r="N352" s="666">
        <v>4200000</v>
      </c>
      <c r="O352" s="666">
        <v>1134000</v>
      </c>
      <c r="P352" s="666">
        <v>1449000</v>
      </c>
      <c r="Q352" s="664">
        <v>1</v>
      </c>
      <c r="R352" s="664" t="s">
        <v>496</v>
      </c>
      <c r="S352" s="664">
        <v>100</v>
      </c>
      <c r="T352" s="666">
        <v>4200000</v>
      </c>
      <c r="U352" s="666">
        <v>1134000</v>
      </c>
      <c r="V352" s="664">
        <v>100</v>
      </c>
      <c r="W352" s="666">
        <v>7447589</v>
      </c>
      <c r="X352" s="664">
        <v>2</v>
      </c>
      <c r="Y352" s="664">
        <v>1160902010</v>
      </c>
      <c r="Z352" s="664">
        <v>2023</v>
      </c>
      <c r="AA352" s="664">
        <v>12</v>
      </c>
      <c r="AB352" s="664">
        <v>5026003002</v>
      </c>
      <c r="AC352" s="664">
        <v>1160903005</v>
      </c>
      <c r="AD352" s="664">
        <v>0</v>
      </c>
      <c r="AE352" s="664">
        <v>0</v>
      </c>
      <c r="AF352" s="664">
        <v>0</v>
      </c>
      <c r="AG352" s="664">
        <v>1160605001</v>
      </c>
      <c r="AH352" s="664">
        <v>690</v>
      </c>
      <c r="AI352" s="664" t="s">
        <v>498</v>
      </c>
      <c r="AJ352" s="667">
        <v>0.1</v>
      </c>
      <c r="AK352" s="668">
        <f t="shared" si="39"/>
        <v>420000</v>
      </c>
      <c r="AL352" s="668">
        <f t="shared" si="40"/>
        <v>420000</v>
      </c>
      <c r="AM352" s="668">
        <f t="shared" si="40"/>
        <v>420000</v>
      </c>
      <c r="AN352" s="668"/>
      <c r="AO352" s="668"/>
      <c r="AP352" s="668">
        <f t="shared" si="41"/>
        <v>56700</v>
      </c>
      <c r="AQ352" s="668">
        <f t="shared" si="42"/>
        <v>56700</v>
      </c>
      <c r="AR352" s="668">
        <f t="shared" si="42"/>
        <v>56700</v>
      </c>
      <c r="AS352" s="668"/>
      <c r="AT352" s="668"/>
      <c r="AV352" s="670">
        <f t="shared" si="43"/>
        <v>2940000</v>
      </c>
      <c r="AW352" s="670">
        <f t="shared" si="44"/>
        <v>963900</v>
      </c>
      <c r="AX352" s="671">
        <f t="shared" si="38"/>
        <v>0</v>
      </c>
    </row>
    <row r="353" spans="1:50">
      <c r="A353" s="664" t="s">
        <v>494</v>
      </c>
      <c r="B353" s="664"/>
      <c r="C353" s="664"/>
      <c r="D353" s="664">
        <v>1160405001</v>
      </c>
      <c r="E353" s="664">
        <v>0</v>
      </c>
      <c r="F353" s="664">
        <v>39211</v>
      </c>
      <c r="G353" s="665">
        <v>42415</v>
      </c>
      <c r="H353" s="665">
        <v>43876</v>
      </c>
      <c r="I353" s="664">
        <v>1397</v>
      </c>
      <c r="J353" s="666">
        <v>20994687</v>
      </c>
      <c r="K353" s="666">
        <v>1716314</v>
      </c>
      <c r="L353" s="666">
        <v>0</v>
      </c>
      <c r="M353" s="664" t="s">
        <v>495</v>
      </c>
      <c r="N353" s="666">
        <v>20994687</v>
      </c>
      <c r="O353" s="666">
        <v>1716314</v>
      </c>
      <c r="P353" s="666">
        <v>14664789</v>
      </c>
      <c r="Q353" s="664">
        <v>2</v>
      </c>
      <c r="R353" s="664" t="s">
        <v>496</v>
      </c>
      <c r="S353" s="664">
        <v>100</v>
      </c>
      <c r="T353" s="666">
        <v>20994687</v>
      </c>
      <c r="U353" s="666">
        <v>1716314</v>
      </c>
      <c r="V353" s="664">
        <v>100</v>
      </c>
      <c r="W353" s="666">
        <v>94587852</v>
      </c>
      <c r="X353" s="664">
        <v>2</v>
      </c>
      <c r="Y353" s="664">
        <v>1160902009</v>
      </c>
      <c r="Z353" s="664">
        <v>2023</v>
      </c>
      <c r="AA353" s="664">
        <v>12</v>
      </c>
      <c r="AB353" s="664">
        <v>5026003002</v>
      </c>
      <c r="AC353" s="664">
        <v>1160903005</v>
      </c>
      <c r="AD353" s="664">
        <v>0</v>
      </c>
      <c r="AE353" s="664">
        <v>0</v>
      </c>
      <c r="AF353" s="664">
        <v>1</v>
      </c>
      <c r="AG353" s="664">
        <v>1160605001</v>
      </c>
      <c r="AH353" s="664">
        <v>1400</v>
      </c>
      <c r="AI353" s="664" t="s">
        <v>497</v>
      </c>
      <c r="AJ353" s="667">
        <v>0.01</v>
      </c>
      <c r="AK353" s="668">
        <f t="shared" si="39"/>
        <v>209946.87</v>
      </c>
      <c r="AL353" s="668">
        <f t="shared" si="40"/>
        <v>209946.87</v>
      </c>
      <c r="AM353" s="668">
        <f t="shared" si="40"/>
        <v>209946.87</v>
      </c>
      <c r="AN353" s="668"/>
      <c r="AO353" s="668"/>
      <c r="AP353" s="668">
        <f t="shared" si="41"/>
        <v>8581.57</v>
      </c>
      <c r="AQ353" s="668">
        <f t="shared" si="42"/>
        <v>8581.57</v>
      </c>
      <c r="AR353" s="668">
        <f t="shared" si="42"/>
        <v>8581.57</v>
      </c>
      <c r="AS353" s="668"/>
      <c r="AT353" s="668"/>
      <c r="AV353" s="670">
        <f t="shared" si="43"/>
        <v>20364846.389999997</v>
      </c>
      <c r="AW353" s="670">
        <f t="shared" si="44"/>
        <v>1690569.2899999998</v>
      </c>
      <c r="AX353" s="671">
        <f t="shared" si="38"/>
        <v>0</v>
      </c>
    </row>
    <row r="354" spans="1:50">
      <c r="A354" s="664" t="s">
        <v>494</v>
      </c>
      <c r="B354" s="664"/>
      <c r="C354" s="664"/>
      <c r="D354" s="664">
        <v>1160405001</v>
      </c>
      <c r="E354" s="664">
        <v>0</v>
      </c>
      <c r="F354" s="664">
        <v>43662</v>
      </c>
      <c r="G354" s="665">
        <v>43143</v>
      </c>
      <c r="H354" s="665">
        <v>43873</v>
      </c>
      <c r="I354" s="664">
        <v>1400</v>
      </c>
      <c r="J354" s="666">
        <v>150000000</v>
      </c>
      <c r="K354" s="666">
        <v>17100000</v>
      </c>
      <c r="L354" s="666">
        <v>0</v>
      </c>
      <c r="M354" s="664" t="s">
        <v>495</v>
      </c>
      <c r="N354" s="666">
        <v>150000000</v>
      </c>
      <c r="O354" s="666">
        <v>17100000</v>
      </c>
      <c r="P354" s="666">
        <v>105000000</v>
      </c>
      <c r="Q354" s="664">
        <v>2</v>
      </c>
      <c r="R354" s="664" t="s">
        <v>496</v>
      </c>
      <c r="S354" s="664">
        <v>100</v>
      </c>
      <c r="T354" s="666">
        <v>150000000</v>
      </c>
      <c r="U354" s="666">
        <v>17100000</v>
      </c>
      <c r="V354" s="664">
        <v>300</v>
      </c>
      <c r="W354" s="666">
        <v>94587852</v>
      </c>
      <c r="X354" s="664">
        <v>2</v>
      </c>
      <c r="Y354" s="664">
        <v>1160902009</v>
      </c>
      <c r="Z354" s="664">
        <v>2023</v>
      </c>
      <c r="AA354" s="664">
        <v>12</v>
      </c>
      <c r="AB354" s="664">
        <v>5026003002</v>
      </c>
      <c r="AC354" s="664">
        <v>1160903005</v>
      </c>
      <c r="AD354" s="664">
        <v>0</v>
      </c>
      <c r="AE354" s="664">
        <v>0</v>
      </c>
      <c r="AF354" s="664">
        <v>1</v>
      </c>
      <c r="AG354" s="664">
        <v>1160605001</v>
      </c>
      <c r="AH354" s="664">
        <v>1400</v>
      </c>
      <c r="AI354" s="664" t="s">
        <v>497</v>
      </c>
      <c r="AJ354" s="667">
        <v>0.01</v>
      </c>
      <c r="AK354" s="668">
        <f t="shared" si="39"/>
        <v>1500000</v>
      </c>
      <c r="AL354" s="668">
        <f t="shared" si="40"/>
        <v>1500000</v>
      </c>
      <c r="AM354" s="668">
        <f t="shared" si="40"/>
        <v>1500000</v>
      </c>
      <c r="AN354" s="668"/>
      <c r="AO354" s="668"/>
      <c r="AP354" s="668">
        <f t="shared" si="41"/>
        <v>85500</v>
      </c>
      <c r="AQ354" s="668">
        <f t="shared" si="42"/>
        <v>85500</v>
      </c>
      <c r="AR354" s="668">
        <f t="shared" si="42"/>
        <v>85500</v>
      </c>
      <c r="AS354" s="668"/>
      <c r="AT354" s="668"/>
      <c r="AV354" s="670">
        <f t="shared" si="43"/>
        <v>145500000</v>
      </c>
      <c r="AW354" s="670">
        <f t="shared" si="44"/>
        <v>16843500</v>
      </c>
      <c r="AX354" s="671">
        <f t="shared" si="38"/>
        <v>0</v>
      </c>
    </row>
    <row r="355" spans="1:50">
      <c r="A355" s="664" t="s">
        <v>494</v>
      </c>
      <c r="B355" s="664"/>
      <c r="C355" s="664"/>
      <c r="D355" s="664">
        <v>1160405001</v>
      </c>
      <c r="E355" s="664">
        <v>0</v>
      </c>
      <c r="F355" s="664">
        <v>45922</v>
      </c>
      <c r="G355" s="665">
        <v>43499</v>
      </c>
      <c r="H355" s="665">
        <v>44595</v>
      </c>
      <c r="I355" s="664">
        <v>689</v>
      </c>
      <c r="J355" s="666">
        <v>120000000</v>
      </c>
      <c r="K355" s="666">
        <v>43200000</v>
      </c>
      <c r="L355" s="666">
        <v>0</v>
      </c>
      <c r="M355" s="664" t="s">
        <v>495</v>
      </c>
      <c r="N355" s="666">
        <v>120000000</v>
      </c>
      <c r="O355" s="666">
        <v>43200000</v>
      </c>
      <c r="P355" s="666">
        <v>41340000</v>
      </c>
      <c r="Q355" s="664">
        <v>2</v>
      </c>
      <c r="R355" s="664" t="s">
        <v>496</v>
      </c>
      <c r="S355" s="664">
        <v>100</v>
      </c>
      <c r="T355" s="666">
        <v>120000000</v>
      </c>
      <c r="U355" s="666">
        <v>43200000</v>
      </c>
      <c r="V355" s="664">
        <v>300</v>
      </c>
      <c r="W355" s="666">
        <v>94587852</v>
      </c>
      <c r="X355" s="664">
        <v>2</v>
      </c>
      <c r="Y355" s="664">
        <v>1160902009</v>
      </c>
      <c r="Z355" s="664">
        <v>2023</v>
      </c>
      <c r="AA355" s="664">
        <v>12</v>
      </c>
      <c r="AB355" s="664">
        <v>5026003002</v>
      </c>
      <c r="AC355" s="664">
        <v>1160903005</v>
      </c>
      <c r="AD355" s="664">
        <v>0</v>
      </c>
      <c r="AE355" s="664">
        <v>0</v>
      </c>
      <c r="AF355" s="664">
        <v>1</v>
      </c>
      <c r="AG355" s="664">
        <v>1160605001</v>
      </c>
      <c r="AH355" s="664">
        <v>1400</v>
      </c>
      <c r="AI355" s="664" t="s">
        <v>497</v>
      </c>
      <c r="AJ355" s="667">
        <v>0.01</v>
      </c>
      <c r="AK355" s="668">
        <f t="shared" si="39"/>
        <v>1200000</v>
      </c>
      <c r="AL355" s="668">
        <f t="shared" si="40"/>
        <v>1200000</v>
      </c>
      <c r="AM355" s="668">
        <f t="shared" si="40"/>
        <v>1200000</v>
      </c>
      <c r="AN355" s="668"/>
      <c r="AO355" s="668"/>
      <c r="AP355" s="668">
        <f t="shared" si="41"/>
        <v>216000</v>
      </c>
      <c r="AQ355" s="668">
        <f t="shared" si="42"/>
        <v>216000</v>
      </c>
      <c r="AR355" s="668">
        <f t="shared" si="42"/>
        <v>216000</v>
      </c>
      <c r="AS355" s="668"/>
      <c r="AT355" s="668"/>
      <c r="AV355" s="670">
        <f t="shared" si="43"/>
        <v>116400000</v>
      </c>
      <c r="AW355" s="670">
        <f t="shared" si="44"/>
        <v>42552000</v>
      </c>
      <c r="AX355" s="671">
        <f t="shared" si="38"/>
        <v>0</v>
      </c>
    </row>
    <row r="356" spans="1:50">
      <c r="A356" s="664" t="s">
        <v>494</v>
      </c>
      <c r="B356" s="664"/>
      <c r="C356" s="664"/>
      <c r="D356" s="664">
        <v>1160505001</v>
      </c>
      <c r="E356" s="664">
        <v>0</v>
      </c>
      <c r="F356" s="664">
        <v>34905</v>
      </c>
      <c r="G356" s="665">
        <v>41705</v>
      </c>
      <c r="H356" s="665">
        <v>42801</v>
      </c>
      <c r="I356" s="664">
        <v>2455</v>
      </c>
      <c r="J356" s="666">
        <v>894000</v>
      </c>
      <c r="K356" s="666">
        <v>295020</v>
      </c>
      <c r="L356" s="666">
        <v>0</v>
      </c>
      <c r="M356" s="664" t="s">
        <v>495</v>
      </c>
      <c r="N356" s="666">
        <v>894000</v>
      </c>
      <c r="O356" s="666">
        <v>295020</v>
      </c>
      <c r="P356" s="666">
        <v>1097385</v>
      </c>
      <c r="Q356" s="664">
        <v>1</v>
      </c>
      <c r="R356" s="664" t="s">
        <v>496</v>
      </c>
      <c r="S356" s="664">
        <v>100</v>
      </c>
      <c r="T356" s="666">
        <v>894000</v>
      </c>
      <c r="U356" s="666">
        <v>295020</v>
      </c>
      <c r="V356" s="664">
        <v>300</v>
      </c>
      <c r="W356" s="666">
        <v>906360</v>
      </c>
      <c r="X356" s="664">
        <v>2</v>
      </c>
      <c r="Y356" s="664">
        <v>1160902010</v>
      </c>
      <c r="Z356" s="664">
        <v>2023</v>
      </c>
      <c r="AA356" s="664">
        <v>12</v>
      </c>
      <c r="AB356" s="664">
        <v>5026003002</v>
      </c>
      <c r="AC356" s="664">
        <v>1160903005</v>
      </c>
      <c r="AD356" s="664">
        <v>0</v>
      </c>
      <c r="AE356" s="664">
        <v>0</v>
      </c>
      <c r="AF356" s="664">
        <v>0</v>
      </c>
      <c r="AG356" s="664">
        <v>1160605001</v>
      </c>
      <c r="AH356" s="664">
        <v>2455</v>
      </c>
      <c r="AI356" s="664" t="s">
        <v>497</v>
      </c>
      <c r="AJ356" s="667">
        <v>0.01</v>
      </c>
      <c r="AK356" s="668">
        <f t="shared" si="39"/>
        <v>8940</v>
      </c>
      <c r="AL356" s="668">
        <f t="shared" si="40"/>
        <v>8940</v>
      </c>
      <c r="AM356" s="668">
        <f t="shared" si="40"/>
        <v>8940</v>
      </c>
      <c r="AN356" s="668"/>
      <c r="AO356" s="668"/>
      <c r="AP356" s="668">
        <f t="shared" si="41"/>
        <v>1475.1000000000001</v>
      </c>
      <c r="AQ356" s="668">
        <f t="shared" si="42"/>
        <v>1475.1000000000001</v>
      </c>
      <c r="AR356" s="668">
        <f t="shared" si="42"/>
        <v>1475.1000000000001</v>
      </c>
      <c r="AS356" s="668"/>
      <c r="AT356" s="668"/>
      <c r="AV356" s="670">
        <f t="shared" si="43"/>
        <v>867180</v>
      </c>
      <c r="AW356" s="670">
        <f t="shared" si="44"/>
        <v>290594.70000000007</v>
      </c>
      <c r="AX356" s="671">
        <f t="shared" si="38"/>
        <v>0</v>
      </c>
    </row>
    <row r="357" spans="1:50">
      <c r="A357" s="664" t="s">
        <v>494</v>
      </c>
      <c r="B357" s="664"/>
      <c r="C357" s="664"/>
      <c r="D357" s="664">
        <v>1160505002</v>
      </c>
      <c r="E357" s="664">
        <v>0</v>
      </c>
      <c r="F357" s="664">
        <v>34906</v>
      </c>
      <c r="G357" s="665">
        <v>41705</v>
      </c>
      <c r="H357" s="665">
        <v>42801</v>
      </c>
      <c r="I357" s="664">
        <v>2455</v>
      </c>
      <c r="J357" s="666">
        <v>799200</v>
      </c>
      <c r="K357" s="666">
        <v>263736</v>
      </c>
      <c r="L357" s="666">
        <v>0</v>
      </c>
      <c r="M357" s="664" t="s">
        <v>495</v>
      </c>
      <c r="N357" s="666">
        <v>799200</v>
      </c>
      <c r="O357" s="666">
        <v>263736</v>
      </c>
      <c r="P357" s="666">
        <v>981018</v>
      </c>
      <c r="Q357" s="664">
        <v>1</v>
      </c>
      <c r="R357" s="664" t="s">
        <v>496</v>
      </c>
      <c r="S357" s="664">
        <v>100</v>
      </c>
      <c r="T357" s="666">
        <v>799200</v>
      </c>
      <c r="U357" s="666">
        <v>263736</v>
      </c>
      <c r="V357" s="664">
        <v>300</v>
      </c>
      <c r="W357" s="666">
        <v>906360</v>
      </c>
      <c r="X357" s="664">
        <v>6</v>
      </c>
      <c r="Y357" s="664">
        <v>1160902010</v>
      </c>
      <c r="Z357" s="664">
        <v>2023</v>
      </c>
      <c r="AA357" s="664">
        <v>12</v>
      </c>
      <c r="AB357" s="664">
        <v>5026003002</v>
      </c>
      <c r="AC357" s="664">
        <v>1160903005</v>
      </c>
      <c r="AD357" s="664">
        <v>0</v>
      </c>
      <c r="AE357" s="664">
        <v>0</v>
      </c>
      <c r="AF357" s="664">
        <v>0</v>
      </c>
      <c r="AG357" s="664">
        <v>1160605001</v>
      </c>
      <c r="AH357" s="664">
        <v>2455</v>
      </c>
      <c r="AI357" s="664" t="s">
        <v>497</v>
      </c>
      <c r="AJ357" s="667">
        <v>0.01</v>
      </c>
      <c r="AK357" s="668">
        <f t="shared" si="39"/>
        <v>7992</v>
      </c>
      <c r="AL357" s="668">
        <f t="shared" si="40"/>
        <v>7992</v>
      </c>
      <c r="AM357" s="668">
        <f t="shared" si="40"/>
        <v>7992</v>
      </c>
      <c r="AN357" s="668"/>
      <c r="AO357" s="668"/>
      <c r="AP357" s="668">
        <f t="shared" si="41"/>
        <v>1318.68</v>
      </c>
      <c r="AQ357" s="668">
        <f t="shared" si="42"/>
        <v>1318.68</v>
      </c>
      <c r="AR357" s="668">
        <f t="shared" si="42"/>
        <v>1318.68</v>
      </c>
      <c r="AS357" s="668"/>
      <c r="AT357" s="668"/>
      <c r="AV357" s="670">
        <f t="shared" si="43"/>
        <v>775224</v>
      </c>
      <c r="AW357" s="670">
        <f t="shared" si="44"/>
        <v>259779.96000000002</v>
      </c>
      <c r="AX357" s="671">
        <f t="shared" si="38"/>
        <v>0</v>
      </c>
    </row>
    <row r="358" spans="1:50">
      <c r="A358" s="664" t="s">
        <v>494</v>
      </c>
      <c r="B358" s="664"/>
      <c r="C358" s="664"/>
      <c r="D358" s="664">
        <v>1160505001</v>
      </c>
      <c r="E358" s="664">
        <v>0</v>
      </c>
      <c r="F358" s="664">
        <v>31287</v>
      </c>
      <c r="G358" s="665">
        <v>41350</v>
      </c>
      <c r="H358" s="665">
        <v>41715</v>
      </c>
      <c r="I358" s="664">
        <v>3525</v>
      </c>
      <c r="J358" s="666">
        <v>4000000</v>
      </c>
      <c r="K358" s="666">
        <v>56986</v>
      </c>
      <c r="L358" s="666">
        <v>0</v>
      </c>
      <c r="M358" s="664" t="s">
        <v>495</v>
      </c>
      <c r="N358" s="666">
        <v>4000000</v>
      </c>
      <c r="O358" s="666">
        <v>56986</v>
      </c>
      <c r="P358" s="666">
        <v>7050000</v>
      </c>
      <c r="Q358" s="664">
        <v>1</v>
      </c>
      <c r="R358" s="664" t="s">
        <v>496</v>
      </c>
      <c r="S358" s="664">
        <v>100</v>
      </c>
      <c r="T358" s="666">
        <v>4000000</v>
      </c>
      <c r="U358" s="666">
        <v>56986</v>
      </c>
      <c r="V358" s="664">
        <v>300</v>
      </c>
      <c r="W358" s="666">
        <v>2643519</v>
      </c>
      <c r="X358" s="664">
        <v>2</v>
      </c>
      <c r="Y358" s="664">
        <v>1160902010</v>
      </c>
      <c r="Z358" s="664">
        <v>2023</v>
      </c>
      <c r="AA358" s="664">
        <v>12</v>
      </c>
      <c r="AB358" s="664">
        <v>5026003002</v>
      </c>
      <c r="AC358" s="664">
        <v>1160903005</v>
      </c>
      <c r="AD358" s="664">
        <v>0</v>
      </c>
      <c r="AE358" s="664">
        <v>0</v>
      </c>
      <c r="AF358" s="664">
        <v>0</v>
      </c>
      <c r="AG358" s="664">
        <v>1160605001</v>
      </c>
      <c r="AH358" s="664">
        <v>3525</v>
      </c>
      <c r="AI358" s="664" t="s">
        <v>497</v>
      </c>
      <c r="AJ358" s="667">
        <v>0.01</v>
      </c>
      <c r="AK358" s="668">
        <f t="shared" si="39"/>
        <v>40000</v>
      </c>
      <c r="AL358" s="668">
        <f t="shared" si="40"/>
        <v>40000</v>
      </c>
      <c r="AM358" s="668">
        <f t="shared" si="40"/>
        <v>40000</v>
      </c>
      <c r="AN358" s="668"/>
      <c r="AO358" s="668"/>
      <c r="AP358" s="668">
        <f t="shared" si="41"/>
        <v>284.93</v>
      </c>
      <c r="AQ358" s="668">
        <f t="shared" si="42"/>
        <v>284.93</v>
      </c>
      <c r="AR358" s="668">
        <f t="shared" si="42"/>
        <v>284.93</v>
      </c>
      <c r="AS358" s="668"/>
      <c r="AT358" s="668"/>
      <c r="AV358" s="670">
        <f t="shared" si="43"/>
        <v>3880000</v>
      </c>
      <c r="AW358" s="670">
        <f t="shared" si="44"/>
        <v>56131.21</v>
      </c>
      <c r="AX358" s="671">
        <f t="shared" si="38"/>
        <v>0</v>
      </c>
    </row>
    <row r="359" spans="1:50">
      <c r="A359" s="664" t="s">
        <v>494</v>
      </c>
      <c r="B359" s="664"/>
      <c r="C359" s="664"/>
      <c r="D359" s="664">
        <v>1160505001</v>
      </c>
      <c r="E359" s="664">
        <v>0</v>
      </c>
      <c r="F359" s="664">
        <v>46151</v>
      </c>
      <c r="G359" s="665">
        <v>43518</v>
      </c>
      <c r="H359" s="665">
        <v>44614</v>
      </c>
      <c r="I359" s="664">
        <v>670</v>
      </c>
      <c r="J359" s="666">
        <v>11400000</v>
      </c>
      <c r="K359" s="666">
        <v>0</v>
      </c>
      <c r="L359" s="666">
        <v>0</v>
      </c>
      <c r="M359" s="664" t="s">
        <v>495</v>
      </c>
      <c r="N359" s="666">
        <v>11400000</v>
      </c>
      <c r="O359" s="666">
        <v>0</v>
      </c>
      <c r="P359" s="666">
        <v>3819000</v>
      </c>
      <c r="Q359" s="664">
        <v>1</v>
      </c>
      <c r="R359" s="664" t="s">
        <v>496</v>
      </c>
      <c r="S359" s="664">
        <v>100</v>
      </c>
      <c r="T359" s="666">
        <v>11400000</v>
      </c>
      <c r="U359" s="666">
        <v>0</v>
      </c>
      <c r="V359" s="664">
        <v>300</v>
      </c>
      <c r="W359" s="666">
        <v>12560386</v>
      </c>
      <c r="X359" s="664">
        <v>2</v>
      </c>
      <c r="Y359" s="664">
        <v>1160902010</v>
      </c>
      <c r="Z359" s="664">
        <v>2023</v>
      </c>
      <c r="AA359" s="664">
        <v>12</v>
      </c>
      <c r="AB359" s="664">
        <v>5026003002</v>
      </c>
      <c r="AC359" s="664">
        <v>1160903005</v>
      </c>
      <c r="AD359" s="664">
        <v>0</v>
      </c>
      <c r="AE359" s="664">
        <v>0</v>
      </c>
      <c r="AF359" s="664">
        <v>0</v>
      </c>
      <c r="AG359" s="664">
        <v>1160605001</v>
      </c>
      <c r="AH359" s="664">
        <v>670</v>
      </c>
      <c r="AI359" s="664" t="s">
        <v>498</v>
      </c>
      <c r="AJ359" s="667">
        <v>0.1</v>
      </c>
      <c r="AK359" s="668">
        <f t="shared" si="39"/>
        <v>1140000</v>
      </c>
      <c r="AL359" s="668">
        <f t="shared" si="40"/>
        <v>1140000</v>
      </c>
      <c r="AM359" s="668">
        <f t="shared" si="40"/>
        <v>1140000</v>
      </c>
      <c r="AN359" s="668"/>
      <c r="AO359" s="668"/>
      <c r="AP359" s="668">
        <f t="shared" si="41"/>
        <v>0</v>
      </c>
      <c r="AQ359" s="668">
        <f t="shared" si="42"/>
        <v>0</v>
      </c>
      <c r="AR359" s="668">
        <f t="shared" si="42"/>
        <v>0</v>
      </c>
      <c r="AS359" s="668"/>
      <c r="AT359" s="668"/>
      <c r="AV359" s="670">
        <f t="shared" si="43"/>
        <v>7980000</v>
      </c>
      <c r="AW359" s="670">
        <f t="shared" si="44"/>
        <v>0</v>
      </c>
      <c r="AX359" s="671">
        <f t="shared" si="38"/>
        <v>0</v>
      </c>
    </row>
    <row r="360" spans="1:50">
      <c r="A360" s="664" t="s">
        <v>494</v>
      </c>
      <c r="B360" s="664"/>
      <c r="C360" s="664"/>
      <c r="D360" s="664">
        <v>1160505001</v>
      </c>
      <c r="E360" s="664">
        <v>0</v>
      </c>
      <c r="F360" s="664">
        <v>46479</v>
      </c>
      <c r="G360" s="665">
        <v>43552</v>
      </c>
      <c r="H360" s="665">
        <v>44648</v>
      </c>
      <c r="I360" s="664">
        <v>634</v>
      </c>
      <c r="J360" s="666">
        <v>8000000</v>
      </c>
      <c r="K360" s="666">
        <v>0</v>
      </c>
      <c r="L360" s="666">
        <v>0</v>
      </c>
      <c r="M360" s="664" t="s">
        <v>495</v>
      </c>
      <c r="N360" s="666">
        <v>8000000</v>
      </c>
      <c r="O360" s="666">
        <v>0</v>
      </c>
      <c r="P360" s="666">
        <v>2536000</v>
      </c>
      <c r="Q360" s="664">
        <v>1</v>
      </c>
      <c r="R360" s="664" t="s">
        <v>496</v>
      </c>
      <c r="S360" s="664">
        <v>100</v>
      </c>
      <c r="T360" s="666">
        <v>8000000</v>
      </c>
      <c r="U360" s="666">
        <v>0</v>
      </c>
      <c r="V360" s="664">
        <v>300</v>
      </c>
      <c r="W360" s="666">
        <v>5657294</v>
      </c>
      <c r="X360" s="664">
        <v>2</v>
      </c>
      <c r="Y360" s="664">
        <v>1160902010</v>
      </c>
      <c r="Z360" s="664">
        <v>2023</v>
      </c>
      <c r="AA360" s="664">
        <v>12</v>
      </c>
      <c r="AB360" s="664">
        <v>5026003002</v>
      </c>
      <c r="AC360" s="664">
        <v>1160903005</v>
      </c>
      <c r="AD360" s="664">
        <v>0</v>
      </c>
      <c r="AE360" s="664">
        <v>0</v>
      </c>
      <c r="AF360" s="664">
        <v>0</v>
      </c>
      <c r="AG360" s="664">
        <v>1160605001</v>
      </c>
      <c r="AH360" s="664">
        <v>634</v>
      </c>
      <c r="AI360" s="664" t="s">
        <v>498</v>
      </c>
      <c r="AJ360" s="667">
        <v>0.1</v>
      </c>
      <c r="AK360" s="668">
        <f t="shared" si="39"/>
        <v>800000</v>
      </c>
      <c r="AL360" s="668">
        <f t="shared" si="40"/>
        <v>800000</v>
      </c>
      <c r="AM360" s="668">
        <f t="shared" si="40"/>
        <v>800000</v>
      </c>
      <c r="AN360" s="668"/>
      <c r="AO360" s="668"/>
      <c r="AP360" s="668">
        <f t="shared" si="41"/>
        <v>0</v>
      </c>
      <c r="AQ360" s="668">
        <f t="shared" si="42"/>
        <v>0</v>
      </c>
      <c r="AR360" s="668">
        <f t="shared" si="42"/>
        <v>0</v>
      </c>
      <c r="AS360" s="668"/>
      <c r="AT360" s="668"/>
      <c r="AV360" s="670">
        <f t="shared" si="43"/>
        <v>5600000</v>
      </c>
      <c r="AW360" s="670">
        <f t="shared" si="44"/>
        <v>0</v>
      </c>
      <c r="AX360" s="671">
        <f t="shared" si="38"/>
        <v>0</v>
      </c>
    </row>
    <row r="361" spans="1:50">
      <c r="A361" s="664" t="s">
        <v>494</v>
      </c>
      <c r="B361" s="664"/>
      <c r="C361" s="664"/>
      <c r="D361" s="664">
        <v>1160505002</v>
      </c>
      <c r="E361" s="664">
        <v>0</v>
      </c>
      <c r="F361" s="664">
        <v>45410</v>
      </c>
      <c r="G361" s="665">
        <v>43402</v>
      </c>
      <c r="H361" s="665">
        <v>43767</v>
      </c>
      <c r="I361" s="664">
        <v>1503</v>
      </c>
      <c r="J361" s="666">
        <v>27120000</v>
      </c>
      <c r="K361" s="666">
        <v>4881600</v>
      </c>
      <c r="L361" s="666">
        <v>0</v>
      </c>
      <c r="M361" s="664" t="s">
        <v>495</v>
      </c>
      <c r="N361" s="666">
        <v>27120000</v>
      </c>
      <c r="O361" s="666">
        <v>4881600</v>
      </c>
      <c r="P361" s="666">
        <v>20380680</v>
      </c>
      <c r="Q361" s="664">
        <v>1</v>
      </c>
      <c r="R361" s="664" t="s">
        <v>496</v>
      </c>
      <c r="S361" s="664">
        <v>100</v>
      </c>
      <c r="T361" s="666">
        <v>27120000</v>
      </c>
      <c r="U361" s="666">
        <v>4881600</v>
      </c>
      <c r="V361" s="664">
        <v>300</v>
      </c>
      <c r="W361" s="666">
        <v>14350643</v>
      </c>
      <c r="X361" s="664">
        <v>6</v>
      </c>
      <c r="Y361" s="664">
        <v>1160902010</v>
      </c>
      <c r="Z361" s="664">
        <v>2023</v>
      </c>
      <c r="AA361" s="664">
        <v>12</v>
      </c>
      <c r="AB361" s="664">
        <v>5026003002</v>
      </c>
      <c r="AC361" s="664">
        <v>1160903005</v>
      </c>
      <c r="AD361" s="664">
        <v>0</v>
      </c>
      <c r="AE361" s="664">
        <v>0</v>
      </c>
      <c r="AF361" s="664">
        <v>0</v>
      </c>
      <c r="AG361" s="664">
        <v>1160605001</v>
      </c>
      <c r="AH361" s="664">
        <v>1503</v>
      </c>
      <c r="AI361" s="664" t="s">
        <v>497</v>
      </c>
      <c r="AJ361" s="667">
        <v>0.01</v>
      </c>
      <c r="AK361" s="668">
        <f t="shared" si="39"/>
        <v>271200</v>
      </c>
      <c r="AL361" s="668">
        <f t="shared" si="40"/>
        <v>271200</v>
      </c>
      <c r="AM361" s="668">
        <f t="shared" si="40"/>
        <v>271200</v>
      </c>
      <c r="AN361" s="668"/>
      <c r="AO361" s="668"/>
      <c r="AP361" s="668">
        <f t="shared" si="41"/>
        <v>24408</v>
      </c>
      <c r="AQ361" s="668">
        <f t="shared" si="42"/>
        <v>24408</v>
      </c>
      <c r="AR361" s="668">
        <f t="shared" si="42"/>
        <v>24408</v>
      </c>
      <c r="AS361" s="668"/>
      <c r="AT361" s="668"/>
      <c r="AV361" s="670">
        <f t="shared" si="43"/>
        <v>26306400</v>
      </c>
      <c r="AW361" s="670">
        <f t="shared" si="44"/>
        <v>4808376</v>
      </c>
      <c r="AX361" s="671">
        <f t="shared" si="38"/>
        <v>0</v>
      </c>
    </row>
    <row r="362" spans="1:50">
      <c r="A362" s="664" t="s">
        <v>494</v>
      </c>
      <c r="B362" s="664"/>
      <c r="C362" s="664"/>
      <c r="D362" s="664">
        <v>1160505001</v>
      </c>
      <c r="E362" s="664">
        <v>0</v>
      </c>
      <c r="F362" s="664">
        <v>46580</v>
      </c>
      <c r="G362" s="665">
        <v>43569</v>
      </c>
      <c r="H362" s="665">
        <v>44665</v>
      </c>
      <c r="I362" s="664">
        <v>618</v>
      </c>
      <c r="J362" s="666">
        <v>7089112</v>
      </c>
      <c r="K362" s="666">
        <v>0</v>
      </c>
      <c r="L362" s="666">
        <v>0</v>
      </c>
      <c r="M362" s="664" t="s">
        <v>495</v>
      </c>
      <c r="N362" s="666">
        <v>7089112</v>
      </c>
      <c r="O362" s="666">
        <v>0</v>
      </c>
      <c r="P362" s="666">
        <v>2190536</v>
      </c>
      <c r="Q362" s="664">
        <v>1</v>
      </c>
      <c r="R362" s="664" t="s">
        <v>496</v>
      </c>
      <c r="S362" s="664">
        <v>100</v>
      </c>
      <c r="T362" s="666">
        <v>7089112</v>
      </c>
      <c r="U362" s="666">
        <v>0</v>
      </c>
      <c r="V362" s="664">
        <v>300</v>
      </c>
      <c r="W362" s="666">
        <v>12458797</v>
      </c>
      <c r="X362" s="664">
        <v>2</v>
      </c>
      <c r="Y362" s="664">
        <v>1160902010</v>
      </c>
      <c r="Z362" s="664">
        <v>2023</v>
      </c>
      <c r="AA362" s="664">
        <v>12</v>
      </c>
      <c r="AB362" s="664">
        <v>5026003002</v>
      </c>
      <c r="AC362" s="664">
        <v>1160903005</v>
      </c>
      <c r="AD362" s="664">
        <v>0</v>
      </c>
      <c r="AE362" s="664">
        <v>0</v>
      </c>
      <c r="AF362" s="664">
        <v>0</v>
      </c>
      <c r="AG362" s="664">
        <v>1160605001</v>
      </c>
      <c r="AH362" s="664">
        <v>618</v>
      </c>
      <c r="AI362" s="664" t="s">
        <v>498</v>
      </c>
      <c r="AJ362" s="667">
        <v>0.1</v>
      </c>
      <c r="AK362" s="668">
        <f t="shared" si="39"/>
        <v>708911.20000000007</v>
      </c>
      <c r="AL362" s="668">
        <f t="shared" si="40"/>
        <v>708911.20000000007</v>
      </c>
      <c r="AM362" s="668">
        <f t="shared" si="40"/>
        <v>708911.20000000007</v>
      </c>
      <c r="AN362" s="668"/>
      <c r="AO362" s="668"/>
      <c r="AP362" s="668">
        <f t="shared" si="41"/>
        <v>0</v>
      </c>
      <c r="AQ362" s="668">
        <f t="shared" si="42"/>
        <v>0</v>
      </c>
      <c r="AR362" s="668">
        <f t="shared" si="42"/>
        <v>0</v>
      </c>
      <c r="AS362" s="668"/>
      <c r="AT362" s="668"/>
      <c r="AV362" s="670">
        <f t="shared" si="43"/>
        <v>4962378.3999999994</v>
      </c>
      <c r="AW362" s="670">
        <f t="shared" si="44"/>
        <v>0</v>
      </c>
      <c r="AX362" s="671">
        <f t="shared" si="38"/>
        <v>0</v>
      </c>
    </row>
    <row r="363" spans="1:50">
      <c r="A363" s="664" t="s">
        <v>494</v>
      </c>
      <c r="B363" s="664"/>
      <c r="C363" s="664"/>
      <c r="D363" s="664">
        <v>1160405003</v>
      </c>
      <c r="E363" s="664">
        <v>0</v>
      </c>
      <c r="F363" s="664">
        <v>33836</v>
      </c>
      <c r="G363" s="665">
        <v>41637</v>
      </c>
      <c r="H363" s="665">
        <v>42002</v>
      </c>
      <c r="I363" s="664">
        <v>3243</v>
      </c>
      <c r="J363" s="666">
        <v>140000000</v>
      </c>
      <c r="K363" s="666">
        <v>12600000</v>
      </c>
      <c r="L363" s="666">
        <v>0</v>
      </c>
      <c r="M363" s="664" t="s">
        <v>495</v>
      </c>
      <c r="N363" s="666">
        <v>140000000</v>
      </c>
      <c r="O363" s="666">
        <v>12600000</v>
      </c>
      <c r="P363" s="666">
        <v>227010000</v>
      </c>
      <c r="Q363" s="664">
        <v>2</v>
      </c>
      <c r="R363" s="664" t="s">
        <v>496</v>
      </c>
      <c r="S363" s="664">
        <v>100</v>
      </c>
      <c r="T363" s="666">
        <v>140000000</v>
      </c>
      <c r="U363" s="666">
        <v>12600000</v>
      </c>
      <c r="V363" s="664">
        <v>100</v>
      </c>
      <c r="W363" s="666">
        <v>38128089</v>
      </c>
      <c r="X363" s="664">
        <v>8</v>
      </c>
      <c r="Y363" s="664">
        <v>1160902009</v>
      </c>
      <c r="Z363" s="664">
        <v>2023</v>
      </c>
      <c r="AA363" s="664">
        <v>12</v>
      </c>
      <c r="AB363" s="664">
        <v>5026003002</v>
      </c>
      <c r="AC363" s="664">
        <v>1160903005</v>
      </c>
      <c r="AD363" s="664">
        <v>0</v>
      </c>
      <c r="AE363" s="664">
        <v>0</v>
      </c>
      <c r="AF363" s="664">
        <v>1</v>
      </c>
      <c r="AG363" s="664">
        <v>1160605001</v>
      </c>
      <c r="AH363" s="664">
        <v>3243</v>
      </c>
      <c r="AI363" s="664" t="s">
        <v>497</v>
      </c>
      <c r="AJ363" s="667">
        <v>0.01</v>
      </c>
      <c r="AK363" s="668">
        <f t="shared" si="39"/>
        <v>1400000</v>
      </c>
      <c r="AL363" s="668">
        <f t="shared" si="40"/>
        <v>1400000</v>
      </c>
      <c r="AM363" s="668">
        <f t="shared" si="40"/>
        <v>1400000</v>
      </c>
      <c r="AN363" s="668"/>
      <c r="AO363" s="668"/>
      <c r="AP363" s="668">
        <f t="shared" si="41"/>
        <v>63000</v>
      </c>
      <c r="AQ363" s="668">
        <f t="shared" si="42"/>
        <v>63000</v>
      </c>
      <c r="AR363" s="668">
        <f t="shared" si="42"/>
        <v>63000</v>
      </c>
      <c r="AS363" s="668"/>
      <c r="AT363" s="668"/>
      <c r="AV363" s="670">
        <f t="shared" si="43"/>
        <v>135800000</v>
      </c>
      <c r="AW363" s="670">
        <f t="shared" si="44"/>
        <v>12411000</v>
      </c>
      <c r="AX363" s="671">
        <f t="shared" si="38"/>
        <v>0</v>
      </c>
    </row>
    <row r="364" spans="1:50">
      <c r="A364" s="664" t="s">
        <v>494</v>
      </c>
      <c r="B364" s="664"/>
      <c r="C364" s="664"/>
      <c r="D364" s="664">
        <v>1160505001</v>
      </c>
      <c r="E364" s="664">
        <v>0</v>
      </c>
      <c r="F364" s="664">
        <v>45505</v>
      </c>
      <c r="G364" s="665">
        <v>43440</v>
      </c>
      <c r="H364" s="665">
        <v>44536</v>
      </c>
      <c r="I364" s="664">
        <v>746</v>
      </c>
      <c r="J364" s="666">
        <v>3878257</v>
      </c>
      <c r="K364" s="666">
        <v>28117</v>
      </c>
      <c r="L364" s="666">
        <v>0</v>
      </c>
      <c r="M364" s="664" t="s">
        <v>495</v>
      </c>
      <c r="N364" s="666">
        <v>3878257</v>
      </c>
      <c r="O364" s="666">
        <v>28117</v>
      </c>
      <c r="P364" s="666">
        <v>1446590</v>
      </c>
      <c r="Q364" s="664">
        <v>1</v>
      </c>
      <c r="R364" s="664" t="s">
        <v>496</v>
      </c>
      <c r="S364" s="664">
        <v>100</v>
      </c>
      <c r="T364" s="666">
        <v>3878257</v>
      </c>
      <c r="U364" s="666">
        <v>28117</v>
      </c>
      <c r="V364" s="664">
        <v>300</v>
      </c>
      <c r="W364" s="666">
        <v>2989061</v>
      </c>
      <c r="X364" s="664">
        <v>2</v>
      </c>
      <c r="Y364" s="664">
        <v>1160902010</v>
      </c>
      <c r="Z364" s="664">
        <v>2023</v>
      </c>
      <c r="AA364" s="664">
        <v>12</v>
      </c>
      <c r="AB364" s="664">
        <v>5026003002</v>
      </c>
      <c r="AC364" s="664">
        <v>1160903005</v>
      </c>
      <c r="AD364" s="664">
        <v>0</v>
      </c>
      <c r="AE364" s="664">
        <v>0</v>
      </c>
      <c r="AF364" s="664">
        <v>0</v>
      </c>
      <c r="AG364" s="664">
        <v>1160605001</v>
      </c>
      <c r="AH364" s="664">
        <v>746</v>
      </c>
      <c r="AI364" s="664" t="s">
        <v>499</v>
      </c>
      <c r="AJ364" s="667">
        <v>0.05</v>
      </c>
      <c r="AK364" s="668">
        <f t="shared" si="39"/>
        <v>193912.85</v>
      </c>
      <c r="AL364" s="668">
        <f t="shared" si="40"/>
        <v>193912.85</v>
      </c>
      <c r="AM364" s="668">
        <f t="shared" si="40"/>
        <v>193912.85</v>
      </c>
      <c r="AN364" s="668"/>
      <c r="AO364" s="668"/>
      <c r="AP364" s="668">
        <f t="shared" si="41"/>
        <v>702.92500000000007</v>
      </c>
      <c r="AQ364" s="668">
        <f t="shared" si="42"/>
        <v>702.92500000000007</v>
      </c>
      <c r="AR364" s="668">
        <f t="shared" si="42"/>
        <v>702.92500000000007</v>
      </c>
      <c r="AS364" s="668"/>
      <c r="AT364" s="668"/>
      <c r="AV364" s="670">
        <f t="shared" si="43"/>
        <v>3296518.4499999997</v>
      </c>
      <c r="AW364" s="670">
        <f t="shared" si="44"/>
        <v>26008.225000000002</v>
      </c>
      <c r="AX364" s="671">
        <f t="shared" si="38"/>
        <v>0</v>
      </c>
    </row>
    <row r="365" spans="1:50">
      <c r="A365" s="664" t="s">
        <v>494</v>
      </c>
      <c r="B365" s="664"/>
      <c r="C365" s="664"/>
      <c r="D365" s="664">
        <v>1160505001</v>
      </c>
      <c r="E365" s="664">
        <v>0</v>
      </c>
      <c r="F365" s="664">
        <v>46656</v>
      </c>
      <c r="G365" s="665">
        <v>43587</v>
      </c>
      <c r="H365" s="665">
        <v>44683</v>
      </c>
      <c r="I365" s="664">
        <v>600</v>
      </c>
      <c r="J365" s="666">
        <v>1332000</v>
      </c>
      <c r="K365" s="666">
        <v>41958</v>
      </c>
      <c r="L365" s="666">
        <v>0</v>
      </c>
      <c r="M365" s="664" t="s">
        <v>495</v>
      </c>
      <c r="N365" s="666">
        <v>1332000</v>
      </c>
      <c r="O365" s="666">
        <v>41958</v>
      </c>
      <c r="P365" s="666">
        <v>399600</v>
      </c>
      <c r="Q365" s="664">
        <v>1</v>
      </c>
      <c r="R365" s="664" t="s">
        <v>496</v>
      </c>
      <c r="S365" s="664">
        <v>100</v>
      </c>
      <c r="T365" s="666">
        <v>1332000</v>
      </c>
      <c r="U365" s="666">
        <v>41958</v>
      </c>
      <c r="V365" s="664">
        <v>300</v>
      </c>
      <c r="W365" s="666">
        <v>2989061</v>
      </c>
      <c r="X365" s="664">
        <v>2</v>
      </c>
      <c r="Y365" s="664">
        <v>1160902010</v>
      </c>
      <c r="Z365" s="664">
        <v>2023</v>
      </c>
      <c r="AA365" s="664">
        <v>12</v>
      </c>
      <c r="AB365" s="664">
        <v>5026003002</v>
      </c>
      <c r="AC365" s="664">
        <v>1160903005</v>
      </c>
      <c r="AD365" s="664">
        <v>0</v>
      </c>
      <c r="AE365" s="664">
        <v>0</v>
      </c>
      <c r="AF365" s="664">
        <v>0</v>
      </c>
      <c r="AG365" s="664">
        <v>1160605001</v>
      </c>
      <c r="AH365" s="664">
        <v>746</v>
      </c>
      <c r="AI365" s="664" t="s">
        <v>499</v>
      </c>
      <c r="AJ365" s="667">
        <v>0.05</v>
      </c>
      <c r="AK365" s="668">
        <f t="shared" si="39"/>
        <v>66600</v>
      </c>
      <c r="AL365" s="668">
        <f t="shared" si="40"/>
        <v>66600</v>
      </c>
      <c r="AM365" s="668">
        <f t="shared" si="40"/>
        <v>66600</v>
      </c>
      <c r="AN365" s="668"/>
      <c r="AO365" s="668"/>
      <c r="AP365" s="668">
        <f t="shared" si="41"/>
        <v>1048.95</v>
      </c>
      <c r="AQ365" s="668">
        <f t="shared" si="42"/>
        <v>1048.95</v>
      </c>
      <c r="AR365" s="668">
        <f t="shared" si="42"/>
        <v>1048.95</v>
      </c>
      <c r="AS365" s="668"/>
      <c r="AT365" s="668"/>
      <c r="AV365" s="670">
        <f t="shared" si="43"/>
        <v>1132200</v>
      </c>
      <c r="AW365" s="670">
        <f t="shared" si="44"/>
        <v>38811.150000000009</v>
      </c>
      <c r="AX365" s="671">
        <f t="shared" si="38"/>
        <v>0</v>
      </c>
    </row>
    <row r="366" spans="1:50">
      <c r="A366" s="664" t="s">
        <v>494</v>
      </c>
      <c r="B366" s="664"/>
      <c r="C366" s="664"/>
      <c r="D366" s="664">
        <v>1160505001</v>
      </c>
      <c r="E366" s="664">
        <v>0</v>
      </c>
      <c r="F366" s="664">
        <v>45917</v>
      </c>
      <c r="G366" s="665">
        <v>43499</v>
      </c>
      <c r="H366" s="665">
        <v>43864</v>
      </c>
      <c r="I366" s="664">
        <v>1409</v>
      </c>
      <c r="J366" s="666">
        <v>3900000</v>
      </c>
      <c r="K366" s="666">
        <v>351000</v>
      </c>
      <c r="L366" s="666">
        <v>0</v>
      </c>
      <c r="M366" s="664" t="s">
        <v>495</v>
      </c>
      <c r="N366" s="666">
        <v>3900000</v>
      </c>
      <c r="O366" s="666">
        <v>351000</v>
      </c>
      <c r="P366" s="666">
        <v>2747550</v>
      </c>
      <c r="Q366" s="664">
        <v>1</v>
      </c>
      <c r="R366" s="664" t="s">
        <v>496</v>
      </c>
      <c r="S366" s="664">
        <v>100</v>
      </c>
      <c r="T366" s="666">
        <v>3900000</v>
      </c>
      <c r="U366" s="666">
        <v>351000</v>
      </c>
      <c r="V366" s="664">
        <v>200</v>
      </c>
      <c r="W366" s="666">
        <v>5181935</v>
      </c>
      <c r="X366" s="664">
        <v>2</v>
      </c>
      <c r="Y366" s="664">
        <v>1160902010</v>
      </c>
      <c r="Z366" s="664">
        <v>2023</v>
      </c>
      <c r="AA366" s="664">
        <v>12</v>
      </c>
      <c r="AB366" s="664">
        <v>5026003002</v>
      </c>
      <c r="AC366" s="664">
        <v>1160903005</v>
      </c>
      <c r="AD366" s="664">
        <v>0</v>
      </c>
      <c r="AE366" s="664">
        <v>0</v>
      </c>
      <c r="AF366" s="664">
        <v>0</v>
      </c>
      <c r="AG366" s="664">
        <v>1160605001</v>
      </c>
      <c r="AH366" s="664">
        <v>1409</v>
      </c>
      <c r="AI366" s="664" t="s">
        <v>497</v>
      </c>
      <c r="AJ366" s="667">
        <v>0.01</v>
      </c>
      <c r="AK366" s="668">
        <f t="shared" si="39"/>
        <v>39000</v>
      </c>
      <c r="AL366" s="668">
        <f t="shared" si="40"/>
        <v>39000</v>
      </c>
      <c r="AM366" s="668">
        <f t="shared" si="40"/>
        <v>39000</v>
      </c>
      <c r="AN366" s="668"/>
      <c r="AO366" s="668"/>
      <c r="AP366" s="668">
        <f t="shared" si="41"/>
        <v>1755</v>
      </c>
      <c r="AQ366" s="668">
        <f t="shared" si="42"/>
        <v>1755</v>
      </c>
      <c r="AR366" s="668">
        <f t="shared" si="42"/>
        <v>1755</v>
      </c>
      <c r="AS366" s="668"/>
      <c r="AT366" s="668"/>
      <c r="AV366" s="670">
        <f t="shared" si="43"/>
        <v>3783000</v>
      </c>
      <c r="AW366" s="670">
        <f t="shared" si="44"/>
        <v>345735</v>
      </c>
      <c r="AX366" s="671">
        <f t="shared" si="38"/>
        <v>0</v>
      </c>
    </row>
    <row r="367" spans="1:50">
      <c r="A367" s="664" t="s">
        <v>494</v>
      </c>
      <c r="B367" s="664"/>
      <c r="C367" s="664"/>
      <c r="D367" s="664">
        <v>1160505002</v>
      </c>
      <c r="E367" s="664">
        <v>0</v>
      </c>
      <c r="F367" s="664">
        <v>45995</v>
      </c>
      <c r="G367" s="665">
        <v>43499</v>
      </c>
      <c r="H367" s="665">
        <v>43864</v>
      </c>
      <c r="I367" s="664">
        <v>1409</v>
      </c>
      <c r="J367" s="666">
        <v>1955000</v>
      </c>
      <c r="K367" s="666">
        <v>175955</v>
      </c>
      <c r="L367" s="666">
        <v>0</v>
      </c>
      <c r="M367" s="664" t="s">
        <v>495</v>
      </c>
      <c r="N367" s="666">
        <v>1955000</v>
      </c>
      <c r="O367" s="666">
        <v>175955</v>
      </c>
      <c r="P367" s="666">
        <v>1377298</v>
      </c>
      <c r="Q367" s="664">
        <v>1</v>
      </c>
      <c r="R367" s="664" t="s">
        <v>496</v>
      </c>
      <c r="S367" s="664">
        <v>100</v>
      </c>
      <c r="T367" s="666">
        <v>1955000</v>
      </c>
      <c r="U367" s="666">
        <v>175955</v>
      </c>
      <c r="V367" s="664">
        <v>200</v>
      </c>
      <c r="W367" s="666">
        <v>5181935</v>
      </c>
      <c r="X367" s="664">
        <v>6</v>
      </c>
      <c r="Y367" s="664">
        <v>1160902010</v>
      </c>
      <c r="Z367" s="664">
        <v>2023</v>
      </c>
      <c r="AA367" s="664">
        <v>12</v>
      </c>
      <c r="AB367" s="664">
        <v>5026003002</v>
      </c>
      <c r="AC367" s="664">
        <v>1160903005</v>
      </c>
      <c r="AD367" s="664">
        <v>0</v>
      </c>
      <c r="AE367" s="664">
        <v>0</v>
      </c>
      <c r="AF367" s="664">
        <v>0</v>
      </c>
      <c r="AG367" s="664">
        <v>1160605001</v>
      </c>
      <c r="AH367" s="664">
        <v>1409</v>
      </c>
      <c r="AI367" s="664" t="s">
        <v>497</v>
      </c>
      <c r="AJ367" s="667">
        <v>0.01</v>
      </c>
      <c r="AK367" s="668">
        <f t="shared" si="39"/>
        <v>19550</v>
      </c>
      <c r="AL367" s="668">
        <f t="shared" si="40"/>
        <v>19550</v>
      </c>
      <c r="AM367" s="668">
        <f t="shared" si="40"/>
        <v>19550</v>
      </c>
      <c r="AN367" s="668"/>
      <c r="AO367" s="668"/>
      <c r="AP367" s="668">
        <f t="shared" si="41"/>
        <v>879.77499999999998</v>
      </c>
      <c r="AQ367" s="668">
        <f t="shared" si="42"/>
        <v>879.77499999999998</v>
      </c>
      <c r="AR367" s="668">
        <f t="shared" si="42"/>
        <v>879.77499999999998</v>
      </c>
      <c r="AS367" s="668"/>
      <c r="AT367" s="668"/>
      <c r="AV367" s="670">
        <f t="shared" si="43"/>
        <v>1896350</v>
      </c>
      <c r="AW367" s="670">
        <f t="shared" si="44"/>
        <v>173315.67500000002</v>
      </c>
      <c r="AX367" s="671">
        <f t="shared" si="38"/>
        <v>0</v>
      </c>
    </row>
    <row r="368" spans="1:50">
      <c r="A368" s="664" t="s">
        <v>494</v>
      </c>
      <c r="B368" s="664"/>
      <c r="C368" s="664"/>
      <c r="D368" s="664">
        <v>1160505001</v>
      </c>
      <c r="E368" s="664">
        <v>0</v>
      </c>
      <c r="F368" s="664">
        <v>46210</v>
      </c>
      <c r="G368" s="665">
        <v>43521</v>
      </c>
      <c r="H368" s="665">
        <v>43886</v>
      </c>
      <c r="I368" s="664">
        <v>1387</v>
      </c>
      <c r="J368" s="666">
        <v>850000</v>
      </c>
      <c r="K368" s="666">
        <v>0</v>
      </c>
      <c r="L368" s="666">
        <v>0</v>
      </c>
      <c r="M368" s="664" t="s">
        <v>495</v>
      </c>
      <c r="N368" s="666">
        <v>850000</v>
      </c>
      <c r="O368" s="666">
        <v>0</v>
      </c>
      <c r="P368" s="666">
        <v>589475</v>
      </c>
      <c r="Q368" s="664">
        <v>1</v>
      </c>
      <c r="R368" s="664" t="s">
        <v>496</v>
      </c>
      <c r="S368" s="664">
        <v>100</v>
      </c>
      <c r="T368" s="666">
        <v>850000</v>
      </c>
      <c r="U368" s="666">
        <v>0</v>
      </c>
      <c r="V368" s="664">
        <v>100</v>
      </c>
      <c r="W368" s="666">
        <v>5949865</v>
      </c>
      <c r="X368" s="664">
        <v>2</v>
      </c>
      <c r="Y368" s="664">
        <v>1160902010</v>
      </c>
      <c r="Z368" s="664">
        <v>2023</v>
      </c>
      <c r="AA368" s="664">
        <v>12</v>
      </c>
      <c r="AB368" s="664">
        <v>5026003002</v>
      </c>
      <c r="AC368" s="664">
        <v>1160903005</v>
      </c>
      <c r="AD368" s="664">
        <v>0</v>
      </c>
      <c r="AE368" s="664">
        <v>0</v>
      </c>
      <c r="AF368" s="664">
        <v>0</v>
      </c>
      <c r="AG368" s="664">
        <v>1160605001</v>
      </c>
      <c r="AH368" s="664">
        <v>1387</v>
      </c>
      <c r="AI368" s="664" t="s">
        <v>497</v>
      </c>
      <c r="AJ368" s="667">
        <v>0.01</v>
      </c>
      <c r="AK368" s="668">
        <f t="shared" si="39"/>
        <v>8500</v>
      </c>
      <c r="AL368" s="668">
        <f t="shared" si="40"/>
        <v>8500</v>
      </c>
      <c r="AM368" s="668">
        <f t="shared" si="40"/>
        <v>8500</v>
      </c>
      <c r="AN368" s="668"/>
      <c r="AO368" s="668"/>
      <c r="AP368" s="668">
        <f t="shared" si="41"/>
        <v>0</v>
      </c>
      <c r="AQ368" s="668">
        <f t="shared" si="42"/>
        <v>0</v>
      </c>
      <c r="AR368" s="668">
        <f t="shared" si="42"/>
        <v>0</v>
      </c>
      <c r="AS368" s="668"/>
      <c r="AT368" s="668"/>
      <c r="AV368" s="670">
        <f t="shared" si="43"/>
        <v>824500</v>
      </c>
      <c r="AW368" s="670">
        <f t="shared" si="44"/>
        <v>0</v>
      </c>
      <c r="AX368" s="671">
        <f t="shared" si="38"/>
        <v>0</v>
      </c>
    </row>
    <row r="369" spans="1:50">
      <c r="A369" s="664" t="s">
        <v>494</v>
      </c>
      <c r="B369" s="664"/>
      <c r="C369" s="664"/>
      <c r="D369" s="664">
        <v>1160505001</v>
      </c>
      <c r="E369" s="664">
        <v>0</v>
      </c>
      <c r="F369" s="664">
        <v>43079</v>
      </c>
      <c r="G369" s="665">
        <v>43067</v>
      </c>
      <c r="H369" s="665">
        <v>44163</v>
      </c>
      <c r="I369" s="664">
        <v>1114</v>
      </c>
      <c r="J369" s="666">
        <v>6088000</v>
      </c>
      <c r="K369" s="666">
        <v>1155204</v>
      </c>
      <c r="L369" s="666">
        <v>0</v>
      </c>
      <c r="M369" s="664" t="s">
        <v>495</v>
      </c>
      <c r="N369" s="666">
        <v>6088000</v>
      </c>
      <c r="O369" s="666">
        <v>1155204</v>
      </c>
      <c r="P369" s="666">
        <v>3391016</v>
      </c>
      <c r="Q369" s="664">
        <v>1</v>
      </c>
      <c r="R369" s="664" t="s">
        <v>496</v>
      </c>
      <c r="S369" s="664">
        <v>100</v>
      </c>
      <c r="T369" s="666">
        <v>6088000</v>
      </c>
      <c r="U369" s="666">
        <v>1155204</v>
      </c>
      <c r="V369" s="664">
        <v>400</v>
      </c>
      <c r="W369" s="666">
        <v>3442269</v>
      </c>
      <c r="X369" s="664">
        <v>2</v>
      </c>
      <c r="Y369" s="664">
        <v>1160902010</v>
      </c>
      <c r="Z369" s="664">
        <v>2023</v>
      </c>
      <c r="AA369" s="664">
        <v>12</v>
      </c>
      <c r="AB369" s="664">
        <v>5026003002</v>
      </c>
      <c r="AC369" s="664">
        <v>1160903005</v>
      </c>
      <c r="AD369" s="664">
        <v>0</v>
      </c>
      <c r="AE369" s="664">
        <v>0</v>
      </c>
      <c r="AF369" s="664">
        <v>0</v>
      </c>
      <c r="AG369" s="664">
        <v>1160605001</v>
      </c>
      <c r="AH369" s="664">
        <v>1114</v>
      </c>
      <c r="AI369" s="664" t="s">
        <v>497</v>
      </c>
      <c r="AJ369" s="667">
        <v>0.01</v>
      </c>
      <c r="AK369" s="668">
        <f t="shared" si="39"/>
        <v>60880</v>
      </c>
      <c r="AL369" s="668">
        <f t="shared" si="40"/>
        <v>60880</v>
      </c>
      <c r="AM369" s="668">
        <f t="shared" si="40"/>
        <v>60880</v>
      </c>
      <c r="AN369" s="668"/>
      <c r="AO369" s="668"/>
      <c r="AP369" s="668">
        <f t="shared" si="41"/>
        <v>5776.02</v>
      </c>
      <c r="AQ369" s="668">
        <f t="shared" si="42"/>
        <v>5776.02</v>
      </c>
      <c r="AR369" s="668">
        <f t="shared" si="42"/>
        <v>5776.02</v>
      </c>
      <c r="AS369" s="668"/>
      <c r="AT369" s="668"/>
      <c r="AV369" s="670">
        <f t="shared" si="43"/>
        <v>5905360</v>
      </c>
      <c r="AW369" s="670">
        <f t="shared" si="44"/>
        <v>1137875.94</v>
      </c>
      <c r="AX369" s="671">
        <f t="shared" si="38"/>
        <v>0</v>
      </c>
    </row>
    <row r="370" spans="1:50">
      <c r="A370" s="664" t="s">
        <v>494</v>
      </c>
      <c r="B370" s="664"/>
      <c r="C370" s="664"/>
      <c r="D370" s="664">
        <v>1160505002</v>
      </c>
      <c r="E370" s="664">
        <v>0</v>
      </c>
      <c r="F370" s="664">
        <v>46310</v>
      </c>
      <c r="G370" s="665">
        <v>43525</v>
      </c>
      <c r="H370" s="665">
        <v>43891</v>
      </c>
      <c r="I370" s="664">
        <v>1381</v>
      </c>
      <c r="J370" s="666">
        <v>1972600</v>
      </c>
      <c r="K370" s="666">
        <v>0</v>
      </c>
      <c r="L370" s="666">
        <v>0</v>
      </c>
      <c r="M370" s="664" t="s">
        <v>495</v>
      </c>
      <c r="N370" s="666">
        <v>1972600</v>
      </c>
      <c r="O370" s="666">
        <v>0</v>
      </c>
      <c r="P370" s="666">
        <v>1362080</v>
      </c>
      <c r="Q370" s="664">
        <v>1</v>
      </c>
      <c r="R370" s="664" t="s">
        <v>496</v>
      </c>
      <c r="S370" s="664">
        <v>100</v>
      </c>
      <c r="T370" s="666">
        <v>1972600</v>
      </c>
      <c r="U370" s="666">
        <v>0</v>
      </c>
      <c r="V370" s="664">
        <v>100</v>
      </c>
      <c r="W370" s="666">
        <v>5768498</v>
      </c>
      <c r="X370" s="664">
        <v>6</v>
      </c>
      <c r="Y370" s="664">
        <v>1160902010</v>
      </c>
      <c r="Z370" s="664">
        <v>2023</v>
      </c>
      <c r="AA370" s="664">
        <v>12</v>
      </c>
      <c r="AB370" s="664">
        <v>5026003002</v>
      </c>
      <c r="AC370" s="664">
        <v>1160903005</v>
      </c>
      <c r="AD370" s="664">
        <v>0</v>
      </c>
      <c r="AE370" s="664">
        <v>0</v>
      </c>
      <c r="AF370" s="664">
        <v>0</v>
      </c>
      <c r="AG370" s="664">
        <v>1160605001</v>
      </c>
      <c r="AH370" s="664">
        <v>1381</v>
      </c>
      <c r="AI370" s="664" t="s">
        <v>497</v>
      </c>
      <c r="AJ370" s="667">
        <v>0.01</v>
      </c>
      <c r="AK370" s="668">
        <f t="shared" si="39"/>
        <v>19726</v>
      </c>
      <c r="AL370" s="668">
        <f t="shared" si="40"/>
        <v>19726</v>
      </c>
      <c r="AM370" s="668">
        <f t="shared" si="40"/>
        <v>19726</v>
      </c>
      <c r="AN370" s="668"/>
      <c r="AO370" s="668"/>
      <c r="AP370" s="668">
        <f t="shared" si="41"/>
        <v>0</v>
      </c>
      <c r="AQ370" s="668">
        <f t="shared" si="42"/>
        <v>0</v>
      </c>
      <c r="AR370" s="668">
        <f t="shared" si="42"/>
        <v>0</v>
      </c>
      <c r="AS370" s="668"/>
      <c r="AT370" s="668"/>
      <c r="AV370" s="670">
        <f t="shared" si="43"/>
        <v>1913422</v>
      </c>
      <c r="AW370" s="670">
        <f t="shared" si="44"/>
        <v>0</v>
      </c>
      <c r="AX370" s="671">
        <f t="shared" si="38"/>
        <v>0</v>
      </c>
    </row>
    <row r="371" spans="1:50">
      <c r="A371" s="664" t="s">
        <v>494</v>
      </c>
      <c r="B371" s="664"/>
      <c r="C371" s="664"/>
      <c r="D371" s="664">
        <v>1160505001</v>
      </c>
      <c r="E371" s="664">
        <v>0</v>
      </c>
      <c r="F371" s="664">
        <v>47336</v>
      </c>
      <c r="G371" s="665">
        <v>43731</v>
      </c>
      <c r="H371" s="665">
        <v>44097</v>
      </c>
      <c r="I371" s="664">
        <v>1179</v>
      </c>
      <c r="J371" s="666">
        <v>6000000</v>
      </c>
      <c r="K371" s="666">
        <v>720000</v>
      </c>
      <c r="L371" s="666">
        <v>0</v>
      </c>
      <c r="M371" s="664" t="s">
        <v>495</v>
      </c>
      <c r="N371" s="666">
        <v>6000000</v>
      </c>
      <c r="O371" s="666">
        <v>720000</v>
      </c>
      <c r="P371" s="666">
        <v>3537000</v>
      </c>
      <c r="Q371" s="664">
        <v>1</v>
      </c>
      <c r="R371" s="664" t="s">
        <v>496</v>
      </c>
      <c r="S371" s="664">
        <v>100</v>
      </c>
      <c r="T371" s="666">
        <v>6000000</v>
      </c>
      <c r="U371" s="666">
        <v>720000</v>
      </c>
      <c r="V371" s="664">
        <v>400</v>
      </c>
      <c r="W371" s="666">
        <v>8829308</v>
      </c>
      <c r="X371" s="664">
        <v>2</v>
      </c>
      <c r="Y371" s="664">
        <v>1160902010</v>
      </c>
      <c r="Z371" s="664">
        <v>2023</v>
      </c>
      <c r="AA371" s="664">
        <v>12</v>
      </c>
      <c r="AB371" s="664">
        <v>5026003002</v>
      </c>
      <c r="AC371" s="664">
        <v>1160903005</v>
      </c>
      <c r="AD371" s="664">
        <v>0</v>
      </c>
      <c r="AE371" s="664">
        <v>0</v>
      </c>
      <c r="AF371" s="664">
        <v>0</v>
      </c>
      <c r="AG371" s="664">
        <v>1160605001</v>
      </c>
      <c r="AH371" s="664">
        <v>1179</v>
      </c>
      <c r="AI371" s="664" t="s">
        <v>497</v>
      </c>
      <c r="AJ371" s="667">
        <v>0.01</v>
      </c>
      <c r="AK371" s="668">
        <f t="shared" si="39"/>
        <v>60000</v>
      </c>
      <c r="AL371" s="668">
        <f t="shared" si="40"/>
        <v>60000</v>
      </c>
      <c r="AM371" s="668">
        <f t="shared" si="40"/>
        <v>60000</v>
      </c>
      <c r="AN371" s="668"/>
      <c r="AO371" s="668"/>
      <c r="AP371" s="668">
        <f t="shared" si="41"/>
        <v>3600</v>
      </c>
      <c r="AQ371" s="668">
        <f t="shared" si="42"/>
        <v>3600</v>
      </c>
      <c r="AR371" s="668">
        <f t="shared" si="42"/>
        <v>3600</v>
      </c>
      <c r="AS371" s="668"/>
      <c r="AT371" s="668"/>
      <c r="AV371" s="670">
        <f t="shared" si="43"/>
        <v>5820000</v>
      </c>
      <c r="AW371" s="670">
        <f t="shared" si="44"/>
        <v>709200</v>
      </c>
      <c r="AX371" s="671">
        <f t="shared" si="38"/>
        <v>0</v>
      </c>
    </row>
    <row r="372" spans="1:50">
      <c r="A372" s="664" t="s">
        <v>494</v>
      </c>
      <c r="B372" s="664"/>
      <c r="C372" s="664"/>
      <c r="D372" s="664">
        <v>1160505001</v>
      </c>
      <c r="E372" s="664">
        <v>0</v>
      </c>
      <c r="F372" s="664">
        <v>46846</v>
      </c>
      <c r="G372" s="665">
        <v>43618</v>
      </c>
      <c r="H372" s="665">
        <v>44349</v>
      </c>
      <c r="I372" s="664">
        <v>930</v>
      </c>
      <c r="J372" s="666">
        <v>9000000</v>
      </c>
      <c r="K372" s="666">
        <v>348000</v>
      </c>
      <c r="L372" s="666">
        <v>0</v>
      </c>
      <c r="M372" s="664" t="s">
        <v>495</v>
      </c>
      <c r="N372" s="666">
        <v>9000000</v>
      </c>
      <c r="O372" s="666">
        <v>348000</v>
      </c>
      <c r="P372" s="666">
        <v>4185000</v>
      </c>
      <c r="Q372" s="664">
        <v>1</v>
      </c>
      <c r="R372" s="664" t="s">
        <v>496</v>
      </c>
      <c r="S372" s="664">
        <v>100</v>
      </c>
      <c r="T372" s="666">
        <v>9000000</v>
      </c>
      <c r="U372" s="666">
        <v>348000</v>
      </c>
      <c r="V372" s="664">
        <v>400</v>
      </c>
      <c r="W372" s="666">
        <v>6608740</v>
      </c>
      <c r="X372" s="664">
        <v>2</v>
      </c>
      <c r="Y372" s="664">
        <v>1160902010</v>
      </c>
      <c r="Z372" s="664">
        <v>2023</v>
      </c>
      <c r="AA372" s="664">
        <v>12</v>
      </c>
      <c r="AB372" s="664">
        <v>5026003002</v>
      </c>
      <c r="AC372" s="664">
        <v>1160903005</v>
      </c>
      <c r="AD372" s="664">
        <v>0</v>
      </c>
      <c r="AE372" s="664">
        <v>0</v>
      </c>
      <c r="AF372" s="664">
        <v>0</v>
      </c>
      <c r="AG372" s="664">
        <v>1160605001</v>
      </c>
      <c r="AH372" s="664">
        <v>930</v>
      </c>
      <c r="AI372" s="664" t="s">
        <v>499</v>
      </c>
      <c r="AJ372" s="667">
        <v>0.05</v>
      </c>
      <c r="AK372" s="668">
        <f t="shared" si="39"/>
        <v>450000</v>
      </c>
      <c r="AL372" s="668">
        <f t="shared" si="40"/>
        <v>450000</v>
      </c>
      <c r="AM372" s="668">
        <f t="shared" si="40"/>
        <v>450000</v>
      </c>
      <c r="AN372" s="668"/>
      <c r="AO372" s="668"/>
      <c r="AP372" s="668">
        <f t="shared" si="41"/>
        <v>8700</v>
      </c>
      <c r="AQ372" s="668">
        <f t="shared" si="42"/>
        <v>8700</v>
      </c>
      <c r="AR372" s="668">
        <f t="shared" si="42"/>
        <v>8700</v>
      </c>
      <c r="AS372" s="668"/>
      <c r="AT372" s="668"/>
      <c r="AV372" s="670">
        <f t="shared" si="43"/>
        <v>7650000</v>
      </c>
      <c r="AW372" s="670">
        <f t="shared" si="44"/>
        <v>321900</v>
      </c>
      <c r="AX372" s="671">
        <f t="shared" si="38"/>
        <v>0</v>
      </c>
    </row>
    <row r="373" spans="1:50">
      <c r="A373" s="664" t="s">
        <v>494</v>
      </c>
      <c r="B373" s="664"/>
      <c r="C373" s="664"/>
      <c r="D373" s="664">
        <v>1160504001</v>
      </c>
      <c r="E373" s="664">
        <v>0</v>
      </c>
      <c r="F373" s="664">
        <v>44388</v>
      </c>
      <c r="G373" s="665">
        <v>43219</v>
      </c>
      <c r="H373" s="665">
        <v>45045</v>
      </c>
      <c r="I373" s="664">
        <v>243</v>
      </c>
      <c r="J373" s="666">
        <v>999977</v>
      </c>
      <c r="K373" s="666">
        <v>86750</v>
      </c>
      <c r="L373" s="666">
        <v>0</v>
      </c>
      <c r="M373" s="664" t="s">
        <v>495</v>
      </c>
      <c r="N373" s="666">
        <v>999977</v>
      </c>
      <c r="O373" s="666">
        <v>86750</v>
      </c>
      <c r="P373" s="666">
        <v>121497</v>
      </c>
      <c r="Q373" s="664">
        <v>1</v>
      </c>
      <c r="R373" s="664" t="s">
        <v>501</v>
      </c>
      <c r="S373" s="664">
        <v>100</v>
      </c>
      <c r="T373" s="666">
        <v>999977</v>
      </c>
      <c r="U373" s="666">
        <v>86750</v>
      </c>
      <c r="V373" s="664">
        <v>100</v>
      </c>
      <c r="W373" s="666">
        <v>1224904</v>
      </c>
      <c r="X373" s="664">
        <v>14</v>
      </c>
      <c r="Y373" s="664">
        <v>1160902008</v>
      </c>
      <c r="Z373" s="664">
        <v>2023</v>
      </c>
      <c r="AA373" s="664">
        <v>12</v>
      </c>
      <c r="AB373" s="664">
        <v>5026003002</v>
      </c>
      <c r="AC373" s="664">
        <v>1160903004</v>
      </c>
      <c r="AD373" s="664">
        <v>0</v>
      </c>
      <c r="AE373" s="664">
        <v>0</v>
      </c>
      <c r="AF373" s="664">
        <v>0</v>
      </c>
      <c r="AG373" s="664">
        <v>1160604001</v>
      </c>
      <c r="AH373" s="664">
        <v>243</v>
      </c>
      <c r="AI373" s="664" t="s">
        <v>500</v>
      </c>
      <c r="AJ373" s="667">
        <v>0.3</v>
      </c>
      <c r="AK373" s="668">
        <f t="shared" si="39"/>
        <v>299993.09999999998</v>
      </c>
      <c r="AL373" s="668">
        <f t="shared" si="40"/>
        <v>299993.09999999998</v>
      </c>
      <c r="AM373" s="668">
        <f t="shared" si="40"/>
        <v>299993.09999999998</v>
      </c>
      <c r="AN373" s="668"/>
      <c r="AO373" s="668"/>
      <c r="AP373" s="668">
        <f t="shared" si="41"/>
        <v>13012.5</v>
      </c>
      <c r="AQ373" s="668">
        <f t="shared" si="42"/>
        <v>13012.5</v>
      </c>
      <c r="AR373" s="668">
        <f t="shared" si="42"/>
        <v>13012.5</v>
      </c>
      <c r="AS373" s="668"/>
      <c r="AT373" s="668"/>
      <c r="AV373" s="670">
        <f t="shared" si="43"/>
        <v>99997.70000000007</v>
      </c>
      <c r="AW373" s="670">
        <f t="shared" si="44"/>
        <v>47712.5</v>
      </c>
      <c r="AX373" s="671">
        <f t="shared" si="38"/>
        <v>0</v>
      </c>
    </row>
    <row r="374" spans="1:50">
      <c r="A374" s="664" t="s">
        <v>494</v>
      </c>
      <c r="B374" s="664"/>
      <c r="C374" s="664"/>
      <c r="D374" s="664">
        <v>1160505001</v>
      </c>
      <c r="E374" s="664">
        <v>0</v>
      </c>
      <c r="F374" s="664">
        <v>45354</v>
      </c>
      <c r="G374" s="665">
        <v>43374</v>
      </c>
      <c r="H374" s="665">
        <v>44105</v>
      </c>
      <c r="I374" s="664">
        <v>1171</v>
      </c>
      <c r="J374" s="666">
        <v>1666000</v>
      </c>
      <c r="K374" s="666">
        <v>141194</v>
      </c>
      <c r="L374" s="666">
        <v>0</v>
      </c>
      <c r="M374" s="664" t="s">
        <v>495</v>
      </c>
      <c r="N374" s="666">
        <v>1666000</v>
      </c>
      <c r="O374" s="666">
        <v>141194</v>
      </c>
      <c r="P374" s="666">
        <v>975443</v>
      </c>
      <c r="Q374" s="664">
        <v>1</v>
      </c>
      <c r="R374" s="664" t="s">
        <v>496</v>
      </c>
      <c r="S374" s="664">
        <v>100</v>
      </c>
      <c r="T374" s="666">
        <v>1666000</v>
      </c>
      <c r="U374" s="666">
        <v>141194</v>
      </c>
      <c r="V374" s="664">
        <v>400</v>
      </c>
      <c r="W374" s="666">
        <v>1914439</v>
      </c>
      <c r="X374" s="664">
        <v>2</v>
      </c>
      <c r="Y374" s="664">
        <v>1160902010</v>
      </c>
      <c r="Z374" s="664">
        <v>2023</v>
      </c>
      <c r="AA374" s="664">
        <v>12</v>
      </c>
      <c r="AB374" s="664">
        <v>5026003002</v>
      </c>
      <c r="AC374" s="664">
        <v>1160903005</v>
      </c>
      <c r="AD374" s="664">
        <v>0</v>
      </c>
      <c r="AE374" s="664">
        <v>0</v>
      </c>
      <c r="AF374" s="664">
        <v>0</v>
      </c>
      <c r="AG374" s="664">
        <v>1160605001</v>
      </c>
      <c r="AH374" s="664">
        <v>1171</v>
      </c>
      <c r="AI374" s="664" t="s">
        <v>497</v>
      </c>
      <c r="AJ374" s="667">
        <v>0.01</v>
      </c>
      <c r="AK374" s="668">
        <f t="shared" si="39"/>
        <v>16660</v>
      </c>
      <c r="AL374" s="668">
        <f t="shared" si="40"/>
        <v>16660</v>
      </c>
      <c r="AM374" s="668">
        <f t="shared" si="40"/>
        <v>16660</v>
      </c>
      <c r="AN374" s="668"/>
      <c r="AO374" s="668"/>
      <c r="AP374" s="668">
        <f t="shared" si="41"/>
        <v>705.97</v>
      </c>
      <c r="AQ374" s="668">
        <f t="shared" si="42"/>
        <v>705.97</v>
      </c>
      <c r="AR374" s="668">
        <f t="shared" si="42"/>
        <v>705.97</v>
      </c>
      <c r="AS374" s="668"/>
      <c r="AT374" s="668"/>
      <c r="AV374" s="670">
        <f t="shared" si="43"/>
        <v>1616020</v>
      </c>
      <c r="AW374" s="670">
        <f t="shared" si="44"/>
        <v>139076.09</v>
      </c>
      <c r="AX374" s="671">
        <f t="shared" si="38"/>
        <v>0</v>
      </c>
    </row>
    <row r="375" spans="1:50">
      <c r="A375" s="664" t="s">
        <v>494</v>
      </c>
      <c r="B375" s="664"/>
      <c r="C375" s="664"/>
      <c r="D375" s="664">
        <v>1160505001</v>
      </c>
      <c r="E375" s="664">
        <v>0</v>
      </c>
      <c r="F375" s="664">
        <v>46297</v>
      </c>
      <c r="G375" s="665">
        <v>43531</v>
      </c>
      <c r="H375" s="665">
        <v>43897</v>
      </c>
      <c r="I375" s="664">
        <v>1375</v>
      </c>
      <c r="J375" s="666">
        <v>3000000</v>
      </c>
      <c r="K375" s="666">
        <v>360000</v>
      </c>
      <c r="L375" s="666">
        <v>0</v>
      </c>
      <c r="M375" s="664" t="s">
        <v>495</v>
      </c>
      <c r="N375" s="666">
        <v>3000000</v>
      </c>
      <c r="O375" s="666">
        <v>360000</v>
      </c>
      <c r="P375" s="666">
        <v>2062500</v>
      </c>
      <c r="Q375" s="664">
        <v>1</v>
      </c>
      <c r="R375" s="664" t="s">
        <v>496</v>
      </c>
      <c r="S375" s="664">
        <v>100</v>
      </c>
      <c r="T375" s="666">
        <v>3000000</v>
      </c>
      <c r="U375" s="666">
        <v>360000</v>
      </c>
      <c r="V375" s="664">
        <v>400</v>
      </c>
      <c r="W375" s="666">
        <v>5576621</v>
      </c>
      <c r="X375" s="664">
        <v>2</v>
      </c>
      <c r="Y375" s="664">
        <v>1160902010</v>
      </c>
      <c r="Z375" s="664">
        <v>2023</v>
      </c>
      <c r="AA375" s="664">
        <v>12</v>
      </c>
      <c r="AB375" s="664">
        <v>5026003002</v>
      </c>
      <c r="AC375" s="664">
        <v>1160903005</v>
      </c>
      <c r="AD375" s="664">
        <v>0</v>
      </c>
      <c r="AE375" s="664">
        <v>0</v>
      </c>
      <c r="AF375" s="664">
        <v>0</v>
      </c>
      <c r="AG375" s="664">
        <v>1160605001</v>
      </c>
      <c r="AH375" s="664">
        <v>1375</v>
      </c>
      <c r="AI375" s="664" t="s">
        <v>497</v>
      </c>
      <c r="AJ375" s="667">
        <v>0.01</v>
      </c>
      <c r="AK375" s="668">
        <f t="shared" si="39"/>
        <v>30000</v>
      </c>
      <c r="AL375" s="668">
        <f t="shared" si="40"/>
        <v>30000</v>
      </c>
      <c r="AM375" s="668">
        <f t="shared" si="40"/>
        <v>30000</v>
      </c>
      <c r="AN375" s="668"/>
      <c r="AO375" s="668"/>
      <c r="AP375" s="668">
        <f t="shared" si="41"/>
        <v>1800</v>
      </c>
      <c r="AQ375" s="668">
        <f t="shared" si="42"/>
        <v>1800</v>
      </c>
      <c r="AR375" s="668">
        <f t="shared" si="42"/>
        <v>1800</v>
      </c>
      <c r="AS375" s="668"/>
      <c r="AT375" s="668"/>
      <c r="AV375" s="670">
        <f t="shared" si="43"/>
        <v>2910000</v>
      </c>
      <c r="AW375" s="670">
        <f t="shared" si="44"/>
        <v>354600</v>
      </c>
      <c r="AX375" s="671">
        <f t="shared" si="38"/>
        <v>0</v>
      </c>
    </row>
    <row r="376" spans="1:50">
      <c r="A376" s="664" t="s">
        <v>494</v>
      </c>
      <c r="B376" s="664"/>
      <c r="C376" s="664"/>
      <c r="D376" s="664">
        <v>1160505001</v>
      </c>
      <c r="E376" s="664">
        <v>0</v>
      </c>
      <c r="F376" s="664">
        <v>33017</v>
      </c>
      <c r="G376" s="665">
        <v>41512</v>
      </c>
      <c r="H376" s="665">
        <v>41877</v>
      </c>
      <c r="I376" s="664">
        <v>3366</v>
      </c>
      <c r="J376" s="666">
        <v>3541581</v>
      </c>
      <c r="K376" s="666">
        <v>0</v>
      </c>
      <c r="L376" s="666">
        <v>0</v>
      </c>
      <c r="M376" s="664" t="s">
        <v>495</v>
      </c>
      <c r="N376" s="666">
        <v>3541581</v>
      </c>
      <c r="O376" s="666">
        <v>0</v>
      </c>
      <c r="P376" s="666">
        <v>5960481</v>
      </c>
      <c r="Q376" s="664">
        <v>1</v>
      </c>
      <c r="R376" s="664" t="s">
        <v>496</v>
      </c>
      <c r="S376" s="664">
        <v>100</v>
      </c>
      <c r="T376" s="666">
        <v>3541581</v>
      </c>
      <c r="U376" s="666">
        <v>0</v>
      </c>
      <c r="V376" s="664">
        <v>200</v>
      </c>
      <c r="W376" s="666">
        <v>0</v>
      </c>
      <c r="X376" s="664">
        <v>2</v>
      </c>
      <c r="Y376" s="664">
        <v>1160902010</v>
      </c>
      <c r="Z376" s="664">
        <v>2023</v>
      </c>
      <c r="AA376" s="664">
        <v>12</v>
      </c>
      <c r="AB376" s="664">
        <v>5026003002</v>
      </c>
      <c r="AC376" s="664">
        <v>1160903005</v>
      </c>
      <c r="AD376" s="664">
        <v>0</v>
      </c>
      <c r="AE376" s="664">
        <v>0</v>
      </c>
      <c r="AF376" s="664">
        <v>0</v>
      </c>
      <c r="AG376" s="664">
        <v>1160605001</v>
      </c>
      <c r="AH376" s="664">
        <v>3396</v>
      </c>
      <c r="AI376" s="664" t="s">
        <v>497</v>
      </c>
      <c r="AJ376" s="667">
        <v>0.01</v>
      </c>
      <c r="AK376" s="668">
        <f t="shared" si="39"/>
        <v>35415.81</v>
      </c>
      <c r="AL376" s="668">
        <f t="shared" si="40"/>
        <v>35415.81</v>
      </c>
      <c r="AM376" s="668">
        <f t="shared" si="40"/>
        <v>35415.81</v>
      </c>
      <c r="AN376" s="668"/>
      <c r="AO376" s="668"/>
      <c r="AP376" s="668">
        <f t="shared" si="41"/>
        <v>0</v>
      </c>
      <c r="AQ376" s="668">
        <f t="shared" si="42"/>
        <v>0</v>
      </c>
      <c r="AR376" s="668">
        <f t="shared" si="42"/>
        <v>0</v>
      </c>
      <c r="AS376" s="668"/>
      <c r="AT376" s="668"/>
      <c r="AV376" s="670">
        <f t="shared" si="43"/>
        <v>3435333.57</v>
      </c>
      <c r="AW376" s="670">
        <f t="shared" si="44"/>
        <v>0</v>
      </c>
      <c r="AX376" s="671">
        <f t="shared" si="38"/>
        <v>0</v>
      </c>
    </row>
    <row r="377" spans="1:50">
      <c r="A377" s="664" t="s">
        <v>494</v>
      </c>
      <c r="B377" s="664"/>
      <c r="C377" s="664"/>
      <c r="D377" s="664">
        <v>1160505002</v>
      </c>
      <c r="E377" s="664">
        <v>0</v>
      </c>
      <c r="F377" s="664">
        <v>32815</v>
      </c>
      <c r="G377" s="665">
        <v>41481</v>
      </c>
      <c r="H377" s="665">
        <v>41846</v>
      </c>
      <c r="I377" s="664">
        <v>3396</v>
      </c>
      <c r="J377" s="666">
        <v>2657800</v>
      </c>
      <c r="K377" s="666">
        <v>0</v>
      </c>
      <c r="L377" s="666">
        <v>0</v>
      </c>
      <c r="M377" s="664" t="s">
        <v>495</v>
      </c>
      <c r="N377" s="666">
        <v>2657800</v>
      </c>
      <c r="O377" s="666">
        <v>0</v>
      </c>
      <c r="P377" s="666">
        <v>4512944</v>
      </c>
      <c r="Q377" s="664">
        <v>1</v>
      </c>
      <c r="R377" s="664" t="s">
        <v>496</v>
      </c>
      <c r="S377" s="664">
        <v>100</v>
      </c>
      <c r="T377" s="666">
        <v>2657800</v>
      </c>
      <c r="U377" s="666">
        <v>0</v>
      </c>
      <c r="V377" s="664">
        <v>200</v>
      </c>
      <c r="W377" s="666">
        <v>0</v>
      </c>
      <c r="X377" s="664">
        <v>6</v>
      </c>
      <c r="Y377" s="664">
        <v>1160902010</v>
      </c>
      <c r="Z377" s="664">
        <v>2023</v>
      </c>
      <c r="AA377" s="664">
        <v>12</v>
      </c>
      <c r="AB377" s="664">
        <v>5026003002</v>
      </c>
      <c r="AC377" s="664">
        <v>1160903005</v>
      </c>
      <c r="AD377" s="664">
        <v>0</v>
      </c>
      <c r="AE377" s="664">
        <v>0</v>
      </c>
      <c r="AF377" s="664">
        <v>0</v>
      </c>
      <c r="AG377" s="664">
        <v>1160605001</v>
      </c>
      <c r="AH377" s="664">
        <v>3396</v>
      </c>
      <c r="AI377" s="664" t="s">
        <v>497</v>
      </c>
      <c r="AJ377" s="667">
        <v>0.01</v>
      </c>
      <c r="AK377" s="668">
        <f t="shared" si="39"/>
        <v>26578</v>
      </c>
      <c r="AL377" s="668">
        <f t="shared" si="40"/>
        <v>26578</v>
      </c>
      <c r="AM377" s="668">
        <f t="shared" si="40"/>
        <v>26578</v>
      </c>
      <c r="AN377" s="668"/>
      <c r="AO377" s="668"/>
      <c r="AP377" s="668">
        <f t="shared" si="41"/>
        <v>0</v>
      </c>
      <c r="AQ377" s="668">
        <f t="shared" si="42"/>
        <v>0</v>
      </c>
      <c r="AR377" s="668">
        <f t="shared" si="42"/>
        <v>0</v>
      </c>
      <c r="AS377" s="668"/>
      <c r="AT377" s="668"/>
      <c r="AV377" s="670">
        <f t="shared" si="43"/>
        <v>2578066</v>
      </c>
      <c r="AW377" s="670">
        <f t="shared" si="44"/>
        <v>0</v>
      </c>
      <c r="AX377" s="671">
        <f t="shared" si="38"/>
        <v>0</v>
      </c>
    </row>
    <row r="378" spans="1:50">
      <c r="A378" s="664" t="s">
        <v>494</v>
      </c>
      <c r="B378" s="664"/>
      <c r="C378" s="664"/>
      <c r="D378" s="664">
        <v>1160505001</v>
      </c>
      <c r="E378" s="664">
        <v>0</v>
      </c>
      <c r="F378" s="664">
        <v>46337</v>
      </c>
      <c r="G378" s="665">
        <v>43534</v>
      </c>
      <c r="H378" s="665">
        <v>44265</v>
      </c>
      <c r="I378" s="664">
        <v>1012</v>
      </c>
      <c r="J378" s="666">
        <v>1186622</v>
      </c>
      <c r="K378" s="666">
        <v>146554</v>
      </c>
      <c r="L378" s="666">
        <v>0</v>
      </c>
      <c r="M378" s="664" t="s">
        <v>495</v>
      </c>
      <c r="N378" s="666">
        <v>1186622</v>
      </c>
      <c r="O378" s="666">
        <v>146554</v>
      </c>
      <c r="P378" s="666">
        <v>600431</v>
      </c>
      <c r="Q378" s="664">
        <v>1</v>
      </c>
      <c r="R378" s="664" t="s">
        <v>496</v>
      </c>
      <c r="S378" s="664">
        <v>100</v>
      </c>
      <c r="T378" s="666">
        <v>1186622</v>
      </c>
      <c r="U378" s="666">
        <v>146554</v>
      </c>
      <c r="V378" s="664">
        <v>100</v>
      </c>
      <c r="W378" s="666">
        <v>4863337</v>
      </c>
      <c r="X378" s="664">
        <v>14</v>
      </c>
      <c r="Y378" s="664">
        <v>1160902010</v>
      </c>
      <c r="Z378" s="664">
        <v>2023</v>
      </c>
      <c r="AA378" s="664">
        <v>12</v>
      </c>
      <c r="AB378" s="664">
        <v>5026003002</v>
      </c>
      <c r="AC378" s="664">
        <v>1160903005</v>
      </c>
      <c r="AD378" s="664">
        <v>0</v>
      </c>
      <c r="AE378" s="664">
        <v>0</v>
      </c>
      <c r="AF378" s="664">
        <v>0</v>
      </c>
      <c r="AG378" s="664">
        <v>1160605001</v>
      </c>
      <c r="AH378" s="664">
        <v>1012</v>
      </c>
      <c r="AI378" s="664" t="s">
        <v>499</v>
      </c>
      <c r="AJ378" s="667">
        <v>0.05</v>
      </c>
      <c r="AK378" s="668">
        <f t="shared" si="39"/>
        <v>59331.100000000006</v>
      </c>
      <c r="AL378" s="668">
        <f t="shared" si="40"/>
        <v>59331.100000000006</v>
      </c>
      <c r="AM378" s="668">
        <f t="shared" si="40"/>
        <v>59331.100000000006</v>
      </c>
      <c r="AN378" s="668"/>
      <c r="AO378" s="668"/>
      <c r="AP378" s="668">
        <f t="shared" si="41"/>
        <v>3663.8500000000004</v>
      </c>
      <c r="AQ378" s="668">
        <f t="shared" si="42"/>
        <v>3663.8500000000004</v>
      </c>
      <c r="AR378" s="668">
        <f t="shared" si="42"/>
        <v>3663.8500000000004</v>
      </c>
      <c r="AS378" s="668"/>
      <c r="AT378" s="668"/>
      <c r="AV378" s="670">
        <f t="shared" si="43"/>
        <v>1008628.6999999998</v>
      </c>
      <c r="AW378" s="670">
        <f t="shared" si="44"/>
        <v>135562.44999999998</v>
      </c>
      <c r="AX378" s="671">
        <f t="shared" si="38"/>
        <v>0</v>
      </c>
    </row>
    <row r="379" spans="1:50">
      <c r="A379" s="664" t="s">
        <v>494</v>
      </c>
      <c r="B379" s="664"/>
      <c r="C379" s="664"/>
      <c r="D379" s="664">
        <v>1160505001</v>
      </c>
      <c r="E379" s="664">
        <v>0</v>
      </c>
      <c r="F379" s="664">
        <v>44318</v>
      </c>
      <c r="G379" s="665">
        <v>43211</v>
      </c>
      <c r="H379" s="665">
        <v>43576</v>
      </c>
      <c r="I379" s="664">
        <v>1691</v>
      </c>
      <c r="J379" s="666">
        <v>8900000</v>
      </c>
      <c r="K379" s="666">
        <v>280975</v>
      </c>
      <c r="L379" s="666">
        <v>0</v>
      </c>
      <c r="M379" s="664" t="s">
        <v>495</v>
      </c>
      <c r="N379" s="666">
        <v>8900000</v>
      </c>
      <c r="O379" s="666">
        <v>280975</v>
      </c>
      <c r="P379" s="666">
        <v>7524950</v>
      </c>
      <c r="Q379" s="664">
        <v>1</v>
      </c>
      <c r="R379" s="664" t="s">
        <v>496</v>
      </c>
      <c r="S379" s="664">
        <v>100</v>
      </c>
      <c r="T379" s="666">
        <v>8900000</v>
      </c>
      <c r="U379" s="666">
        <v>280975</v>
      </c>
      <c r="V379" s="664">
        <v>300</v>
      </c>
      <c r="W379" s="666">
        <v>11497185</v>
      </c>
      <c r="X379" s="664">
        <v>2</v>
      </c>
      <c r="Y379" s="664">
        <v>1160902010</v>
      </c>
      <c r="Z379" s="664">
        <v>2023</v>
      </c>
      <c r="AA379" s="664">
        <v>12</v>
      </c>
      <c r="AB379" s="664">
        <v>5026003002</v>
      </c>
      <c r="AC379" s="664">
        <v>1160903005</v>
      </c>
      <c r="AD379" s="664">
        <v>0</v>
      </c>
      <c r="AE379" s="664">
        <v>0</v>
      </c>
      <c r="AF379" s="664">
        <v>0</v>
      </c>
      <c r="AG379" s="664">
        <v>1160605001</v>
      </c>
      <c r="AH379" s="664">
        <v>1691</v>
      </c>
      <c r="AI379" s="664" t="s">
        <v>497</v>
      </c>
      <c r="AJ379" s="667">
        <v>0.01</v>
      </c>
      <c r="AK379" s="668">
        <f t="shared" si="39"/>
        <v>89000</v>
      </c>
      <c r="AL379" s="668">
        <f t="shared" si="40"/>
        <v>89000</v>
      </c>
      <c r="AM379" s="668">
        <f t="shared" si="40"/>
        <v>89000</v>
      </c>
      <c r="AN379" s="668"/>
      <c r="AO379" s="668"/>
      <c r="AP379" s="668">
        <f t="shared" si="41"/>
        <v>1404.875</v>
      </c>
      <c r="AQ379" s="668">
        <f t="shared" si="42"/>
        <v>1404.875</v>
      </c>
      <c r="AR379" s="668">
        <f t="shared" si="42"/>
        <v>1404.875</v>
      </c>
      <c r="AS379" s="668"/>
      <c r="AT379" s="668"/>
      <c r="AV379" s="670">
        <f t="shared" si="43"/>
        <v>8633000</v>
      </c>
      <c r="AW379" s="670">
        <f t="shared" si="44"/>
        <v>276760.375</v>
      </c>
      <c r="AX379" s="671">
        <f t="shared" si="38"/>
        <v>0</v>
      </c>
    </row>
    <row r="380" spans="1:50">
      <c r="A380" s="664" t="s">
        <v>494</v>
      </c>
      <c r="B380" s="664"/>
      <c r="C380" s="664"/>
      <c r="D380" s="664">
        <v>1160504001</v>
      </c>
      <c r="E380" s="664">
        <v>0</v>
      </c>
      <c r="F380" s="664">
        <v>44733</v>
      </c>
      <c r="G380" s="665">
        <v>43266</v>
      </c>
      <c r="H380" s="665">
        <v>45092</v>
      </c>
      <c r="I380" s="664">
        <v>197</v>
      </c>
      <c r="J380" s="666">
        <v>5929211</v>
      </c>
      <c r="K380" s="666">
        <v>0</v>
      </c>
      <c r="L380" s="666">
        <v>0</v>
      </c>
      <c r="M380" s="664" t="s">
        <v>495</v>
      </c>
      <c r="N380" s="666">
        <v>5929211</v>
      </c>
      <c r="O380" s="666">
        <v>0</v>
      </c>
      <c r="P380" s="666">
        <v>584027</v>
      </c>
      <c r="Q380" s="664">
        <v>1</v>
      </c>
      <c r="R380" s="664" t="s">
        <v>501</v>
      </c>
      <c r="S380" s="664">
        <v>100</v>
      </c>
      <c r="T380" s="666">
        <v>5929211</v>
      </c>
      <c r="U380" s="666">
        <v>0</v>
      </c>
      <c r="V380" s="664">
        <v>100</v>
      </c>
      <c r="W380" s="666">
        <v>5439266</v>
      </c>
      <c r="X380" s="664">
        <v>2</v>
      </c>
      <c r="Y380" s="664">
        <v>1160902008</v>
      </c>
      <c r="Z380" s="664">
        <v>2023</v>
      </c>
      <c r="AA380" s="664">
        <v>12</v>
      </c>
      <c r="AB380" s="664">
        <v>5026003002</v>
      </c>
      <c r="AC380" s="664">
        <v>1160903004</v>
      </c>
      <c r="AD380" s="664">
        <v>0</v>
      </c>
      <c r="AE380" s="664">
        <v>0</v>
      </c>
      <c r="AF380" s="664">
        <v>0</v>
      </c>
      <c r="AG380" s="664">
        <v>1160604001</v>
      </c>
      <c r="AH380" s="664">
        <v>197</v>
      </c>
      <c r="AI380" s="664" t="s">
        <v>500</v>
      </c>
      <c r="AJ380" s="667">
        <v>0.3</v>
      </c>
      <c r="AK380" s="668">
        <f t="shared" si="39"/>
        <v>1778763.3</v>
      </c>
      <c r="AL380" s="668">
        <f t="shared" si="40"/>
        <v>1778763.3</v>
      </c>
      <c r="AM380" s="668">
        <f t="shared" si="40"/>
        <v>1778763.3</v>
      </c>
      <c r="AN380" s="668"/>
      <c r="AO380" s="668"/>
      <c r="AP380" s="668">
        <f t="shared" si="41"/>
        <v>0</v>
      </c>
      <c r="AQ380" s="668">
        <f t="shared" si="42"/>
        <v>0</v>
      </c>
      <c r="AR380" s="668">
        <f t="shared" si="42"/>
        <v>0</v>
      </c>
      <c r="AS380" s="668"/>
      <c r="AT380" s="668"/>
      <c r="AV380" s="670">
        <f t="shared" si="43"/>
        <v>592921.10000000033</v>
      </c>
      <c r="AW380" s="670">
        <f t="shared" si="44"/>
        <v>0</v>
      </c>
      <c r="AX380" s="671">
        <f t="shared" si="38"/>
        <v>0</v>
      </c>
    </row>
    <row r="381" spans="1:50">
      <c r="A381" s="664" t="s">
        <v>494</v>
      </c>
      <c r="B381" s="664"/>
      <c r="C381" s="664"/>
      <c r="D381" s="664">
        <v>1160405001</v>
      </c>
      <c r="E381" s="664">
        <v>0</v>
      </c>
      <c r="F381" s="664">
        <v>46131</v>
      </c>
      <c r="G381" s="665">
        <v>43507</v>
      </c>
      <c r="H381" s="665">
        <v>43872</v>
      </c>
      <c r="I381" s="664">
        <v>1401</v>
      </c>
      <c r="J381" s="666">
        <v>50000000</v>
      </c>
      <c r="K381" s="666">
        <v>0</v>
      </c>
      <c r="L381" s="666">
        <v>0</v>
      </c>
      <c r="M381" s="664" t="s">
        <v>495</v>
      </c>
      <c r="N381" s="666">
        <v>50000000</v>
      </c>
      <c r="O381" s="666">
        <v>0</v>
      </c>
      <c r="P381" s="666">
        <v>35025000</v>
      </c>
      <c r="Q381" s="664">
        <v>2</v>
      </c>
      <c r="R381" s="664" t="s">
        <v>496</v>
      </c>
      <c r="S381" s="664">
        <v>100</v>
      </c>
      <c r="T381" s="666">
        <v>50000000</v>
      </c>
      <c r="U381" s="666">
        <v>0</v>
      </c>
      <c r="V381" s="664">
        <v>100</v>
      </c>
      <c r="W381" s="666">
        <v>28110493</v>
      </c>
      <c r="X381" s="664">
        <v>2</v>
      </c>
      <c r="Y381" s="664">
        <v>1160902009</v>
      </c>
      <c r="Z381" s="664">
        <v>2023</v>
      </c>
      <c r="AA381" s="664">
        <v>12</v>
      </c>
      <c r="AB381" s="664">
        <v>5026003002</v>
      </c>
      <c r="AC381" s="664">
        <v>1160903005</v>
      </c>
      <c r="AD381" s="664">
        <v>0</v>
      </c>
      <c r="AE381" s="664">
        <v>0</v>
      </c>
      <c r="AF381" s="664">
        <v>1</v>
      </c>
      <c r="AG381" s="664">
        <v>1160605001</v>
      </c>
      <c r="AH381" s="664">
        <v>1401</v>
      </c>
      <c r="AI381" s="664" t="s">
        <v>497</v>
      </c>
      <c r="AJ381" s="667">
        <v>0.01</v>
      </c>
      <c r="AK381" s="668">
        <f t="shared" si="39"/>
        <v>500000</v>
      </c>
      <c r="AL381" s="668">
        <f t="shared" si="40"/>
        <v>500000</v>
      </c>
      <c r="AM381" s="668">
        <f t="shared" si="40"/>
        <v>500000</v>
      </c>
      <c r="AN381" s="668"/>
      <c r="AO381" s="668"/>
      <c r="AP381" s="668">
        <f t="shared" si="41"/>
        <v>0</v>
      </c>
      <c r="AQ381" s="668">
        <f t="shared" si="42"/>
        <v>0</v>
      </c>
      <c r="AR381" s="668">
        <f t="shared" si="42"/>
        <v>0</v>
      </c>
      <c r="AS381" s="668"/>
      <c r="AT381" s="668"/>
      <c r="AV381" s="670">
        <f t="shared" si="43"/>
        <v>48500000</v>
      </c>
      <c r="AW381" s="670">
        <f t="shared" si="44"/>
        <v>0</v>
      </c>
      <c r="AX381" s="671">
        <f t="shared" si="38"/>
        <v>0</v>
      </c>
    </row>
    <row r="382" spans="1:50">
      <c r="A382" s="664" t="s">
        <v>494</v>
      </c>
      <c r="B382" s="664"/>
      <c r="C382" s="664"/>
      <c r="D382" s="664">
        <v>1160505001</v>
      </c>
      <c r="E382" s="664">
        <v>0</v>
      </c>
      <c r="F382" s="664">
        <v>33178</v>
      </c>
      <c r="G382" s="665">
        <v>41558</v>
      </c>
      <c r="H382" s="665">
        <v>41923</v>
      </c>
      <c r="I382" s="664">
        <v>3321</v>
      </c>
      <c r="J382" s="666">
        <v>660000</v>
      </c>
      <c r="K382" s="666">
        <v>0</v>
      </c>
      <c r="L382" s="666">
        <v>0</v>
      </c>
      <c r="M382" s="664" t="s">
        <v>495</v>
      </c>
      <c r="N382" s="666">
        <v>660000</v>
      </c>
      <c r="O382" s="666">
        <v>0</v>
      </c>
      <c r="P382" s="666">
        <v>1095930</v>
      </c>
      <c r="Q382" s="664">
        <v>1</v>
      </c>
      <c r="R382" s="664" t="s">
        <v>496</v>
      </c>
      <c r="S382" s="664">
        <v>100</v>
      </c>
      <c r="T382" s="666">
        <v>660000</v>
      </c>
      <c r="U382" s="666">
        <v>0</v>
      </c>
      <c r="V382" s="664">
        <v>100</v>
      </c>
      <c r="W382" s="666">
        <v>926220</v>
      </c>
      <c r="X382" s="664">
        <v>2</v>
      </c>
      <c r="Y382" s="664">
        <v>1160902010</v>
      </c>
      <c r="Z382" s="664">
        <v>2023</v>
      </c>
      <c r="AA382" s="664">
        <v>12</v>
      </c>
      <c r="AB382" s="664">
        <v>5026003002</v>
      </c>
      <c r="AC382" s="664">
        <v>1160903005</v>
      </c>
      <c r="AD382" s="664">
        <v>0</v>
      </c>
      <c r="AE382" s="664">
        <v>0</v>
      </c>
      <c r="AF382" s="664">
        <v>0</v>
      </c>
      <c r="AG382" s="664">
        <v>1160605001</v>
      </c>
      <c r="AH382" s="664">
        <v>3321</v>
      </c>
      <c r="AI382" s="664" t="s">
        <v>497</v>
      </c>
      <c r="AJ382" s="667">
        <v>0.01</v>
      </c>
      <c r="AK382" s="668">
        <f t="shared" si="39"/>
        <v>6600</v>
      </c>
      <c r="AL382" s="668">
        <f t="shared" si="40"/>
        <v>6600</v>
      </c>
      <c r="AM382" s="668">
        <f t="shared" si="40"/>
        <v>6600</v>
      </c>
      <c r="AN382" s="668"/>
      <c r="AO382" s="668"/>
      <c r="AP382" s="668">
        <f t="shared" si="41"/>
        <v>0</v>
      </c>
      <c r="AQ382" s="668">
        <f t="shared" si="42"/>
        <v>0</v>
      </c>
      <c r="AR382" s="668">
        <f t="shared" si="42"/>
        <v>0</v>
      </c>
      <c r="AS382" s="668"/>
      <c r="AT382" s="668"/>
      <c r="AV382" s="670">
        <f t="shared" si="43"/>
        <v>640200</v>
      </c>
      <c r="AW382" s="670">
        <f t="shared" si="44"/>
        <v>0</v>
      </c>
      <c r="AX382" s="671">
        <f t="shared" si="38"/>
        <v>0</v>
      </c>
    </row>
    <row r="383" spans="1:50">
      <c r="A383" s="664" t="s">
        <v>494</v>
      </c>
      <c r="B383" s="664"/>
      <c r="C383" s="664"/>
      <c r="D383" s="664">
        <v>1160505002</v>
      </c>
      <c r="E383" s="664">
        <v>0</v>
      </c>
      <c r="F383" s="664">
        <v>33177</v>
      </c>
      <c r="G383" s="665">
        <v>41558</v>
      </c>
      <c r="H383" s="665">
        <v>41923</v>
      </c>
      <c r="I383" s="664">
        <v>3321</v>
      </c>
      <c r="J383" s="666">
        <v>402000</v>
      </c>
      <c r="K383" s="666">
        <v>44220</v>
      </c>
      <c r="L383" s="666">
        <v>0</v>
      </c>
      <c r="M383" s="664" t="s">
        <v>495</v>
      </c>
      <c r="N383" s="666">
        <v>402000</v>
      </c>
      <c r="O383" s="666">
        <v>44220</v>
      </c>
      <c r="P383" s="666">
        <v>667521</v>
      </c>
      <c r="Q383" s="664">
        <v>1</v>
      </c>
      <c r="R383" s="664" t="s">
        <v>496</v>
      </c>
      <c r="S383" s="664">
        <v>100</v>
      </c>
      <c r="T383" s="666">
        <v>402000</v>
      </c>
      <c r="U383" s="666">
        <v>44220</v>
      </c>
      <c r="V383" s="664">
        <v>100</v>
      </c>
      <c r="W383" s="666">
        <v>926220</v>
      </c>
      <c r="X383" s="664">
        <v>6</v>
      </c>
      <c r="Y383" s="664">
        <v>1160902010</v>
      </c>
      <c r="Z383" s="664">
        <v>2023</v>
      </c>
      <c r="AA383" s="664">
        <v>12</v>
      </c>
      <c r="AB383" s="664">
        <v>5026003002</v>
      </c>
      <c r="AC383" s="664">
        <v>1160903005</v>
      </c>
      <c r="AD383" s="664">
        <v>0</v>
      </c>
      <c r="AE383" s="664">
        <v>0</v>
      </c>
      <c r="AF383" s="664">
        <v>0</v>
      </c>
      <c r="AG383" s="664">
        <v>1160605001</v>
      </c>
      <c r="AH383" s="664">
        <v>3321</v>
      </c>
      <c r="AI383" s="664" t="s">
        <v>497</v>
      </c>
      <c r="AJ383" s="667">
        <v>0.01</v>
      </c>
      <c r="AK383" s="668">
        <f t="shared" si="39"/>
        <v>4020</v>
      </c>
      <c r="AL383" s="668">
        <f t="shared" si="40"/>
        <v>4020</v>
      </c>
      <c r="AM383" s="668">
        <f t="shared" si="40"/>
        <v>4020</v>
      </c>
      <c r="AN383" s="668"/>
      <c r="AO383" s="668"/>
      <c r="AP383" s="668">
        <f t="shared" si="41"/>
        <v>221.1</v>
      </c>
      <c r="AQ383" s="668">
        <f t="shared" si="42"/>
        <v>221.1</v>
      </c>
      <c r="AR383" s="668">
        <f t="shared" si="42"/>
        <v>221.1</v>
      </c>
      <c r="AS383" s="668"/>
      <c r="AT383" s="668"/>
      <c r="AV383" s="670">
        <f t="shared" si="43"/>
        <v>389940</v>
      </c>
      <c r="AW383" s="670">
        <f t="shared" si="44"/>
        <v>43556.700000000004</v>
      </c>
      <c r="AX383" s="671">
        <f t="shared" si="38"/>
        <v>0</v>
      </c>
    </row>
    <row r="384" spans="1:50">
      <c r="A384" s="664" t="s">
        <v>494</v>
      </c>
      <c r="B384" s="664"/>
      <c r="C384" s="664"/>
      <c r="D384" s="664">
        <v>1160505001</v>
      </c>
      <c r="E384" s="664">
        <v>0</v>
      </c>
      <c r="F384" s="664">
        <v>44320</v>
      </c>
      <c r="G384" s="665">
        <v>43212</v>
      </c>
      <c r="H384" s="665">
        <v>44308</v>
      </c>
      <c r="I384" s="664">
        <v>970</v>
      </c>
      <c r="J384" s="666">
        <v>8000000</v>
      </c>
      <c r="K384" s="666">
        <v>2160000</v>
      </c>
      <c r="L384" s="666">
        <v>0</v>
      </c>
      <c r="M384" s="664" t="s">
        <v>495</v>
      </c>
      <c r="N384" s="666">
        <v>8000000</v>
      </c>
      <c r="O384" s="666">
        <v>2160000</v>
      </c>
      <c r="P384" s="666">
        <v>3880000</v>
      </c>
      <c r="Q384" s="664">
        <v>1</v>
      </c>
      <c r="R384" s="664" t="s">
        <v>496</v>
      </c>
      <c r="S384" s="664">
        <v>100</v>
      </c>
      <c r="T384" s="666">
        <v>8000000</v>
      </c>
      <c r="U384" s="666">
        <v>2160000</v>
      </c>
      <c r="V384" s="664">
        <v>100</v>
      </c>
      <c r="W384" s="666">
        <v>2140874</v>
      </c>
      <c r="X384" s="664">
        <v>14</v>
      </c>
      <c r="Y384" s="664">
        <v>1160902010</v>
      </c>
      <c r="Z384" s="664">
        <v>2023</v>
      </c>
      <c r="AA384" s="664">
        <v>12</v>
      </c>
      <c r="AB384" s="664">
        <v>5026003002</v>
      </c>
      <c r="AC384" s="664">
        <v>1160903005</v>
      </c>
      <c r="AD384" s="664">
        <v>0</v>
      </c>
      <c r="AE384" s="664">
        <v>0</v>
      </c>
      <c r="AF384" s="664">
        <v>0</v>
      </c>
      <c r="AG384" s="664">
        <v>1160605001</v>
      </c>
      <c r="AH384" s="664">
        <v>970</v>
      </c>
      <c r="AI384" s="664" t="s">
        <v>499</v>
      </c>
      <c r="AJ384" s="667">
        <v>0.05</v>
      </c>
      <c r="AK384" s="668">
        <f t="shared" si="39"/>
        <v>400000</v>
      </c>
      <c r="AL384" s="668">
        <f t="shared" si="40"/>
        <v>400000</v>
      </c>
      <c r="AM384" s="668">
        <f t="shared" si="40"/>
        <v>400000</v>
      </c>
      <c r="AN384" s="668"/>
      <c r="AO384" s="668"/>
      <c r="AP384" s="668">
        <f t="shared" si="41"/>
        <v>54000</v>
      </c>
      <c r="AQ384" s="668">
        <f t="shared" si="42"/>
        <v>54000</v>
      </c>
      <c r="AR384" s="668">
        <f t="shared" si="42"/>
        <v>54000</v>
      </c>
      <c r="AS384" s="668"/>
      <c r="AT384" s="668"/>
      <c r="AV384" s="670">
        <f t="shared" si="43"/>
        <v>6800000</v>
      </c>
      <c r="AW384" s="670">
        <f t="shared" si="44"/>
        <v>1998000</v>
      </c>
      <c r="AX384" s="671">
        <f t="shared" si="38"/>
        <v>0</v>
      </c>
    </row>
    <row r="385" spans="1:50">
      <c r="A385" s="664" t="s">
        <v>494</v>
      </c>
      <c r="B385" s="664"/>
      <c r="C385" s="664"/>
      <c r="D385" s="664">
        <v>1160505001</v>
      </c>
      <c r="E385" s="664">
        <v>0</v>
      </c>
      <c r="F385" s="664">
        <v>45173</v>
      </c>
      <c r="G385" s="665">
        <v>43324</v>
      </c>
      <c r="H385" s="665">
        <v>43689</v>
      </c>
      <c r="I385" s="664">
        <v>1580</v>
      </c>
      <c r="J385" s="666">
        <v>18575000</v>
      </c>
      <c r="K385" s="666">
        <v>0</v>
      </c>
      <c r="L385" s="666">
        <v>0</v>
      </c>
      <c r="M385" s="664" t="s">
        <v>495</v>
      </c>
      <c r="N385" s="666">
        <v>18575000</v>
      </c>
      <c r="O385" s="666">
        <v>0</v>
      </c>
      <c r="P385" s="666">
        <v>14674250</v>
      </c>
      <c r="Q385" s="664">
        <v>1</v>
      </c>
      <c r="R385" s="664" t="s">
        <v>496</v>
      </c>
      <c r="S385" s="664">
        <v>100</v>
      </c>
      <c r="T385" s="666">
        <v>18575000</v>
      </c>
      <c r="U385" s="666">
        <v>0</v>
      </c>
      <c r="V385" s="664">
        <v>100</v>
      </c>
      <c r="W385" s="666">
        <v>32961334</v>
      </c>
      <c r="X385" s="664">
        <v>2</v>
      </c>
      <c r="Y385" s="664">
        <v>1160902010</v>
      </c>
      <c r="Z385" s="664">
        <v>2023</v>
      </c>
      <c r="AA385" s="664">
        <v>12</v>
      </c>
      <c r="AB385" s="664">
        <v>5026003002</v>
      </c>
      <c r="AC385" s="664">
        <v>1160903005</v>
      </c>
      <c r="AD385" s="664">
        <v>0</v>
      </c>
      <c r="AE385" s="664">
        <v>0</v>
      </c>
      <c r="AF385" s="664">
        <v>0</v>
      </c>
      <c r="AG385" s="664">
        <v>1160605001</v>
      </c>
      <c r="AH385" s="664">
        <v>1580</v>
      </c>
      <c r="AI385" s="664" t="s">
        <v>497</v>
      </c>
      <c r="AJ385" s="667">
        <v>0.01</v>
      </c>
      <c r="AK385" s="668">
        <f t="shared" si="39"/>
        <v>185750</v>
      </c>
      <c r="AL385" s="668">
        <f t="shared" si="40"/>
        <v>185750</v>
      </c>
      <c r="AM385" s="668">
        <f t="shared" si="40"/>
        <v>185750</v>
      </c>
      <c r="AN385" s="668"/>
      <c r="AO385" s="668"/>
      <c r="AP385" s="668">
        <f t="shared" si="41"/>
        <v>0</v>
      </c>
      <c r="AQ385" s="668">
        <f t="shared" si="42"/>
        <v>0</v>
      </c>
      <c r="AR385" s="668">
        <f t="shared" si="42"/>
        <v>0</v>
      </c>
      <c r="AS385" s="668"/>
      <c r="AT385" s="668"/>
      <c r="AV385" s="670">
        <f t="shared" si="43"/>
        <v>18017750</v>
      </c>
      <c r="AW385" s="670">
        <f t="shared" si="44"/>
        <v>0</v>
      </c>
      <c r="AX385" s="671">
        <f t="shared" si="38"/>
        <v>0</v>
      </c>
    </row>
    <row r="386" spans="1:50">
      <c r="A386" s="664" t="s">
        <v>494</v>
      </c>
      <c r="B386" s="664"/>
      <c r="C386" s="664"/>
      <c r="D386" s="664">
        <v>1160505001</v>
      </c>
      <c r="E386" s="664">
        <v>0</v>
      </c>
      <c r="F386" s="664">
        <v>42693</v>
      </c>
      <c r="G386" s="665">
        <v>42940</v>
      </c>
      <c r="H386" s="665">
        <v>43305</v>
      </c>
      <c r="I386" s="664">
        <v>1958</v>
      </c>
      <c r="J386" s="666">
        <v>9000000</v>
      </c>
      <c r="K386" s="666">
        <v>0</v>
      </c>
      <c r="L386" s="666">
        <v>0</v>
      </c>
      <c r="M386" s="664" t="s">
        <v>495</v>
      </c>
      <c r="N386" s="666">
        <v>9000000</v>
      </c>
      <c r="O386" s="666">
        <v>0</v>
      </c>
      <c r="P386" s="666">
        <v>8811000</v>
      </c>
      <c r="Q386" s="664">
        <v>1</v>
      </c>
      <c r="R386" s="664" t="s">
        <v>496</v>
      </c>
      <c r="S386" s="664">
        <v>100</v>
      </c>
      <c r="T386" s="666">
        <v>9000000</v>
      </c>
      <c r="U386" s="666">
        <v>0</v>
      </c>
      <c r="V386" s="664">
        <v>200</v>
      </c>
      <c r="W386" s="666">
        <v>11680763</v>
      </c>
      <c r="X386" s="664">
        <v>2</v>
      </c>
      <c r="Y386" s="664">
        <v>1160902010</v>
      </c>
      <c r="Z386" s="664">
        <v>2023</v>
      </c>
      <c r="AA386" s="664">
        <v>12</v>
      </c>
      <c r="AB386" s="664">
        <v>5026003002</v>
      </c>
      <c r="AC386" s="664">
        <v>1160903005</v>
      </c>
      <c r="AD386" s="664">
        <v>0</v>
      </c>
      <c r="AE386" s="664">
        <v>0</v>
      </c>
      <c r="AF386" s="664">
        <v>0</v>
      </c>
      <c r="AG386" s="664">
        <v>1160605001</v>
      </c>
      <c r="AH386" s="664">
        <v>1958</v>
      </c>
      <c r="AI386" s="664" t="s">
        <v>497</v>
      </c>
      <c r="AJ386" s="667">
        <v>0.01</v>
      </c>
      <c r="AK386" s="668">
        <f t="shared" si="39"/>
        <v>90000</v>
      </c>
      <c r="AL386" s="668">
        <f t="shared" si="40"/>
        <v>90000</v>
      </c>
      <c r="AM386" s="668">
        <f t="shared" si="40"/>
        <v>90000</v>
      </c>
      <c r="AN386" s="668"/>
      <c r="AO386" s="668"/>
      <c r="AP386" s="668">
        <f t="shared" si="41"/>
        <v>0</v>
      </c>
      <c r="AQ386" s="668">
        <f t="shared" si="42"/>
        <v>0</v>
      </c>
      <c r="AR386" s="668">
        <f t="shared" si="42"/>
        <v>0</v>
      </c>
      <c r="AS386" s="668"/>
      <c r="AT386" s="668"/>
      <c r="AV386" s="670">
        <f t="shared" si="43"/>
        <v>8730000</v>
      </c>
      <c r="AW386" s="670">
        <f t="shared" si="44"/>
        <v>0</v>
      </c>
      <c r="AX386" s="671">
        <f t="shared" si="38"/>
        <v>0</v>
      </c>
    </row>
    <row r="387" spans="1:50">
      <c r="A387" s="664" t="s">
        <v>494</v>
      </c>
      <c r="B387" s="664"/>
      <c r="C387" s="664"/>
      <c r="D387" s="664">
        <v>1160505001</v>
      </c>
      <c r="E387" s="664">
        <v>0</v>
      </c>
      <c r="F387" s="664">
        <v>43409</v>
      </c>
      <c r="G387" s="665">
        <v>43106</v>
      </c>
      <c r="H387" s="665">
        <v>43836</v>
      </c>
      <c r="I387" s="664">
        <v>1436</v>
      </c>
      <c r="J387" s="666">
        <v>24000000</v>
      </c>
      <c r="K387" s="666">
        <v>2076000</v>
      </c>
      <c r="L387" s="666">
        <v>0</v>
      </c>
      <c r="M387" s="664" t="s">
        <v>495</v>
      </c>
      <c r="N387" s="666">
        <v>24000000</v>
      </c>
      <c r="O387" s="666">
        <v>2076000</v>
      </c>
      <c r="P387" s="666">
        <v>17232000</v>
      </c>
      <c r="Q387" s="664">
        <v>1</v>
      </c>
      <c r="R387" s="664" t="s">
        <v>496</v>
      </c>
      <c r="S387" s="664">
        <v>100</v>
      </c>
      <c r="T387" s="666">
        <v>24000000</v>
      </c>
      <c r="U387" s="666">
        <v>2076000</v>
      </c>
      <c r="V387" s="664">
        <v>200</v>
      </c>
      <c r="W387" s="666">
        <v>10397102</v>
      </c>
      <c r="X387" s="664">
        <v>2</v>
      </c>
      <c r="Y387" s="664">
        <v>1160902010</v>
      </c>
      <c r="Z387" s="664">
        <v>2023</v>
      </c>
      <c r="AA387" s="664">
        <v>12</v>
      </c>
      <c r="AB387" s="664">
        <v>5026003002</v>
      </c>
      <c r="AC387" s="664">
        <v>1160903005</v>
      </c>
      <c r="AD387" s="664">
        <v>0</v>
      </c>
      <c r="AE387" s="664">
        <v>0</v>
      </c>
      <c r="AF387" s="664">
        <v>0</v>
      </c>
      <c r="AG387" s="664">
        <v>1160605001</v>
      </c>
      <c r="AH387" s="664">
        <v>1442</v>
      </c>
      <c r="AI387" s="664" t="s">
        <v>497</v>
      </c>
      <c r="AJ387" s="667">
        <v>0.01</v>
      </c>
      <c r="AK387" s="668">
        <f t="shared" si="39"/>
        <v>240000</v>
      </c>
      <c r="AL387" s="668">
        <f t="shared" si="40"/>
        <v>240000</v>
      </c>
      <c r="AM387" s="668">
        <f t="shared" si="40"/>
        <v>240000</v>
      </c>
      <c r="AN387" s="668"/>
      <c r="AO387" s="668"/>
      <c r="AP387" s="668">
        <f t="shared" si="41"/>
        <v>10380</v>
      </c>
      <c r="AQ387" s="668">
        <f t="shared" si="42"/>
        <v>10380</v>
      </c>
      <c r="AR387" s="668">
        <f t="shared" si="42"/>
        <v>10380</v>
      </c>
      <c r="AS387" s="668"/>
      <c r="AT387" s="668"/>
      <c r="AV387" s="670">
        <f t="shared" si="43"/>
        <v>23280000</v>
      </c>
      <c r="AW387" s="670">
        <f t="shared" si="44"/>
        <v>2044860</v>
      </c>
      <c r="AX387" s="671">
        <f t="shared" si="38"/>
        <v>0</v>
      </c>
    </row>
    <row r="388" spans="1:50">
      <c r="A388" s="664" t="s">
        <v>494</v>
      </c>
      <c r="B388" s="664"/>
      <c r="C388" s="664"/>
      <c r="D388" s="664">
        <v>1160505005</v>
      </c>
      <c r="E388" s="664">
        <v>0</v>
      </c>
      <c r="F388" s="664">
        <v>44084</v>
      </c>
      <c r="G388" s="665">
        <v>43176</v>
      </c>
      <c r="H388" s="665">
        <v>43830</v>
      </c>
      <c r="I388" s="664">
        <v>1442</v>
      </c>
      <c r="J388" s="666">
        <v>5370000</v>
      </c>
      <c r="K388" s="666">
        <v>322200</v>
      </c>
      <c r="L388" s="666">
        <v>0</v>
      </c>
      <c r="M388" s="664" t="s">
        <v>495</v>
      </c>
      <c r="N388" s="666">
        <v>5370000</v>
      </c>
      <c r="O388" s="666">
        <v>322200</v>
      </c>
      <c r="P388" s="666">
        <v>3871770</v>
      </c>
      <c r="Q388" s="664">
        <v>1</v>
      </c>
      <c r="R388" s="664" t="s">
        <v>496</v>
      </c>
      <c r="S388" s="664">
        <v>100</v>
      </c>
      <c r="T388" s="666">
        <v>5370000</v>
      </c>
      <c r="U388" s="666">
        <v>322200</v>
      </c>
      <c r="V388" s="664">
        <v>200</v>
      </c>
      <c r="W388" s="666">
        <v>10397102</v>
      </c>
      <c r="X388" s="664">
        <v>13</v>
      </c>
      <c r="Y388" s="664">
        <v>1160902010</v>
      </c>
      <c r="Z388" s="664">
        <v>2023</v>
      </c>
      <c r="AA388" s="664">
        <v>12</v>
      </c>
      <c r="AB388" s="664">
        <v>5026003002</v>
      </c>
      <c r="AC388" s="664">
        <v>1160903005</v>
      </c>
      <c r="AD388" s="664">
        <v>0</v>
      </c>
      <c r="AE388" s="664">
        <v>0</v>
      </c>
      <c r="AF388" s="664">
        <v>0</v>
      </c>
      <c r="AG388" s="664">
        <v>1160605001</v>
      </c>
      <c r="AH388" s="664">
        <v>1442</v>
      </c>
      <c r="AI388" s="664" t="s">
        <v>497</v>
      </c>
      <c r="AJ388" s="667">
        <v>0.01</v>
      </c>
      <c r="AK388" s="668">
        <f t="shared" si="39"/>
        <v>53700</v>
      </c>
      <c r="AL388" s="668">
        <f t="shared" si="40"/>
        <v>53700</v>
      </c>
      <c r="AM388" s="668">
        <f t="shared" si="40"/>
        <v>53700</v>
      </c>
      <c r="AN388" s="668"/>
      <c r="AO388" s="668"/>
      <c r="AP388" s="668">
        <f t="shared" si="41"/>
        <v>1611</v>
      </c>
      <c r="AQ388" s="668">
        <f t="shared" si="42"/>
        <v>1611</v>
      </c>
      <c r="AR388" s="668">
        <f t="shared" si="42"/>
        <v>1611</v>
      </c>
      <c r="AS388" s="668"/>
      <c r="AT388" s="668"/>
      <c r="AV388" s="670">
        <f t="shared" si="43"/>
        <v>5208900</v>
      </c>
      <c r="AW388" s="670">
        <f t="shared" si="44"/>
        <v>317367</v>
      </c>
      <c r="AX388" s="671">
        <f t="shared" si="38"/>
        <v>0</v>
      </c>
    </row>
    <row r="389" spans="1:50">
      <c r="A389" s="664" t="s">
        <v>494</v>
      </c>
      <c r="B389" s="664"/>
      <c r="C389" s="664"/>
      <c r="D389" s="664">
        <v>1160505001</v>
      </c>
      <c r="E389" s="664">
        <v>0</v>
      </c>
      <c r="F389" s="664">
        <v>44056</v>
      </c>
      <c r="G389" s="665">
        <v>43179</v>
      </c>
      <c r="H389" s="665">
        <v>44275</v>
      </c>
      <c r="I389" s="664">
        <v>1002</v>
      </c>
      <c r="J389" s="666">
        <v>10000000</v>
      </c>
      <c r="K389" s="666">
        <v>4500000</v>
      </c>
      <c r="L389" s="666">
        <v>0</v>
      </c>
      <c r="M389" s="664" t="s">
        <v>495</v>
      </c>
      <c r="N389" s="666">
        <v>10000000</v>
      </c>
      <c r="O389" s="666">
        <v>4500000</v>
      </c>
      <c r="P389" s="666">
        <v>5010000</v>
      </c>
      <c r="Q389" s="664">
        <v>1</v>
      </c>
      <c r="R389" s="664" t="s">
        <v>496</v>
      </c>
      <c r="S389" s="664">
        <v>100</v>
      </c>
      <c r="T389" s="666">
        <v>10000000</v>
      </c>
      <c r="U389" s="666">
        <v>4500000</v>
      </c>
      <c r="V389" s="664">
        <v>300</v>
      </c>
      <c r="W389" s="666">
        <v>2264011</v>
      </c>
      <c r="X389" s="664">
        <v>2</v>
      </c>
      <c r="Y389" s="664">
        <v>1160902010</v>
      </c>
      <c r="Z389" s="664">
        <v>2023</v>
      </c>
      <c r="AA389" s="664">
        <v>12</v>
      </c>
      <c r="AB389" s="664">
        <v>5026003002</v>
      </c>
      <c r="AC389" s="664">
        <v>1160903005</v>
      </c>
      <c r="AD389" s="664">
        <v>0</v>
      </c>
      <c r="AE389" s="664">
        <v>0</v>
      </c>
      <c r="AF389" s="664">
        <v>0</v>
      </c>
      <c r="AG389" s="664">
        <v>1160605001</v>
      </c>
      <c r="AH389" s="664">
        <v>1002</v>
      </c>
      <c r="AI389" s="664" t="s">
        <v>499</v>
      </c>
      <c r="AJ389" s="667">
        <v>0.05</v>
      </c>
      <c r="AK389" s="668">
        <f t="shared" si="39"/>
        <v>500000</v>
      </c>
      <c r="AL389" s="668">
        <f t="shared" si="40"/>
        <v>500000</v>
      </c>
      <c r="AM389" s="668">
        <f t="shared" si="40"/>
        <v>500000</v>
      </c>
      <c r="AN389" s="668"/>
      <c r="AO389" s="668"/>
      <c r="AP389" s="668">
        <f t="shared" si="41"/>
        <v>112500</v>
      </c>
      <c r="AQ389" s="668">
        <f t="shared" si="42"/>
        <v>112500</v>
      </c>
      <c r="AR389" s="668">
        <f t="shared" si="42"/>
        <v>112500</v>
      </c>
      <c r="AS389" s="668"/>
      <c r="AT389" s="668"/>
      <c r="AV389" s="670">
        <f t="shared" si="43"/>
        <v>8500000</v>
      </c>
      <c r="AW389" s="670">
        <f t="shared" si="44"/>
        <v>4162500</v>
      </c>
      <c r="AX389" s="671">
        <f t="shared" si="38"/>
        <v>0</v>
      </c>
    </row>
    <row r="390" spans="1:50">
      <c r="A390" s="664" t="s">
        <v>494</v>
      </c>
      <c r="B390" s="664"/>
      <c r="C390" s="664"/>
      <c r="D390" s="664">
        <v>1160505001</v>
      </c>
      <c r="E390" s="664">
        <v>0</v>
      </c>
      <c r="F390" s="664">
        <v>46533</v>
      </c>
      <c r="G390" s="665">
        <v>43560</v>
      </c>
      <c r="H390" s="665">
        <v>43926</v>
      </c>
      <c r="I390" s="664">
        <v>1347</v>
      </c>
      <c r="J390" s="666">
        <v>20000000</v>
      </c>
      <c r="K390" s="666">
        <v>3600000</v>
      </c>
      <c r="L390" s="666">
        <v>0</v>
      </c>
      <c r="M390" s="664" t="s">
        <v>495</v>
      </c>
      <c r="N390" s="666">
        <v>20000000</v>
      </c>
      <c r="O390" s="666">
        <v>3600000</v>
      </c>
      <c r="P390" s="666">
        <v>13470000</v>
      </c>
      <c r="Q390" s="664">
        <v>1</v>
      </c>
      <c r="R390" s="664" t="s">
        <v>496</v>
      </c>
      <c r="S390" s="664">
        <v>100</v>
      </c>
      <c r="T390" s="666">
        <v>20000000</v>
      </c>
      <c r="U390" s="666">
        <v>3600000</v>
      </c>
      <c r="V390" s="664">
        <v>200</v>
      </c>
      <c r="W390" s="666">
        <v>8097162</v>
      </c>
      <c r="X390" s="664">
        <v>2</v>
      </c>
      <c r="Y390" s="664">
        <v>1160902010</v>
      </c>
      <c r="Z390" s="664">
        <v>2023</v>
      </c>
      <c r="AA390" s="664">
        <v>12</v>
      </c>
      <c r="AB390" s="664">
        <v>5026003002</v>
      </c>
      <c r="AC390" s="664">
        <v>1160903005</v>
      </c>
      <c r="AD390" s="664">
        <v>0</v>
      </c>
      <c r="AE390" s="664">
        <v>0</v>
      </c>
      <c r="AF390" s="664">
        <v>0</v>
      </c>
      <c r="AG390" s="664">
        <v>1160605001</v>
      </c>
      <c r="AH390" s="664">
        <v>1347</v>
      </c>
      <c r="AI390" s="664" t="s">
        <v>497</v>
      </c>
      <c r="AJ390" s="667">
        <v>0.01</v>
      </c>
      <c r="AK390" s="668">
        <f t="shared" si="39"/>
        <v>200000</v>
      </c>
      <c r="AL390" s="668">
        <f t="shared" si="40"/>
        <v>200000</v>
      </c>
      <c r="AM390" s="668">
        <f t="shared" si="40"/>
        <v>200000</v>
      </c>
      <c r="AN390" s="668"/>
      <c r="AO390" s="668"/>
      <c r="AP390" s="668">
        <f t="shared" si="41"/>
        <v>18000</v>
      </c>
      <c r="AQ390" s="668">
        <f t="shared" si="42"/>
        <v>18000</v>
      </c>
      <c r="AR390" s="668">
        <f t="shared" si="42"/>
        <v>18000</v>
      </c>
      <c r="AS390" s="668"/>
      <c r="AT390" s="668"/>
      <c r="AV390" s="670">
        <f t="shared" si="43"/>
        <v>19400000</v>
      </c>
      <c r="AW390" s="670">
        <f t="shared" si="44"/>
        <v>3546000</v>
      </c>
      <c r="AX390" s="671">
        <f t="shared" ref="AX390:AX433" si="45">+J390-N390</f>
        <v>0</v>
      </c>
    </row>
    <row r="391" spans="1:50">
      <c r="A391" s="664" t="s">
        <v>494</v>
      </c>
      <c r="B391" s="664"/>
      <c r="C391" s="664"/>
      <c r="D391" s="664">
        <v>1160405001</v>
      </c>
      <c r="E391" s="664">
        <v>0</v>
      </c>
      <c r="F391" s="664">
        <v>35885</v>
      </c>
      <c r="G391" s="665">
        <v>41809</v>
      </c>
      <c r="H391" s="665">
        <v>42174</v>
      </c>
      <c r="I391" s="664">
        <v>3073</v>
      </c>
      <c r="J391" s="666">
        <v>130000000</v>
      </c>
      <c r="K391" s="666">
        <v>11700000</v>
      </c>
      <c r="L391" s="666">
        <v>0</v>
      </c>
      <c r="M391" s="664" t="s">
        <v>495</v>
      </c>
      <c r="N391" s="666">
        <v>130000000</v>
      </c>
      <c r="O391" s="666">
        <v>11700000</v>
      </c>
      <c r="P391" s="666">
        <v>199745000</v>
      </c>
      <c r="Q391" s="664">
        <v>2</v>
      </c>
      <c r="R391" s="664" t="s">
        <v>496</v>
      </c>
      <c r="S391" s="664">
        <v>100</v>
      </c>
      <c r="T391" s="666">
        <v>130000000</v>
      </c>
      <c r="U391" s="666">
        <v>11700000</v>
      </c>
      <c r="V391" s="664">
        <v>100</v>
      </c>
      <c r="W391" s="666">
        <v>50713312</v>
      </c>
      <c r="X391" s="664">
        <v>2</v>
      </c>
      <c r="Y391" s="664">
        <v>1160902009</v>
      </c>
      <c r="Z391" s="664">
        <v>2023</v>
      </c>
      <c r="AA391" s="664">
        <v>12</v>
      </c>
      <c r="AB391" s="664">
        <v>5026003002</v>
      </c>
      <c r="AC391" s="664">
        <v>1160903005</v>
      </c>
      <c r="AD391" s="664">
        <v>0</v>
      </c>
      <c r="AE391" s="664">
        <v>0</v>
      </c>
      <c r="AF391" s="664">
        <v>1</v>
      </c>
      <c r="AG391" s="664">
        <v>1160605001</v>
      </c>
      <c r="AH391" s="664">
        <v>3073</v>
      </c>
      <c r="AI391" s="664" t="s">
        <v>503</v>
      </c>
      <c r="AJ391" s="667">
        <v>0</v>
      </c>
      <c r="AK391" s="668">
        <f t="shared" ref="AK391:AK433" si="46">+$J391*$AJ391</f>
        <v>0</v>
      </c>
      <c r="AL391" s="668">
        <f t="shared" ref="AL391:AM433" si="47">IF(($J391-$AK391)&gt;0,$J391*$AJ391,0)</f>
        <v>0</v>
      </c>
      <c r="AM391" s="668">
        <f t="shared" si="47"/>
        <v>0</v>
      </c>
      <c r="AN391" s="668"/>
      <c r="AO391" s="668"/>
      <c r="AP391" s="668">
        <f t="shared" ref="AP391:AP433" si="48">+K391*(AJ391/2)</f>
        <v>0</v>
      </c>
      <c r="AQ391" s="668">
        <f t="shared" ref="AQ391:AR433" si="49">AP391</f>
        <v>0</v>
      </c>
      <c r="AR391" s="668">
        <f t="shared" si="49"/>
        <v>0</v>
      </c>
      <c r="AS391" s="668"/>
      <c r="AT391" s="668"/>
      <c r="AV391" s="670">
        <f t="shared" ref="AV391:AV444" si="50">J391-AK391-AL391-AM391</f>
        <v>130000000</v>
      </c>
      <c r="AW391" s="670">
        <f t="shared" ref="AW391:AW444" si="51">+K391-AP391-AQ391-AR391</f>
        <v>11700000</v>
      </c>
      <c r="AX391" s="671">
        <f t="shared" si="45"/>
        <v>0</v>
      </c>
    </row>
    <row r="392" spans="1:50">
      <c r="A392" s="664" t="s">
        <v>494</v>
      </c>
      <c r="B392" s="664"/>
      <c r="C392" s="664"/>
      <c r="D392" s="664">
        <v>1160405001</v>
      </c>
      <c r="E392" s="664">
        <v>0</v>
      </c>
      <c r="F392" s="664">
        <v>35964</v>
      </c>
      <c r="G392" s="665">
        <v>41819</v>
      </c>
      <c r="H392" s="665">
        <v>42184</v>
      </c>
      <c r="I392" s="664">
        <v>3063</v>
      </c>
      <c r="J392" s="666">
        <v>25000000</v>
      </c>
      <c r="K392" s="666">
        <v>2250000</v>
      </c>
      <c r="L392" s="666">
        <v>0</v>
      </c>
      <c r="M392" s="664" t="s">
        <v>495</v>
      </c>
      <c r="N392" s="666">
        <v>25000000</v>
      </c>
      <c r="O392" s="666">
        <v>2250000</v>
      </c>
      <c r="P392" s="666">
        <v>38287500</v>
      </c>
      <c r="Q392" s="664">
        <v>2</v>
      </c>
      <c r="R392" s="664" t="s">
        <v>496</v>
      </c>
      <c r="S392" s="664">
        <v>100</v>
      </c>
      <c r="T392" s="666">
        <v>25000000</v>
      </c>
      <c r="U392" s="666">
        <v>2250000</v>
      </c>
      <c r="V392" s="664">
        <v>200</v>
      </c>
      <c r="W392" s="666">
        <v>50713312</v>
      </c>
      <c r="X392" s="664">
        <v>2</v>
      </c>
      <c r="Y392" s="664">
        <v>1160902009</v>
      </c>
      <c r="Z392" s="664">
        <v>2023</v>
      </c>
      <c r="AA392" s="664">
        <v>12</v>
      </c>
      <c r="AB392" s="664">
        <v>5026003002</v>
      </c>
      <c r="AC392" s="664">
        <v>1160903005</v>
      </c>
      <c r="AD392" s="664">
        <v>0</v>
      </c>
      <c r="AE392" s="664">
        <v>0</v>
      </c>
      <c r="AF392" s="664">
        <v>1</v>
      </c>
      <c r="AG392" s="664">
        <v>1160605001</v>
      </c>
      <c r="AH392" s="664">
        <v>3073</v>
      </c>
      <c r="AI392" s="664" t="s">
        <v>503</v>
      </c>
      <c r="AJ392" s="667">
        <v>0</v>
      </c>
      <c r="AK392" s="668">
        <f t="shared" si="46"/>
        <v>0</v>
      </c>
      <c r="AL392" s="668">
        <f t="shared" si="47"/>
        <v>0</v>
      </c>
      <c r="AM392" s="668">
        <f t="shared" si="47"/>
        <v>0</v>
      </c>
      <c r="AN392" s="668"/>
      <c r="AO392" s="668"/>
      <c r="AP392" s="668">
        <f t="shared" si="48"/>
        <v>0</v>
      </c>
      <c r="AQ392" s="668">
        <f t="shared" si="49"/>
        <v>0</v>
      </c>
      <c r="AR392" s="668">
        <f t="shared" si="49"/>
        <v>0</v>
      </c>
      <c r="AS392" s="668"/>
      <c r="AT392" s="668"/>
      <c r="AV392" s="670">
        <f t="shared" si="50"/>
        <v>25000000</v>
      </c>
      <c r="AW392" s="670">
        <f t="shared" si="51"/>
        <v>2250000</v>
      </c>
      <c r="AX392" s="671">
        <f t="shared" si="45"/>
        <v>0</v>
      </c>
    </row>
    <row r="393" spans="1:50">
      <c r="A393" s="664" t="s">
        <v>494</v>
      </c>
      <c r="B393" s="664"/>
      <c r="C393" s="664"/>
      <c r="D393" s="664">
        <v>1160405001</v>
      </c>
      <c r="E393" s="664">
        <v>0</v>
      </c>
      <c r="F393" s="664">
        <v>36799</v>
      </c>
      <c r="G393" s="665">
        <v>41986</v>
      </c>
      <c r="H393" s="665">
        <v>42351</v>
      </c>
      <c r="I393" s="664">
        <v>2899</v>
      </c>
      <c r="J393" s="666">
        <v>90000000</v>
      </c>
      <c r="K393" s="666">
        <v>8100000</v>
      </c>
      <c r="L393" s="666">
        <v>0</v>
      </c>
      <c r="M393" s="664" t="s">
        <v>495</v>
      </c>
      <c r="N393" s="666">
        <v>90000000</v>
      </c>
      <c r="O393" s="666">
        <v>8100000</v>
      </c>
      <c r="P393" s="666">
        <v>130455000</v>
      </c>
      <c r="Q393" s="664">
        <v>2</v>
      </c>
      <c r="R393" s="664" t="s">
        <v>496</v>
      </c>
      <c r="S393" s="664">
        <v>100</v>
      </c>
      <c r="T393" s="666">
        <v>90000000</v>
      </c>
      <c r="U393" s="666">
        <v>8100000</v>
      </c>
      <c r="V393" s="664">
        <v>100</v>
      </c>
      <c r="W393" s="666">
        <v>50713312</v>
      </c>
      <c r="X393" s="664">
        <v>2</v>
      </c>
      <c r="Y393" s="664">
        <v>1160902009</v>
      </c>
      <c r="Z393" s="664">
        <v>2023</v>
      </c>
      <c r="AA393" s="664">
        <v>12</v>
      </c>
      <c r="AB393" s="664">
        <v>5026003002</v>
      </c>
      <c r="AC393" s="664">
        <v>1160903005</v>
      </c>
      <c r="AD393" s="664">
        <v>0</v>
      </c>
      <c r="AE393" s="664">
        <v>0</v>
      </c>
      <c r="AF393" s="664">
        <v>1</v>
      </c>
      <c r="AG393" s="664">
        <v>1160605001</v>
      </c>
      <c r="AH393" s="664">
        <v>3073</v>
      </c>
      <c r="AI393" s="664" t="s">
        <v>503</v>
      </c>
      <c r="AJ393" s="667">
        <v>0</v>
      </c>
      <c r="AK393" s="668">
        <f t="shared" si="46"/>
        <v>0</v>
      </c>
      <c r="AL393" s="668">
        <f t="shared" si="47"/>
        <v>0</v>
      </c>
      <c r="AM393" s="668">
        <f t="shared" si="47"/>
        <v>0</v>
      </c>
      <c r="AN393" s="668"/>
      <c r="AO393" s="668"/>
      <c r="AP393" s="668">
        <f t="shared" si="48"/>
        <v>0</v>
      </c>
      <c r="AQ393" s="668">
        <f t="shared" si="49"/>
        <v>0</v>
      </c>
      <c r="AR393" s="668">
        <f t="shared" si="49"/>
        <v>0</v>
      </c>
      <c r="AS393" s="668"/>
      <c r="AT393" s="668"/>
      <c r="AV393" s="670">
        <f t="shared" si="50"/>
        <v>90000000</v>
      </c>
      <c r="AW393" s="670">
        <f t="shared" si="51"/>
        <v>8100000</v>
      </c>
      <c r="AX393" s="671">
        <f t="shared" si="45"/>
        <v>0</v>
      </c>
    </row>
    <row r="394" spans="1:50">
      <c r="A394" s="664" t="s">
        <v>494</v>
      </c>
      <c r="B394" s="664"/>
      <c r="C394" s="664"/>
      <c r="D394" s="664">
        <v>1160405001</v>
      </c>
      <c r="E394" s="664">
        <v>0</v>
      </c>
      <c r="F394" s="664">
        <v>37790</v>
      </c>
      <c r="G394" s="665">
        <v>42133</v>
      </c>
      <c r="H394" s="665">
        <v>42256</v>
      </c>
      <c r="I394" s="664">
        <v>2993</v>
      </c>
      <c r="J394" s="666">
        <v>40000000</v>
      </c>
      <c r="K394" s="666">
        <v>1200000</v>
      </c>
      <c r="L394" s="666">
        <v>0</v>
      </c>
      <c r="M394" s="664" t="s">
        <v>495</v>
      </c>
      <c r="N394" s="666">
        <v>40000000</v>
      </c>
      <c r="O394" s="666">
        <v>1200000</v>
      </c>
      <c r="P394" s="666">
        <v>59860000</v>
      </c>
      <c r="Q394" s="664">
        <v>2</v>
      </c>
      <c r="R394" s="664" t="s">
        <v>496</v>
      </c>
      <c r="S394" s="664">
        <v>100</v>
      </c>
      <c r="T394" s="666">
        <v>40000000</v>
      </c>
      <c r="U394" s="666">
        <v>1200000</v>
      </c>
      <c r="V394" s="664">
        <v>200</v>
      </c>
      <c r="W394" s="666">
        <v>50713312</v>
      </c>
      <c r="X394" s="664">
        <v>2</v>
      </c>
      <c r="Y394" s="664">
        <v>1160902009</v>
      </c>
      <c r="Z394" s="664">
        <v>2023</v>
      </c>
      <c r="AA394" s="664">
        <v>12</v>
      </c>
      <c r="AB394" s="664">
        <v>5026003002</v>
      </c>
      <c r="AC394" s="664">
        <v>1160903005</v>
      </c>
      <c r="AD394" s="664">
        <v>0</v>
      </c>
      <c r="AE394" s="664">
        <v>0</v>
      </c>
      <c r="AF394" s="664">
        <v>1</v>
      </c>
      <c r="AG394" s="664">
        <v>1160605001</v>
      </c>
      <c r="AH394" s="664">
        <v>3073</v>
      </c>
      <c r="AI394" s="664" t="s">
        <v>503</v>
      </c>
      <c r="AJ394" s="667">
        <v>0</v>
      </c>
      <c r="AK394" s="668">
        <f t="shared" si="46"/>
        <v>0</v>
      </c>
      <c r="AL394" s="668">
        <f t="shared" si="47"/>
        <v>0</v>
      </c>
      <c r="AM394" s="668">
        <f t="shared" si="47"/>
        <v>0</v>
      </c>
      <c r="AN394" s="668"/>
      <c r="AO394" s="668"/>
      <c r="AP394" s="668">
        <f t="shared" si="48"/>
        <v>0</v>
      </c>
      <c r="AQ394" s="668">
        <f t="shared" si="49"/>
        <v>0</v>
      </c>
      <c r="AR394" s="668">
        <f t="shared" si="49"/>
        <v>0</v>
      </c>
      <c r="AS394" s="668"/>
      <c r="AT394" s="668"/>
      <c r="AV394" s="670">
        <f t="shared" si="50"/>
        <v>40000000</v>
      </c>
      <c r="AW394" s="670">
        <f t="shared" si="51"/>
        <v>1200000</v>
      </c>
      <c r="AX394" s="671">
        <f t="shared" si="45"/>
        <v>0</v>
      </c>
    </row>
    <row r="395" spans="1:50">
      <c r="A395" s="664" t="s">
        <v>494</v>
      </c>
      <c r="B395" s="664"/>
      <c r="C395" s="664"/>
      <c r="D395" s="664">
        <v>1160505005</v>
      </c>
      <c r="E395" s="664">
        <v>0</v>
      </c>
      <c r="F395" s="664">
        <v>37638</v>
      </c>
      <c r="G395" s="665">
        <v>42103</v>
      </c>
      <c r="H395" s="665">
        <v>42368</v>
      </c>
      <c r="I395" s="664">
        <v>2882</v>
      </c>
      <c r="J395" s="666">
        <v>12281000</v>
      </c>
      <c r="K395" s="666">
        <v>0</v>
      </c>
      <c r="L395" s="666">
        <v>0</v>
      </c>
      <c r="M395" s="664" t="s">
        <v>495</v>
      </c>
      <c r="N395" s="666">
        <v>12281000</v>
      </c>
      <c r="O395" s="666">
        <v>0</v>
      </c>
      <c r="P395" s="666">
        <v>17696921</v>
      </c>
      <c r="Q395" s="664">
        <v>1</v>
      </c>
      <c r="R395" s="664" t="s">
        <v>496</v>
      </c>
      <c r="S395" s="664">
        <v>100</v>
      </c>
      <c r="T395" s="666">
        <v>12281000</v>
      </c>
      <c r="U395" s="666">
        <v>0</v>
      </c>
      <c r="V395" s="664">
        <v>200</v>
      </c>
      <c r="W395" s="666">
        <v>50713312</v>
      </c>
      <c r="X395" s="664">
        <v>13</v>
      </c>
      <c r="Y395" s="664">
        <v>1160902010</v>
      </c>
      <c r="Z395" s="664">
        <v>2023</v>
      </c>
      <c r="AA395" s="664">
        <v>12</v>
      </c>
      <c r="AB395" s="664">
        <v>5026003002</v>
      </c>
      <c r="AC395" s="664">
        <v>1160903005</v>
      </c>
      <c r="AD395" s="664">
        <v>0</v>
      </c>
      <c r="AE395" s="664">
        <v>0</v>
      </c>
      <c r="AF395" s="664">
        <v>0</v>
      </c>
      <c r="AG395" s="664">
        <v>1160605001</v>
      </c>
      <c r="AH395" s="664">
        <v>3073</v>
      </c>
      <c r="AI395" s="664" t="s">
        <v>503</v>
      </c>
      <c r="AJ395" s="667">
        <v>0</v>
      </c>
      <c r="AK395" s="668">
        <f t="shared" si="46"/>
        <v>0</v>
      </c>
      <c r="AL395" s="668">
        <f t="shared" si="47"/>
        <v>0</v>
      </c>
      <c r="AM395" s="668">
        <f t="shared" si="47"/>
        <v>0</v>
      </c>
      <c r="AN395" s="668"/>
      <c r="AO395" s="668"/>
      <c r="AP395" s="668">
        <f t="shared" si="48"/>
        <v>0</v>
      </c>
      <c r="AQ395" s="668">
        <f t="shared" si="49"/>
        <v>0</v>
      </c>
      <c r="AR395" s="668">
        <f t="shared" si="49"/>
        <v>0</v>
      </c>
      <c r="AS395" s="668"/>
      <c r="AT395" s="668"/>
      <c r="AV395" s="670">
        <f t="shared" si="50"/>
        <v>12281000</v>
      </c>
      <c r="AW395" s="670">
        <f t="shared" si="51"/>
        <v>0</v>
      </c>
      <c r="AX395" s="671">
        <f t="shared" si="45"/>
        <v>0</v>
      </c>
    </row>
    <row r="396" spans="1:50">
      <c r="A396" s="664" t="s">
        <v>494</v>
      </c>
      <c r="B396" s="664"/>
      <c r="C396" s="664"/>
      <c r="D396" s="664">
        <v>1160505005</v>
      </c>
      <c r="E396" s="664">
        <v>0</v>
      </c>
      <c r="F396" s="664">
        <v>37863</v>
      </c>
      <c r="G396" s="665">
        <v>42141</v>
      </c>
      <c r="H396" s="665">
        <v>42368</v>
      </c>
      <c r="I396" s="664">
        <v>2882</v>
      </c>
      <c r="J396" s="666">
        <v>4840000</v>
      </c>
      <c r="K396" s="666">
        <v>0</v>
      </c>
      <c r="L396" s="666">
        <v>0</v>
      </c>
      <c r="M396" s="664" t="s">
        <v>495</v>
      </c>
      <c r="N396" s="666">
        <v>4840000</v>
      </c>
      <c r="O396" s="666">
        <v>0</v>
      </c>
      <c r="P396" s="666">
        <v>6974440</v>
      </c>
      <c r="Q396" s="664">
        <v>1</v>
      </c>
      <c r="R396" s="664" t="s">
        <v>496</v>
      </c>
      <c r="S396" s="664">
        <v>100</v>
      </c>
      <c r="T396" s="666">
        <v>4840000</v>
      </c>
      <c r="U396" s="666">
        <v>0</v>
      </c>
      <c r="V396" s="664">
        <v>200</v>
      </c>
      <c r="W396" s="666">
        <v>50713312</v>
      </c>
      <c r="X396" s="664">
        <v>13</v>
      </c>
      <c r="Y396" s="664">
        <v>1160902010</v>
      </c>
      <c r="Z396" s="664">
        <v>2023</v>
      </c>
      <c r="AA396" s="664">
        <v>12</v>
      </c>
      <c r="AB396" s="664">
        <v>5026003002</v>
      </c>
      <c r="AC396" s="664">
        <v>1160903005</v>
      </c>
      <c r="AD396" s="664">
        <v>0</v>
      </c>
      <c r="AE396" s="664">
        <v>0</v>
      </c>
      <c r="AF396" s="664">
        <v>0</v>
      </c>
      <c r="AG396" s="664">
        <v>1160605001</v>
      </c>
      <c r="AH396" s="664">
        <v>3073</v>
      </c>
      <c r="AI396" s="664" t="s">
        <v>503</v>
      </c>
      <c r="AJ396" s="667">
        <v>0</v>
      </c>
      <c r="AK396" s="668">
        <f t="shared" si="46"/>
        <v>0</v>
      </c>
      <c r="AL396" s="668">
        <f t="shared" si="47"/>
        <v>0</v>
      </c>
      <c r="AM396" s="668">
        <f t="shared" si="47"/>
        <v>0</v>
      </c>
      <c r="AN396" s="668"/>
      <c r="AO396" s="668"/>
      <c r="AP396" s="668">
        <f t="shared" si="48"/>
        <v>0</v>
      </c>
      <c r="AQ396" s="668">
        <f t="shared" si="49"/>
        <v>0</v>
      </c>
      <c r="AR396" s="668">
        <f t="shared" si="49"/>
        <v>0</v>
      </c>
      <c r="AS396" s="668"/>
      <c r="AT396" s="668"/>
      <c r="AV396" s="670">
        <f t="shared" si="50"/>
        <v>4840000</v>
      </c>
      <c r="AW396" s="670">
        <f t="shared" si="51"/>
        <v>0</v>
      </c>
      <c r="AX396" s="671">
        <f t="shared" si="45"/>
        <v>0</v>
      </c>
    </row>
    <row r="397" spans="1:50">
      <c r="A397" s="664" t="s">
        <v>494</v>
      </c>
      <c r="B397" s="664"/>
      <c r="C397" s="664"/>
      <c r="D397" s="664">
        <v>1160505005</v>
      </c>
      <c r="E397" s="664">
        <v>0</v>
      </c>
      <c r="F397" s="664">
        <v>38242</v>
      </c>
      <c r="G397" s="665">
        <v>42194</v>
      </c>
      <c r="H397" s="665">
        <v>42368</v>
      </c>
      <c r="I397" s="664">
        <v>2882</v>
      </c>
      <c r="J397" s="666">
        <v>16812000</v>
      </c>
      <c r="K397" s="666">
        <v>0</v>
      </c>
      <c r="L397" s="666">
        <v>0</v>
      </c>
      <c r="M397" s="664" t="s">
        <v>495</v>
      </c>
      <c r="N397" s="666">
        <v>16812000</v>
      </c>
      <c r="O397" s="666">
        <v>0</v>
      </c>
      <c r="P397" s="666">
        <v>24226092</v>
      </c>
      <c r="Q397" s="664">
        <v>1</v>
      </c>
      <c r="R397" s="664" t="s">
        <v>496</v>
      </c>
      <c r="S397" s="664">
        <v>100</v>
      </c>
      <c r="T397" s="666">
        <v>16812000</v>
      </c>
      <c r="U397" s="666">
        <v>0</v>
      </c>
      <c r="V397" s="664">
        <v>200</v>
      </c>
      <c r="W397" s="666">
        <v>50713312</v>
      </c>
      <c r="X397" s="664">
        <v>13</v>
      </c>
      <c r="Y397" s="664">
        <v>1160902010</v>
      </c>
      <c r="Z397" s="664">
        <v>2023</v>
      </c>
      <c r="AA397" s="664">
        <v>12</v>
      </c>
      <c r="AB397" s="664">
        <v>5026003002</v>
      </c>
      <c r="AC397" s="664">
        <v>1160903005</v>
      </c>
      <c r="AD397" s="664">
        <v>0</v>
      </c>
      <c r="AE397" s="664">
        <v>0</v>
      </c>
      <c r="AF397" s="664">
        <v>0</v>
      </c>
      <c r="AG397" s="664">
        <v>1160605001</v>
      </c>
      <c r="AH397" s="664">
        <v>3073</v>
      </c>
      <c r="AI397" s="664" t="s">
        <v>503</v>
      </c>
      <c r="AJ397" s="667">
        <v>0</v>
      </c>
      <c r="AK397" s="668">
        <f t="shared" si="46"/>
        <v>0</v>
      </c>
      <c r="AL397" s="668">
        <f t="shared" si="47"/>
        <v>0</v>
      </c>
      <c r="AM397" s="668">
        <f t="shared" si="47"/>
        <v>0</v>
      </c>
      <c r="AN397" s="668"/>
      <c r="AO397" s="668"/>
      <c r="AP397" s="668">
        <f t="shared" si="48"/>
        <v>0</v>
      </c>
      <c r="AQ397" s="668">
        <f t="shared" si="49"/>
        <v>0</v>
      </c>
      <c r="AR397" s="668">
        <f t="shared" si="49"/>
        <v>0</v>
      </c>
      <c r="AS397" s="668"/>
      <c r="AT397" s="668"/>
      <c r="AV397" s="670">
        <f t="shared" si="50"/>
        <v>16812000</v>
      </c>
      <c r="AW397" s="670">
        <f t="shared" si="51"/>
        <v>0</v>
      </c>
      <c r="AX397" s="671">
        <f t="shared" si="45"/>
        <v>0</v>
      </c>
    </row>
    <row r="398" spans="1:50">
      <c r="A398" s="664" t="s">
        <v>494</v>
      </c>
      <c r="B398" s="664"/>
      <c r="C398" s="664"/>
      <c r="D398" s="664">
        <v>1160505001</v>
      </c>
      <c r="E398" s="664">
        <v>0</v>
      </c>
      <c r="F398" s="664">
        <v>46880</v>
      </c>
      <c r="G398" s="665">
        <v>43625</v>
      </c>
      <c r="H398" s="665">
        <v>43991</v>
      </c>
      <c r="I398" s="664">
        <v>1283</v>
      </c>
      <c r="J398" s="666">
        <v>3000000</v>
      </c>
      <c r="K398" s="666">
        <v>0</v>
      </c>
      <c r="L398" s="666">
        <v>0</v>
      </c>
      <c r="M398" s="664" t="s">
        <v>495</v>
      </c>
      <c r="N398" s="666">
        <v>3000000</v>
      </c>
      <c r="O398" s="666">
        <v>0</v>
      </c>
      <c r="P398" s="666">
        <v>1924500</v>
      </c>
      <c r="Q398" s="664">
        <v>1</v>
      </c>
      <c r="R398" s="664" t="s">
        <v>496</v>
      </c>
      <c r="S398" s="664">
        <v>100</v>
      </c>
      <c r="T398" s="666">
        <v>3000000</v>
      </c>
      <c r="U398" s="666">
        <v>0</v>
      </c>
      <c r="V398" s="664">
        <v>100</v>
      </c>
      <c r="W398" s="666">
        <v>6628968</v>
      </c>
      <c r="X398" s="664">
        <v>2</v>
      </c>
      <c r="Y398" s="664">
        <v>1160902010</v>
      </c>
      <c r="Z398" s="664">
        <v>2023</v>
      </c>
      <c r="AA398" s="664">
        <v>12</v>
      </c>
      <c r="AB398" s="664">
        <v>5026003002</v>
      </c>
      <c r="AC398" s="664">
        <v>1160903005</v>
      </c>
      <c r="AD398" s="664">
        <v>0</v>
      </c>
      <c r="AE398" s="664">
        <v>0</v>
      </c>
      <c r="AF398" s="664">
        <v>0</v>
      </c>
      <c r="AG398" s="664">
        <v>1160605001</v>
      </c>
      <c r="AH398" s="664">
        <v>1283</v>
      </c>
      <c r="AI398" s="664" t="s">
        <v>497</v>
      </c>
      <c r="AJ398" s="667">
        <v>0.01</v>
      </c>
      <c r="AK398" s="668">
        <f t="shared" si="46"/>
        <v>30000</v>
      </c>
      <c r="AL398" s="668">
        <f t="shared" si="47"/>
        <v>30000</v>
      </c>
      <c r="AM398" s="668">
        <f t="shared" si="47"/>
        <v>30000</v>
      </c>
      <c r="AN398" s="668"/>
      <c r="AO398" s="668"/>
      <c r="AP398" s="668">
        <f t="shared" si="48"/>
        <v>0</v>
      </c>
      <c r="AQ398" s="668">
        <f t="shared" si="49"/>
        <v>0</v>
      </c>
      <c r="AR398" s="668">
        <f t="shared" si="49"/>
        <v>0</v>
      </c>
      <c r="AS398" s="668"/>
      <c r="AT398" s="668"/>
      <c r="AV398" s="670">
        <f t="shared" si="50"/>
        <v>2910000</v>
      </c>
      <c r="AW398" s="670">
        <f t="shared" si="51"/>
        <v>0</v>
      </c>
      <c r="AX398" s="671">
        <f t="shared" si="45"/>
        <v>0</v>
      </c>
    </row>
    <row r="399" spans="1:50">
      <c r="A399" s="664" t="s">
        <v>494</v>
      </c>
      <c r="B399" s="664"/>
      <c r="C399" s="664"/>
      <c r="D399" s="664">
        <v>1160505001</v>
      </c>
      <c r="E399" s="664">
        <v>0</v>
      </c>
      <c r="F399" s="664">
        <v>45669</v>
      </c>
      <c r="G399" s="665">
        <v>43473</v>
      </c>
      <c r="H399" s="665">
        <v>44569</v>
      </c>
      <c r="I399" s="664">
        <v>714</v>
      </c>
      <c r="J399" s="666">
        <v>2332000</v>
      </c>
      <c r="K399" s="666">
        <v>429088</v>
      </c>
      <c r="L399" s="666">
        <v>0</v>
      </c>
      <c r="M399" s="664" t="s">
        <v>495</v>
      </c>
      <c r="N399" s="666">
        <v>2332000</v>
      </c>
      <c r="O399" s="666">
        <v>429088</v>
      </c>
      <c r="P399" s="666">
        <v>832524</v>
      </c>
      <c r="Q399" s="664">
        <v>1</v>
      </c>
      <c r="R399" s="664" t="s">
        <v>496</v>
      </c>
      <c r="S399" s="664">
        <v>100</v>
      </c>
      <c r="T399" s="666">
        <v>2332000</v>
      </c>
      <c r="U399" s="666">
        <v>429088</v>
      </c>
      <c r="V399" s="664">
        <v>200</v>
      </c>
      <c r="W399" s="666">
        <v>20952759</v>
      </c>
      <c r="X399" s="664">
        <v>2</v>
      </c>
      <c r="Y399" s="664">
        <v>1160902010</v>
      </c>
      <c r="Z399" s="664">
        <v>2023</v>
      </c>
      <c r="AA399" s="664">
        <v>12</v>
      </c>
      <c r="AB399" s="664">
        <v>5026003002</v>
      </c>
      <c r="AC399" s="664">
        <v>1160903005</v>
      </c>
      <c r="AD399" s="664">
        <v>0</v>
      </c>
      <c r="AE399" s="664">
        <v>0</v>
      </c>
      <c r="AF399" s="664">
        <v>0</v>
      </c>
      <c r="AG399" s="664">
        <v>1160605001</v>
      </c>
      <c r="AH399" s="664">
        <v>714</v>
      </c>
      <c r="AI399" s="664" t="s">
        <v>498</v>
      </c>
      <c r="AJ399" s="667">
        <v>0.1</v>
      </c>
      <c r="AK399" s="668">
        <f t="shared" si="46"/>
        <v>233200</v>
      </c>
      <c r="AL399" s="668">
        <f t="shared" si="47"/>
        <v>233200</v>
      </c>
      <c r="AM399" s="668">
        <f t="shared" si="47"/>
        <v>233200</v>
      </c>
      <c r="AN399" s="668"/>
      <c r="AO399" s="668"/>
      <c r="AP399" s="668">
        <f t="shared" si="48"/>
        <v>21454.400000000001</v>
      </c>
      <c r="AQ399" s="668">
        <f t="shared" si="49"/>
        <v>21454.400000000001</v>
      </c>
      <c r="AR399" s="668">
        <f t="shared" si="49"/>
        <v>21454.400000000001</v>
      </c>
      <c r="AS399" s="668"/>
      <c r="AT399" s="668"/>
      <c r="AV399" s="670">
        <f t="shared" si="50"/>
        <v>1632400</v>
      </c>
      <c r="AW399" s="670">
        <f t="shared" si="51"/>
        <v>364724.79999999993</v>
      </c>
      <c r="AX399" s="671">
        <f t="shared" si="45"/>
        <v>0</v>
      </c>
    </row>
    <row r="400" spans="1:50">
      <c r="A400" s="664" t="s">
        <v>494</v>
      </c>
      <c r="B400" s="664"/>
      <c r="C400" s="664"/>
      <c r="D400" s="664">
        <v>1160505001</v>
      </c>
      <c r="E400" s="664">
        <v>0</v>
      </c>
      <c r="F400" s="664">
        <v>46074</v>
      </c>
      <c r="G400" s="665">
        <v>43512</v>
      </c>
      <c r="H400" s="665">
        <v>43877</v>
      </c>
      <c r="I400" s="664">
        <v>1396</v>
      </c>
      <c r="J400" s="666">
        <v>1400000</v>
      </c>
      <c r="K400" s="666">
        <v>0</v>
      </c>
      <c r="L400" s="666">
        <v>0</v>
      </c>
      <c r="M400" s="664" t="s">
        <v>495</v>
      </c>
      <c r="N400" s="666">
        <v>1400000</v>
      </c>
      <c r="O400" s="666">
        <v>0</v>
      </c>
      <c r="P400" s="666">
        <v>977200</v>
      </c>
      <c r="Q400" s="664">
        <v>1</v>
      </c>
      <c r="R400" s="664" t="s">
        <v>496</v>
      </c>
      <c r="S400" s="664">
        <v>100</v>
      </c>
      <c r="T400" s="666">
        <v>1400000</v>
      </c>
      <c r="U400" s="666">
        <v>0</v>
      </c>
      <c r="V400" s="664">
        <v>300</v>
      </c>
      <c r="W400" s="666">
        <v>1649161</v>
      </c>
      <c r="X400" s="664">
        <v>2</v>
      </c>
      <c r="Y400" s="664">
        <v>1160902010</v>
      </c>
      <c r="Z400" s="664">
        <v>2023</v>
      </c>
      <c r="AA400" s="664">
        <v>12</v>
      </c>
      <c r="AB400" s="664">
        <v>5026003002</v>
      </c>
      <c r="AC400" s="664">
        <v>1160903005</v>
      </c>
      <c r="AD400" s="664">
        <v>0</v>
      </c>
      <c r="AE400" s="664">
        <v>0</v>
      </c>
      <c r="AF400" s="664">
        <v>0</v>
      </c>
      <c r="AG400" s="664">
        <v>1160605001</v>
      </c>
      <c r="AH400" s="664">
        <v>1396</v>
      </c>
      <c r="AI400" s="664" t="s">
        <v>497</v>
      </c>
      <c r="AJ400" s="667">
        <v>0.01</v>
      </c>
      <c r="AK400" s="668">
        <f t="shared" si="46"/>
        <v>14000</v>
      </c>
      <c r="AL400" s="668">
        <f t="shared" si="47"/>
        <v>14000</v>
      </c>
      <c r="AM400" s="668">
        <f t="shared" si="47"/>
        <v>14000</v>
      </c>
      <c r="AN400" s="668"/>
      <c r="AO400" s="668"/>
      <c r="AP400" s="668">
        <f t="shared" si="48"/>
        <v>0</v>
      </c>
      <c r="AQ400" s="668">
        <f t="shared" si="49"/>
        <v>0</v>
      </c>
      <c r="AR400" s="668">
        <f t="shared" si="49"/>
        <v>0</v>
      </c>
      <c r="AS400" s="668"/>
      <c r="AT400" s="668"/>
      <c r="AV400" s="670">
        <f t="shared" si="50"/>
        <v>1358000</v>
      </c>
      <c r="AW400" s="670">
        <f t="shared" si="51"/>
        <v>0</v>
      </c>
      <c r="AX400" s="671">
        <f t="shared" si="45"/>
        <v>0</v>
      </c>
    </row>
    <row r="401" spans="1:51">
      <c r="A401" s="664" t="s">
        <v>494</v>
      </c>
      <c r="B401" s="664"/>
      <c r="C401" s="664"/>
      <c r="D401" s="664">
        <v>1160505001</v>
      </c>
      <c r="E401" s="664">
        <v>0</v>
      </c>
      <c r="F401" s="664">
        <v>44031</v>
      </c>
      <c r="G401" s="665">
        <v>43177</v>
      </c>
      <c r="H401" s="665">
        <v>43542</v>
      </c>
      <c r="I401" s="664">
        <v>1724</v>
      </c>
      <c r="J401" s="666">
        <v>1200000</v>
      </c>
      <c r="K401" s="666">
        <v>135100</v>
      </c>
      <c r="L401" s="666">
        <v>0</v>
      </c>
      <c r="M401" s="664" t="s">
        <v>495</v>
      </c>
      <c r="N401" s="666">
        <v>1200000</v>
      </c>
      <c r="O401" s="666">
        <v>135100</v>
      </c>
      <c r="P401" s="666">
        <v>1034400</v>
      </c>
      <c r="Q401" s="664">
        <v>1</v>
      </c>
      <c r="R401" s="664" t="s">
        <v>496</v>
      </c>
      <c r="S401" s="664">
        <v>100</v>
      </c>
      <c r="T401" s="666">
        <v>1200000</v>
      </c>
      <c r="U401" s="666">
        <v>135100</v>
      </c>
      <c r="V401" s="664">
        <v>100</v>
      </c>
      <c r="W401" s="666">
        <v>947562</v>
      </c>
      <c r="X401" s="664">
        <v>2</v>
      </c>
      <c r="Y401" s="664">
        <v>1160902010</v>
      </c>
      <c r="Z401" s="664">
        <v>2023</v>
      </c>
      <c r="AA401" s="664">
        <v>12</v>
      </c>
      <c r="AB401" s="664">
        <v>5026003002</v>
      </c>
      <c r="AC401" s="664">
        <v>1160903005</v>
      </c>
      <c r="AD401" s="664">
        <v>0</v>
      </c>
      <c r="AE401" s="664">
        <v>0</v>
      </c>
      <c r="AF401" s="664">
        <v>0</v>
      </c>
      <c r="AG401" s="664">
        <v>1160605001</v>
      </c>
      <c r="AH401" s="664">
        <v>1724</v>
      </c>
      <c r="AI401" s="664" t="s">
        <v>497</v>
      </c>
      <c r="AJ401" s="667">
        <v>0.01</v>
      </c>
      <c r="AK401" s="668">
        <f t="shared" si="46"/>
        <v>12000</v>
      </c>
      <c r="AL401" s="668">
        <f t="shared" si="47"/>
        <v>12000</v>
      </c>
      <c r="AM401" s="668">
        <f t="shared" si="47"/>
        <v>12000</v>
      </c>
      <c r="AN401" s="668"/>
      <c r="AO401" s="668"/>
      <c r="AP401" s="668">
        <f t="shared" si="48"/>
        <v>675.5</v>
      </c>
      <c r="AQ401" s="668">
        <f t="shared" si="49"/>
        <v>675.5</v>
      </c>
      <c r="AR401" s="668">
        <f t="shared" si="49"/>
        <v>675.5</v>
      </c>
      <c r="AS401" s="668"/>
      <c r="AT401" s="668"/>
      <c r="AV401" s="670">
        <f t="shared" si="50"/>
        <v>1164000</v>
      </c>
      <c r="AW401" s="670">
        <f t="shared" si="51"/>
        <v>133073.5</v>
      </c>
      <c r="AX401" s="671">
        <f t="shared" si="45"/>
        <v>0</v>
      </c>
    </row>
    <row r="402" spans="1:51">
      <c r="A402" s="664" t="s">
        <v>494</v>
      </c>
      <c r="B402" s="664"/>
      <c r="C402" s="664"/>
      <c r="D402" s="664">
        <v>1160505001</v>
      </c>
      <c r="E402" s="664">
        <v>0</v>
      </c>
      <c r="F402" s="664">
        <v>44693</v>
      </c>
      <c r="G402" s="665">
        <v>43260</v>
      </c>
      <c r="H402" s="665">
        <v>43991</v>
      </c>
      <c r="I402" s="664">
        <v>1283</v>
      </c>
      <c r="J402" s="666">
        <v>800000</v>
      </c>
      <c r="K402" s="666">
        <v>288000</v>
      </c>
      <c r="L402" s="666">
        <v>0</v>
      </c>
      <c r="M402" s="664" t="s">
        <v>495</v>
      </c>
      <c r="N402" s="666">
        <v>800000</v>
      </c>
      <c r="O402" s="666">
        <v>288000</v>
      </c>
      <c r="P402" s="666">
        <v>513200</v>
      </c>
      <c r="Q402" s="664">
        <v>1</v>
      </c>
      <c r="R402" s="664" t="s">
        <v>496</v>
      </c>
      <c r="S402" s="664">
        <v>100</v>
      </c>
      <c r="T402" s="666">
        <v>800000</v>
      </c>
      <c r="U402" s="666">
        <v>288000</v>
      </c>
      <c r="V402" s="664">
        <v>100</v>
      </c>
      <c r="W402" s="666">
        <v>947562</v>
      </c>
      <c r="X402" s="664">
        <v>14</v>
      </c>
      <c r="Y402" s="664">
        <v>1160902010</v>
      </c>
      <c r="Z402" s="664">
        <v>2023</v>
      </c>
      <c r="AA402" s="664">
        <v>12</v>
      </c>
      <c r="AB402" s="664">
        <v>5026003002</v>
      </c>
      <c r="AC402" s="664">
        <v>1160903005</v>
      </c>
      <c r="AD402" s="664">
        <v>0</v>
      </c>
      <c r="AE402" s="664">
        <v>0</v>
      </c>
      <c r="AF402" s="664">
        <v>0</v>
      </c>
      <c r="AG402" s="664">
        <v>1160605001</v>
      </c>
      <c r="AH402" s="664">
        <v>1724</v>
      </c>
      <c r="AI402" s="664" t="s">
        <v>497</v>
      </c>
      <c r="AJ402" s="667">
        <v>0.01</v>
      </c>
      <c r="AK402" s="668">
        <f t="shared" si="46"/>
        <v>8000</v>
      </c>
      <c r="AL402" s="668">
        <f t="shared" si="47"/>
        <v>8000</v>
      </c>
      <c r="AM402" s="668">
        <f t="shared" si="47"/>
        <v>8000</v>
      </c>
      <c r="AN402" s="668"/>
      <c r="AO402" s="668"/>
      <c r="AP402" s="668">
        <f t="shared" si="48"/>
        <v>1440</v>
      </c>
      <c r="AQ402" s="668">
        <f t="shared" si="49"/>
        <v>1440</v>
      </c>
      <c r="AR402" s="668">
        <f t="shared" si="49"/>
        <v>1440</v>
      </c>
      <c r="AS402" s="668"/>
      <c r="AT402" s="668"/>
      <c r="AV402" s="670">
        <f t="shared" si="50"/>
        <v>776000</v>
      </c>
      <c r="AW402" s="670">
        <f t="shared" si="51"/>
        <v>283680</v>
      </c>
      <c r="AX402" s="671">
        <f t="shared" si="45"/>
        <v>0</v>
      </c>
    </row>
    <row r="403" spans="1:51">
      <c r="A403" s="664" t="s">
        <v>494</v>
      </c>
      <c r="B403" s="664"/>
      <c r="C403" s="664"/>
      <c r="D403" s="664">
        <v>1160505001</v>
      </c>
      <c r="E403" s="664">
        <v>0</v>
      </c>
      <c r="F403" s="664">
        <v>45782</v>
      </c>
      <c r="G403" s="665">
        <v>43487</v>
      </c>
      <c r="H403" s="665">
        <v>43852</v>
      </c>
      <c r="I403" s="664">
        <v>1420</v>
      </c>
      <c r="J403" s="666">
        <v>306185</v>
      </c>
      <c r="K403" s="666">
        <v>36743</v>
      </c>
      <c r="L403" s="666">
        <v>0</v>
      </c>
      <c r="M403" s="664" t="s">
        <v>495</v>
      </c>
      <c r="N403" s="666">
        <v>306185</v>
      </c>
      <c r="O403" s="666">
        <v>36743</v>
      </c>
      <c r="P403" s="666">
        <v>217391</v>
      </c>
      <c r="Q403" s="664">
        <v>1</v>
      </c>
      <c r="R403" s="664" t="s">
        <v>496</v>
      </c>
      <c r="S403" s="664">
        <v>100</v>
      </c>
      <c r="T403" s="666">
        <v>306185</v>
      </c>
      <c r="U403" s="666">
        <v>36743</v>
      </c>
      <c r="V403" s="664">
        <v>200</v>
      </c>
      <c r="W403" s="666">
        <v>947562</v>
      </c>
      <c r="X403" s="664">
        <v>14</v>
      </c>
      <c r="Y403" s="664">
        <v>1160902010</v>
      </c>
      <c r="Z403" s="664">
        <v>2023</v>
      </c>
      <c r="AA403" s="664">
        <v>12</v>
      </c>
      <c r="AB403" s="664">
        <v>5026003002</v>
      </c>
      <c r="AC403" s="664">
        <v>1160903005</v>
      </c>
      <c r="AD403" s="664">
        <v>0</v>
      </c>
      <c r="AE403" s="664">
        <v>0</v>
      </c>
      <c r="AF403" s="664">
        <v>0</v>
      </c>
      <c r="AG403" s="664">
        <v>1160605001</v>
      </c>
      <c r="AH403" s="664">
        <v>1724</v>
      </c>
      <c r="AI403" s="664" t="s">
        <v>497</v>
      </c>
      <c r="AJ403" s="667">
        <v>0.01</v>
      </c>
      <c r="AK403" s="668">
        <f t="shared" si="46"/>
        <v>3061.85</v>
      </c>
      <c r="AL403" s="668">
        <f t="shared" si="47"/>
        <v>3061.85</v>
      </c>
      <c r="AM403" s="668">
        <f t="shared" si="47"/>
        <v>3061.85</v>
      </c>
      <c r="AN403" s="668"/>
      <c r="AO403" s="668"/>
      <c r="AP403" s="668">
        <f t="shared" si="48"/>
        <v>183.715</v>
      </c>
      <c r="AQ403" s="668">
        <f t="shared" si="49"/>
        <v>183.715</v>
      </c>
      <c r="AR403" s="668">
        <f t="shared" si="49"/>
        <v>183.715</v>
      </c>
      <c r="AS403" s="668"/>
      <c r="AT403" s="668"/>
      <c r="AV403" s="670">
        <f t="shared" si="50"/>
        <v>296999.45000000007</v>
      </c>
      <c r="AW403" s="670">
        <f t="shared" si="51"/>
        <v>36191.85500000001</v>
      </c>
      <c r="AX403" s="671">
        <f t="shared" si="45"/>
        <v>0</v>
      </c>
    </row>
    <row r="404" spans="1:51">
      <c r="A404" s="664" t="s">
        <v>494</v>
      </c>
      <c r="B404" s="664"/>
      <c r="C404" s="664"/>
      <c r="D404" s="664">
        <v>1160505001</v>
      </c>
      <c r="E404" s="664">
        <v>0</v>
      </c>
      <c r="F404" s="664">
        <v>44958</v>
      </c>
      <c r="G404" s="665">
        <v>43295</v>
      </c>
      <c r="H404" s="665">
        <v>43660</v>
      </c>
      <c r="I404" s="664">
        <v>1608</v>
      </c>
      <c r="J404" s="666">
        <v>500000</v>
      </c>
      <c r="K404" s="666">
        <v>45000</v>
      </c>
      <c r="L404" s="666">
        <v>0</v>
      </c>
      <c r="M404" s="664" t="s">
        <v>495</v>
      </c>
      <c r="N404" s="666">
        <v>500000</v>
      </c>
      <c r="O404" s="666">
        <v>45000</v>
      </c>
      <c r="P404" s="666">
        <v>402000</v>
      </c>
      <c r="Q404" s="664">
        <v>1</v>
      </c>
      <c r="R404" s="664" t="s">
        <v>496</v>
      </c>
      <c r="S404" s="664">
        <v>100</v>
      </c>
      <c r="T404" s="666">
        <v>500000</v>
      </c>
      <c r="U404" s="666">
        <v>45000</v>
      </c>
      <c r="V404" s="664">
        <v>300</v>
      </c>
      <c r="W404" s="666">
        <v>424692</v>
      </c>
      <c r="X404" s="664">
        <v>2</v>
      </c>
      <c r="Y404" s="664">
        <v>1160902010</v>
      </c>
      <c r="Z404" s="664">
        <v>2023</v>
      </c>
      <c r="AA404" s="664">
        <v>12</v>
      </c>
      <c r="AB404" s="664">
        <v>5026003002</v>
      </c>
      <c r="AC404" s="664">
        <v>1160903005</v>
      </c>
      <c r="AD404" s="664">
        <v>0</v>
      </c>
      <c r="AE404" s="664">
        <v>0</v>
      </c>
      <c r="AF404" s="664">
        <v>0</v>
      </c>
      <c r="AG404" s="664">
        <v>1160605001</v>
      </c>
      <c r="AH404" s="664">
        <v>1608</v>
      </c>
      <c r="AI404" s="664" t="s">
        <v>497</v>
      </c>
      <c r="AJ404" s="667">
        <v>0.01</v>
      </c>
      <c r="AK404" s="668">
        <f t="shared" si="46"/>
        <v>5000</v>
      </c>
      <c r="AL404" s="668">
        <f t="shared" si="47"/>
        <v>5000</v>
      </c>
      <c r="AM404" s="668">
        <f t="shared" si="47"/>
        <v>5000</v>
      </c>
      <c r="AN404" s="668"/>
      <c r="AO404" s="668"/>
      <c r="AP404" s="668">
        <f t="shared" si="48"/>
        <v>225</v>
      </c>
      <c r="AQ404" s="668">
        <f t="shared" si="49"/>
        <v>225</v>
      </c>
      <c r="AR404" s="668">
        <f t="shared" si="49"/>
        <v>225</v>
      </c>
      <c r="AS404" s="668"/>
      <c r="AT404" s="668"/>
      <c r="AV404" s="670">
        <f t="shared" si="50"/>
        <v>485000</v>
      </c>
      <c r="AW404" s="670">
        <f t="shared" si="51"/>
        <v>44325</v>
      </c>
      <c r="AX404" s="671">
        <f t="shared" si="45"/>
        <v>0</v>
      </c>
    </row>
    <row r="405" spans="1:51">
      <c r="A405" s="664" t="s">
        <v>494</v>
      </c>
      <c r="B405" s="664"/>
      <c r="C405" s="664"/>
      <c r="D405" s="664">
        <v>1160505001</v>
      </c>
      <c r="E405" s="664">
        <v>0</v>
      </c>
      <c r="F405" s="664">
        <v>46017</v>
      </c>
      <c r="G405" s="665">
        <v>43506</v>
      </c>
      <c r="H405" s="665">
        <v>44602</v>
      </c>
      <c r="I405" s="664">
        <v>682</v>
      </c>
      <c r="J405" s="666">
        <v>1400000</v>
      </c>
      <c r="K405" s="666">
        <v>504000</v>
      </c>
      <c r="L405" s="666">
        <v>0</v>
      </c>
      <c r="M405" s="664" t="s">
        <v>495</v>
      </c>
      <c r="N405" s="666">
        <v>1400000</v>
      </c>
      <c r="O405" s="666">
        <v>504000</v>
      </c>
      <c r="P405" s="666">
        <v>477400</v>
      </c>
      <c r="Q405" s="664">
        <v>1</v>
      </c>
      <c r="R405" s="664" t="s">
        <v>496</v>
      </c>
      <c r="S405" s="664">
        <v>100</v>
      </c>
      <c r="T405" s="666">
        <v>1400000</v>
      </c>
      <c r="U405" s="666">
        <v>504000</v>
      </c>
      <c r="V405" s="664">
        <v>300</v>
      </c>
      <c r="W405" s="666">
        <v>424692</v>
      </c>
      <c r="X405" s="664">
        <v>2</v>
      </c>
      <c r="Y405" s="664">
        <v>1160902010</v>
      </c>
      <c r="Z405" s="664">
        <v>2023</v>
      </c>
      <c r="AA405" s="664">
        <v>12</v>
      </c>
      <c r="AB405" s="664">
        <v>5026003002</v>
      </c>
      <c r="AC405" s="664">
        <v>1160903005</v>
      </c>
      <c r="AD405" s="664">
        <v>0</v>
      </c>
      <c r="AE405" s="664">
        <v>0</v>
      </c>
      <c r="AF405" s="664">
        <v>0</v>
      </c>
      <c r="AG405" s="664">
        <v>1160605001</v>
      </c>
      <c r="AH405" s="664">
        <v>1608</v>
      </c>
      <c r="AI405" s="664" t="s">
        <v>497</v>
      </c>
      <c r="AJ405" s="667">
        <v>0.01</v>
      </c>
      <c r="AK405" s="668">
        <f t="shared" si="46"/>
        <v>14000</v>
      </c>
      <c r="AL405" s="668">
        <f t="shared" si="47"/>
        <v>14000</v>
      </c>
      <c r="AM405" s="668">
        <f t="shared" si="47"/>
        <v>14000</v>
      </c>
      <c r="AN405" s="668"/>
      <c r="AO405" s="668"/>
      <c r="AP405" s="668">
        <f t="shared" si="48"/>
        <v>2520</v>
      </c>
      <c r="AQ405" s="668">
        <f t="shared" si="49"/>
        <v>2520</v>
      </c>
      <c r="AR405" s="668">
        <f t="shared" si="49"/>
        <v>2520</v>
      </c>
      <c r="AS405" s="668"/>
      <c r="AT405" s="668"/>
      <c r="AV405" s="670">
        <f t="shared" si="50"/>
        <v>1358000</v>
      </c>
      <c r="AW405" s="670">
        <f t="shared" si="51"/>
        <v>496440</v>
      </c>
      <c r="AX405" s="671">
        <f t="shared" si="45"/>
        <v>0</v>
      </c>
    </row>
    <row r="406" spans="1:51">
      <c r="A406" s="664" t="s">
        <v>494</v>
      </c>
      <c r="B406" s="664"/>
      <c r="C406" s="664"/>
      <c r="D406" s="664">
        <v>1160505001</v>
      </c>
      <c r="E406" s="664">
        <v>0</v>
      </c>
      <c r="F406" s="664">
        <v>45471</v>
      </c>
      <c r="G406" s="665">
        <v>43429</v>
      </c>
      <c r="H406" s="665">
        <v>43794</v>
      </c>
      <c r="I406" s="664">
        <v>1477</v>
      </c>
      <c r="J406" s="666">
        <v>2789720</v>
      </c>
      <c r="K406" s="666">
        <v>0</v>
      </c>
      <c r="L406" s="666">
        <v>0</v>
      </c>
      <c r="M406" s="664" t="s">
        <v>495</v>
      </c>
      <c r="N406" s="666">
        <v>2789720</v>
      </c>
      <c r="O406" s="666">
        <v>0</v>
      </c>
      <c r="P406" s="666">
        <v>2060208</v>
      </c>
      <c r="Q406" s="664">
        <v>1</v>
      </c>
      <c r="R406" s="664" t="s">
        <v>496</v>
      </c>
      <c r="S406" s="664">
        <v>100</v>
      </c>
      <c r="T406" s="666">
        <v>2789720</v>
      </c>
      <c r="U406" s="666">
        <v>0</v>
      </c>
      <c r="V406" s="664">
        <v>200</v>
      </c>
      <c r="W406" s="666">
        <v>4056487</v>
      </c>
      <c r="X406" s="664">
        <v>2</v>
      </c>
      <c r="Y406" s="664">
        <v>1160902010</v>
      </c>
      <c r="Z406" s="664">
        <v>2023</v>
      </c>
      <c r="AA406" s="664">
        <v>12</v>
      </c>
      <c r="AB406" s="664">
        <v>5026003002</v>
      </c>
      <c r="AC406" s="664">
        <v>1160903005</v>
      </c>
      <c r="AD406" s="664">
        <v>0</v>
      </c>
      <c r="AE406" s="664">
        <v>0</v>
      </c>
      <c r="AF406" s="664">
        <v>0</v>
      </c>
      <c r="AG406" s="664">
        <v>1160605001</v>
      </c>
      <c r="AH406" s="664">
        <v>1477</v>
      </c>
      <c r="AI406" s="664" t="s">
        <v>497</v>
      </c>
      <c r="AJ406" s="667">
        <v>0.01</v>
      </c>
      <c r="AK406" s="668">
        <f t="shared" si="46"/>
        <v>27897.200000000001</v>
      </c>
      <c r="AL406" s="668">
        <f t="shared" si="47"/>
        <v>27897.200000000001</v>
      </c>
      <c r="AM406" s="668">
        <f t="shared" si="47"/>
        <v>27897.200000000001</v>
      </c>
      <c r="AN406" s="668"/>
      <c r="AO406" s="668"/>
      <c r="AP406" s="668">
        <f t="shared" si="48"/>
        <v>0</v>
      </c>
      <c r="AQ406" s="668">
        <f t="shared" si="49"/>
        <v>0</v>
      </c>
      <c r="AR406" s="668">
        <f t="shared" si="49"/>
        <v>0</v>
      </c>
      <c r="AS406" s="668"/>
      <c r="AT406" s="668"/>
      <c r="AV406" s="670">
        <f t="shared" si="50"/>
        <v>2706028.3999999994</v>
      </c>
      <c r="AW406" s="670">
        <f t="shared" si="51"/>
        <v>0</v>
      </c>
      <c r="AX406" s="671">
        <f t="shared" si="45"/>
        <v>0</v>
      </c>
    </row>
    <row r="407" spans="1:51">
      <c r="A407" s="664" t="s">
        <v>494</v>
      </c>
      <c r="B407" s="664"/>
      <c r="C407" s="664"/>
      <c r="D407" s="664">
        <v>1160505004</v>
      </c>
      <c r="E407" s="664">
        <v>31582</v>
      </c>
      <c r="F407" s="664">
        <v>39067</v>
      </c>
      <c r="G407" s="665">
        <v>42400</v>
      </c>
      <c r="H407" s="665">
        <v>43496</v>
      </c>
      <c r="I407" s="664">
        <v>1772</v>
      </c>
      <c r="J407" s="666">
        <v>6770659</v>
      </c>
      <c r="K407" s="666">
        <v>1659178</v>
      </c>
      <c r="L407" s="666">
        <v>0</v>
      </c>
      <c r="M407" s="664" t="s">
        <v>495</v>
      </c>
      <c r="N407" s="666">
        <v>6770659</v>
      </c>
      <c r="O407" s="666">
        <v>1659178</v>
      </c>
      <c r="P407" s="666">
        <v>5998804</v>
      </c>
      <c r="Q407" s="664">
        <v>1</v>
      </c>
      <c r="R407" s="664" t="s">
        <v>496</v>
      </c>
      <c r="S407" s="664">
        <v>100</v>
      </c>
      <c r="T407" s="666">
        <v>6770659</v>
      </c>
      <c r="U407" s="666">
        <v>1659178</v>
      </c>
      <c r="V407" s="664">
        <v>200</v>
      </c>
      <c r="W407" s="666">
        <v>10751506</v>
      </c>
      <c r="X407" s="664">
        <v>5</v>
      </c>
      <c r="Y407" s="664">
        <v>1160902010</v>
      </c>
      <c r="Z407" s="664">
        <v>2023</v>
      </c>
      <c r="AA407" s="664">
        <v>12</v>
      </c>
      <c r="AB407" s="664">
        <v>5026003002</v>
      </c>
      <c r="AC407" s="664">
        <v>1160903005</v>
      </c>
      <c r="AD407" s="664">
        <v>0</v>
      </c>
      <c r="AE407" s="664">
        <v>0</v>
      </c>
      <c r="AF407" s="664">
        <v>0</v>
      </c>
      <c r="AG407" s="664">
        <v>1160605001</v>
      </c>
      <c r="AH407" s="664">
        <v>1772</v>
      </c>
      <c r="AI407" s="664" t="s">
        <v>503</v>
      </c>
      <c r="AJ407" s="667">
        <v>0</v>
      </c>
      <c r="AK407" s="668">
        <f t="shared" si="46"/>
        <v>0</v>
      </c>
      <c r="AL407" s="668">
        <f t="shared" si="47"/>
        <v>0</v>
      </c>
      <c r="AM407" s="668">
        <f t="shared" si="47"/>
        <v>0</v>
      </c>
      <c r="AN407" s="668"/>
      <c r="AO407" s="668"/>
      <c r="AP407" s="668">
        <f t="shared" si="48"/>
        <v>0</v>
      </c>
      <c r="AQ407" s="668">
        <f t="shared" si="49"/>
        <v>0</v>
      </c>
      <c r="AR407" s="668">
        <f t="shared" si="49"/>
        <v>0</v>
      </c>
      <c r="AS407" s="668"/>
      <c r="AT407" s="668"/>
      <c r="AV407" s="670">
        <f t="shared" si="50"/>
        <v>6770659</v>
      </c>
      <c r="AW407" s="670">
        <f t="shared" si="51"/>
        <v>1659178</v>
      </c>
      <c r="AX407" s="671">
        <f t="shared" si="45"/>
        <v>0</v>
      </c>
    </row>
    <row r="408" spans="1:51">
      <c r="A408" s="664" t="s">
        <v>494</v>
      </c>
      <c r="B408" s="664"/>
      <c r="C408" s="664"/>
      <c r="D408" s="664">
        <v>1160505001</v>
      </c>
      <c r="E408" s="664">
        <v>0</v>
      </c>
      <c r="F408" s="664">
        <v>46559</v>
      </c>
      <c r="G408" s="665">
        <v>43564</v>
      </c>
      <c r="H408" s="665">
        <v>44660</v>
      </c>
      <c r="I408" s="664">
        <v>623</v>
      </c>
      <c r="J408" s="666">
        <v>35000000</v>
      </c>
      <c r="K408" s="666">
        <v>15750000</v>
      </c>
      <c r="L408" s="666">
        <v>0</v>
      </c>
      <c r="M408" s="664" t="s">
        <v>495</v>
      </c>
      <c r="N408" s="666">
        <v>35000000</v>
      </c>
      <c r="O408" s="666">
        <v>15750000</v>
      </c>
      <c r="P408" s="666">
        <v>10902500</v>
      </c>
      <c r="Q408" s="664">
        <v>1</v>
      </c>
      <c r="R408" s="664" t="s">
        <v>496</v>
      </c>
      <c r="S408" s="664">
        <v>100</v>
      </c>
      <c r="T408" s="666">
        <v>35000000</v>
      </c>
      <c r="U408" s="666">
        <v>15750000</v>
      </c>
      <c r="V408" s="664">
        <v>300</v>
      </c>
      <c r="W408" s="666">
        <v>19479072</v>
      </c>
      <c r="X408" s="664">
        <v>2</v>
      </c>
      <c r="Y408" s="664">
        <v>1160902010</v>
      </c>
      <c r="Z408" s="664">
        <v>2023</v>
      </c>
      <c r="AA408" s="664">
        <v>12</v>
      </c>
      <c r="AB408" s="664">
        <v>5026003002</v>
      </c>
      <c r="AC408" s="664">
        <v>1160903005</v>
      </c>
      <c r="AD408" s="664">
        <v>0</v>
      </c>
      <c r="AE408" s="664">
        <v>0</v>
      </c>
      <c r="AF408" s="664">
        <v>0</v>
      </c>
      <c r="AG408" s="664">
        <v>1160605001</v>
      </c>
      <c r="AH408" s="664">
        <v>623</v>
      </c>
      <c r="AI408" s="664" t="s">
        <v>498</v>
      </c>
      <c r="AJ408" s="667">
        <v>0.1</v>
      </c>
      <c r="AK408" s="668">
        <f t="shared" si="46"/>
        <v>3500000</v>
      </c>
      <c r="AL408" s="668">
        <f t="shared" si="47"/>
        <v>3500000</v>
      </c>
      <c r="AM408" s="668">
        <f t="shared" si="47"/>
        <v>3500000</v>
      </c>
      <c r="AN408" s="668"/>
      <c r="AO408" s="668"/>
      <c r="AP408" s="668">
        <f t="shared" si="48"/>
        <v>787500</v>
      </c>
      <c r="AQ408" s="668">
        <f t="shared" si="49"/>
        <v>787500</v>
      </c>
      <c r="AR408" s="668">
        <f t="shared" si="49"/>
        <v>787500</v>
      </c>
      <c r="AS408" s="668"/>
      <c r="AT408" s="668"/>
      <c r="AV408" s="670">
        <f t="shared" si="50"/>
        <v>24500000</v>
      </c>
      <c r="AW408" s="670">
        <f t="shared" si="51"/>
        <v>13387500</v>
      </c>
      <c r="AX408" s="671">
        <f t="shared" si="45"/>
        <v>0</v>
      </c>
    </row>
    <row r="409" spans="1:51">
      <c r="A409" s="664" t="s">
        <v>504</v>
      </c>
      <c r="B409" s="664"/>
      <c r="C409" s="664"/>
      <c r="D409" s="664">
        <v>1160405001</v>
      </c>
      <c r="E409" s="664">
        <v>0</v>
      </c>
      <c r="F409" s="664">
        <v>44595</v>
      </c>
      <c r="G409" s="665">
        <v>43248</v>
      </c>
      <c r="H409" s="665">
        <v>44344</v>
      </c>
      <c r="I409" s="664">
        <v>934</v>
      </c>
      <c r="J409" s="666">
        <v>52220000</v>
      </c>
      <c r="K409" s="666">
        <v>0</v>
      </c>
      <c r="L409" s="666">
        <v>22921895</v>
      </c>
      <c r="M409" s="664" t="s">
        <v>495</v>
      </c>
      <c r="N409" s="666">
        <v>29298105</v>
      </c>
      <c r="O409" s="666">
        <v>0</v>
      </c>
      <c r="P409" s="666">
        <v>24386740</v>
      </c>
      <c r="Q409" s="664">
        <v>2</v>
      </c>
      <c r="R409" s="664" t="s">
        <v>496</v>
      </c>
      <c r="S409" s="664">
        <v>100</v>
      </c>
      <c r="T409" s="666">
        <v>29298105</v>
      </c>
      <c r="U409" s="666">
        <v>0</v>
      </c>
      <c r="V409" s="664">
        <v>100</v>
      </c>
      <c r="W409" s="666">
        <v>44081811</v>
      </c>
      <c r="X409" s="664">
        <v>2</v>
      </c>
      <c r="Y409" s="664">
        <v>1160902009</v>
      </c>
      <c r="Z409" s="664">
        <v>2023</v>
      </c>
      <c r="AA409" s="664">
        <v>12</v>
      </c>
      <c r="AB409" s="664">
        <v>5026003002</v>
      </c>
      <c r="AC409" s="664">
        <v>1160903005</v>
      </c>
      <c r="AD409" s="664">
        <v>0</v>
      </c>
      <c r="AE409" s="664">
        <v>0</v>
      </c>
      <c r="AF409" s="664">
        <v>1</v>
      </c>
      <c r="AG409" s="664">
        <v>1160605001</v>
      </c>
      <c r="AH409" s="664">
        <v>934</v>
      </c>
      <c r="AI409" s="664" t="s">
        <v>499</v>
      </c>
      <c r="AJ409" s="667">
        <v>0.05</v>
      </c>
      <c r="AK409" s="668">
        <f t="shared" si="46"/>
        <v>2611000</v>
      </c>
      <c r="AL409" s="668">
        <f t="shared" si="47"/>
        <v>2611000</v>
      </c>
      <c r="AM409" s="668">
        <f t="shared" si="47"/>
        <v>2611000</v>
      </c>
      <c r="AN409" s="668"/>
      <c r="AO409" s="668"/>
      <c r="AP409" s="668">
        <f t="shared" si="48"/>
        <v>0</v>
      </c>
      <c r="AQ409" s="668">
        <f t="shared" si="49"/>
        <v>0</v>
      </c>
      <c r="AR409" s="668">
        <f t="shared" si="49"/>
        <v>0</v>
      </c>
      <c r="AS409" s="668"/>
      <c r="AT409" s="668"/>
      <c r="AV409" s="670">
        <f t="shared" si="50"/>
        <v>44387000</v>
      </c>
      <c r="AW409" s="670">
        <f t="shared" si="51"/>
        <v>0</v>
      </c>
      <c r="AX409" s="671">
        <f t="shared" si="45"/>
        <v>22921895</v>
      </c>
      <c r="AY409" s="671">
        <f>+AX409-L409</f>
        <v>0</v>
      </c>
    </row>
    <row r="410" spans="1:51">
      <c r="A410" s="664" t="s">
        <v>504</v>
      </c>
      <c r="B410" s="664"/>
      <c r="C410" s="664"/>
      <c r="D410" s="664">
        <v>1160405001</v>
      </c>
      <c r="E410" s="664">
        <v>0</v>
      </c>
      <c r="F410" s="664">
        <v>46946</v>
      </c>
      <c r="G410" s="665">
        <v>43636</v>
      </c>
      <c r="H410" s="665">
        <v>44732</v>
      </c>
      <c r="I410" s="664">
        <v>552</v>
      </c>
      <c r="J410" s="666">
        <v>32000000</v>
      </c>
      <c r="K410" s="666">
        <v>2730666</v>
      </c>
      <c r="L410" s="666">
        <v>14046355</v>
      </c>
      <c r="M410" s="664" t="s">
        <v>495</v>
      </c>
      <c r="N410" s="666">
        <v>17953645</v>
      </c>
      <c r="O410" s="666">
        <v>2730666</v>
      </c>
      <c r="P410" s="666">
        <v>8832000</v>
      </c>
      <c r="Q410" s="664">
        <v>2</v>
      </c>
      <c r="R410" s="664" t="s">
        <v>496</v>
      </c>
      <c r="S410" s="664">
        <v>100</v>
      </c>
      <c r="T410" s="666">
        <v>17953645</v>
      </c>
      <c r="U410" s="666">
        <v>2730666</v>
      </c>
      <c r="V410" s="664">
        <v>100</v>
      </c>
      <c r="W410" s="666">
        <v>44081811</v>
      </c>
      <c r="X410" s="664">
        <v>2</v>
      </c>
      <c r="Y410" s="664">
        <v>1160902009</v>
      </c>
      <c r="Z410" s="664">
        <v>2023</v>
      </c>
      <c r="AA410" s="664">
        <v>12</v>
      </c>
      <c r="AB410" s="664">
        <v>5026003002</v>
      </c>
      <c r="AC410" s="664">
        <v>1160903005</v>
      </c>
      <c r="AD410" s="664">
        <v>0</v>
      </c>
      <c r="AE410" s="664">
        <v>0</v>
      </c>
      <c r="AF410" s="664">
        <v>1</v>
      </c>
      <c r="AG410" s="664">
        <v>1160605001</v>
      </c>
      <c r="AH410" s="664">
        <v>934</v>
      </c>
      <c r="AI410" s="664" t="s">
        <v>499</v>
      </c>
      <c r="AJ410" s="667">
        <v>0.05</v>
      </c>
      <c r="AK410" s="668">
        <f t="shared" si="46"/>
        <v>1600000</v>
      </c>
      <c r="AL410" s="668">
        <f t="shared" si="47"/>
        <v>1600000</v>
      </c>
      <c r="AM410" s="668">
        <f t="shared" si="47"/>
        <v>1600000</v>
      </c>
      <c r="AN410" s="668"/>
      <c r="AO410" s="668"/>
      <c r="AP410" s="668">
        <f t="shared" si="48"/>
        <v>68266.650000000009</v>
      </c>
      <c r="AQ410" s="668">
        <f t="shared" si="49"/>
        <v>68266.650000000009</v>
      </c>
      <c r="AR410" s="668">
        <f t="shared" si="49"/>
        <v>68266.650000000009</v>
      </c>
      <c r="AS410" s="668"/>
      <c r="AT410" s="668"/>
      <c r="AV410" s="670">
        <f t="shared" si="50"/>
        <v>27200000</v>
      </c>
      <c r="AW410" s="670">
        <f t="shared" si="51"/>
        <v>2525866.0500000003</v>
      </c>
      <c r="AX410" s="671">
        <f t="shared" si="45"/>
        <v>14046355</v>
      </c>
      <c r="AY410" s="671">
        <f>+AX410-L410</f>
        <v>0</v>
      </c>
    </row>
    <row r="411" spans="1:51">
      <c r="A411" s="664" t="s">
        <v>494</v>
      </c>
      <c r="B411" s="664"/>
      <c r="C411" s="664"/>
      <c r="D411" s="664">
        <v>1160505001</v>
      </c>
      <c r="E411" s="664">
        <v>0</v>
      </c>
      <c r="F411" s="664">
        <v>45192</v>
      </c>
      <c r="G411" s="665">
        <v>43325</v>
      </c>
      <c r="H411" s="665">
        <v>44056</v>
      </c>
      <c r="I411" s="664">
        <v>1219</v>
      </c>
      <c r="J411" s="666">
        <v>4500000</v>
      </c>
      <c r="K411" s="666">
        <v>1080000</v>
      </c>
      <c r="L411" s="666">
        <v>0</v>
      </c>
      <c r="M411" s="664" t="s">
        <v>495</v>
      </c>
      <c r="N411" s="666">
        <v>4500000</v>
      </c>
      <c r="O411" s="666">
        <v>1080000</v>
      </c>
      <c r="P411" s="666">
        <v>2742750</v>
      </c>
      <c r="Q411" s="664">
        <v>1</v>
      </c>
      <c r="R411" s="664" t="s">
        <v>496</v>
      </c>
      <c r="S411" s="664">
        <v>100</v>
      </c>
      <c r="T411" s="666">
        <v>4500000</v>
      </c>
      <c r="U411" s="666">
        <v>1080000</v>
      </c>
      <c r="V411" s="664">
        <v>200</v>
      </c>
      <c r="W411" s="666">
        <v>1159440</v>
      </c>
      <c r="X411" s="664">
        <v>2</v>
      </c>
      <c r="Y411" s="664">
        <v>1160902010</v>
      </c>
      <c r="Z411" s="664">
        <v>2023</v>
      </c>
      <c r="AA411" s="664">
        <v>12</v>
      </c>
      <c r="AB411" s="664">
        <v>5026003002</v>
      </c>
      <c r="AC411" s="664">
        <v>1160903005</v>
      </c>
      <c r="AD411" s="664">
        <v>0</v>
      </c>
      <c r="AE411" s="664">
        <v>0</v>
      </c>
      <c r="AF411" s="664">
        <v>0</v>
      </c>
      <c r="AG411" s="664">
        <v>1160605001</v>
      </c>
      <c r="AH411" s="664">
        <v>1219</v>
      </c>
      <c r="AI411" s="664" t="s">
        <v>497</v>
      </c>
      <c r="AJ411" s="667">
        <v>0.01</v>
      </c>
      <c r="AK411" s="668">
        <f t="shared" si="46"/>
        <v>45000</v>
      </c>
      <c r="AL411" s="668">
        <f t="shared" si="47"/>
        <v>45000</v>
      </c>
      <c r="AM411" s="668">
        <f t="shared" si="47"/>
        <v>45000</v>
      </c>
      <c r="AN411" s="668"/>
      <c r="AO411" s="668"/>
      <c r="AP411" s="668">
        <f t="shared" si="48"/>
        <v>5400</v>
      </c>
      <c r="AQ411" s="668">
        <f t="shared" si="49"/>
        <v>5400</v>
      </c>
      <c r="AR411" s="668">
        <f t="shared" si="49"/>
        <v>5400</v>
      </c>
      <c r="AS411" s="668"/>
      <c r="AT411" s="668"/>
      <c r="AV411" s="670">
        <f t="shared" si="50"/>
        <v>4365000</v>
      </c>
      <c r="AW411" s="670">
        <f t="shared" si="51"/>
        <v>1063800</v>
      </c>
      <c r="AX411" s="671">
        <f t="shared" si="45"/>
        <v>0</v>
      </c>
    </row>
    <row r="412" spans="1:51">
      <c r="A412" s="664" t="s">
        <v>494</v>
      </c>
      <c r="B412" s="664"/>
      <c r="C412" s="664"/>
      <c r="D412" s="664">
        <v>1160501001</v>
      </c>
      <c r="E412" s="664">
        <v>0</v>
      </c>
      <c r="F412" s="664">
        <v>46019</v>
      </c>
      <c r="G412" s="665">
        <v>43506</v>
      </c>
      <c r="H412" s="665">
        <v>45698</v>
      </c>
      <c r="I412" s="664">
        <v>0</v>
      </c>
      <c r="J412" s="666">
        <v>2360000</v>
      </c>
      <c r="K412" s="666">
        <v>425980</v>
      </c>
      <c r="L412" s="666">
        <v>0</v>
      </c>
      <c r="M412" s="664" t="s">
        <v>495</v>
      </c>
      <c r="N412" s="666">
        <v>0</v>
      </c>
      <c r="O412" s="666">
        <v>0</v>
      </c>
      <c r="P412" s="666">
        <v>0</v>
      </c>
      <c r="Q412" s="664">
        <v>1</v>
      </c>
      <c r="R412" s="664" t="s">
        <v>502</v>
      </c>
      <c r="S412" s="664">
        <v>0</v>
      </c>
      <c r="T412" s="666">
        <v>0</v>
      </c>
      <c r="U412" s="666">
        <v>0</v>
      </c>
      <c r="V412" s="664">
        <v>100</v>
      </c>
      <c r="W412" s="666">
        <v>4636169</v>
      </c>
      <c r="X412" s="664">
        <v>16</v>
      </c>
      <c r="Y412" s="664">
        <v>1160902002</v>
      </c>
      <c r="Z412" s="664">
        <v>2023</v>
      </c>
      <c r="AA412" s="664">
        <v>12</v>
      </c>
      <c r="AB412" s="664">
        <v>5026003002</v>
      </c>
      <c r="AC412" s="664">
        <v>1160903001</v>
      </c>
      <c r="AD412" s="664">
        <v>0</v>
      </c>
      <c r="AE412" s="664">
        <v>0</v>
      </c>
      <c r="AF412" s="664">
        <v>0</v>
      </c>
      <c r="AG412" s="664">
        <v>1160601004</v>
      </c>
      <c r="AH412" s="664">
        <v>0</v>
      </c>
      <c r="AI412" s="664" t="s">
        <v>500</v>
      </c>
      <c r="AJ412" s="667">
        <v>0.3</v>
      </c>
      <c r="AK412" s="668">
        <f t="shared" si="46"/>
        <v>708000</v>
      </c>
      <c r="AL412" s="668">
        <f t="shared" si="47"/>
        <v>708000</v>
      </c>
      <c r="AM412" s="668">
        <f t="shared" si="47"/>
        <v>708000</v>
      </c>
      <c r="AN412" s="668"/>
      <c r="AO412" s="668"/>
      <c r="AP412" s="668">
        <f t="shared" si="48"/>
        <v>63897</v>
      </c>
      <c r="AQ412" s="668">
        <f t="shared" si="49"/>
        <v>63897</v>
      </c>
      <c r="AR412" s="668">
        <f t="shared" si="49"/>
        <v>63897</v>
      </c>
      <c r="AS412" s="668"/>
      <c r="AT412" s="668"/>
      <c r="AV412" s="670">
        <f t="shared" si="50"/>
        <v>236000</v>
      </c>
      <c r="AW412" s="670">
        <f t="shared" si="51"/>
        <v>234289</v>
      </c>
      <c r="AX412" s="671">
        <f t="shared" si="45"/>
        <v>2360000</v>
      </c>
      <c r="AY412" s="671">
        <f>+AX412-L412</f>
        <v>2360000</v>
      </c>
    </row>
    <row r="413" spans="1:51">
      <c r="A413" s="664" t="s">
        <v>494</v>
      </c>
      <c r="B413" s="664"/>
      <c r="C413" s="664"/>
      <c r="D413" s="664">
        <v>1160501001</v>
      </c>
      <c r="E413" s="664">
        <v>0</v>
      </c>
      <c r="F413" s="664">
        <v>47016</v>
      </c>
      <c r="G413" s="665">
        <v>43646</v>
      </c>
      <c r="H413" s="665">
        <v>45838</v>
      </c>
      <c r="I413" s="664">
        <v>0</v>
      </c>
      <c r="J413" s="666">
        <v>1052000</v>
      </c>
      <c r="K413" s="666">
        <v>189886</v>
      </c>
      <c r="L413" s="666">
        <v>0</v>
      </c>
      <c r="M413" s="664" t="s">
        <v>495</v>
      </c>
      <c r="N413" s="666">
        <v>0</v>
      </c>
      <c r="O413" s="666">
        <v>0</v>
      </c>
      <c r="P413" s="666">
        <v>0</v>
      </c>
      <c r="Q413" s="664">
        <v>1</v>
      </c>
      <c r="R413" s="664" t="s">
        <v>502</v>
      </c>
      <c r="S413" s="664">
        <v>0</v>
      </c>
      <c r="T413" s="666">
        <v>0</v>
      </c>
      <c r="U413" s="666">
        <v>0</v>
      </c>
      <c r="V413" s="664">
        <v>100</v>
      </c>
      <c r="W413" s="666">
        <v>4636169</v>
      </c>
      <c r="X413" s="664">
        <v>16</v>
      </c>
      <c r="Y413" s="664">
        <v>1160902002</v>
      </c>
      <c r="Z413" s="664">
        <v>2023</v>
      </c>
      <c r="AA413" s="664">
        <v>12</v>
      </c>
      <c r="AB413" s="664">
        <v>5026003002</v>
      </c>
      <c r="AC413" s="664">
        <v>1160903001</v>
      </c>
      <c r="AD413" s="664">
        <v>0</v>
      </c>
      <c r="AE413" s="664">
        <v>0</v>
      </c>
      <c r="AF413" s="664">
        <v>0</v>
      </c>
      <c r="AG413" s="664">
        <v>1160601004</v>
      </c>
      <c r="AH413" s="664">
        <v>0</v>
      </c>
      <c r="AI413" s="664" t="s">
        <v>500</v>
      </c>
      <c r="AJ413" s="667">
        <v>0.3</v>
      </c>
      <c r="AK413" s="668">
        <f t="shared" si="46"/>
        <v>315600</v>
      </c>
      <c r="AL413" s="668">
        <f t="shared" si="47"/>
        <v>315600</v>
      </c>
      <c r="AM413" s="668">
        <f t="shared" si="47"/>
        <v>315600</v>
      </c>
      <c r="AN413" s="668"/>
      <c r="AO413" s="668"/>
      <c r="AP413" s="668">
        <f t="shared" si="48"/>
        <v>28482.899999999998</v>
      </c>
      <c r="AQ413" s="668">
        <f t="shared" si="49"/>
        <v>28482.899999999998</v>
      </c>
      <c r="AR413" s="668">
        <f t="shared" si="49"/>
        <v>28482.899999999998</v>
      </c>
      <c r="AS413" s="668"/>
      <c r="AT413" s="668"/>
      <c r="AV413" s="670">
        <f t="shared" si="50"/>
        <v>105200</v>
      </c>
      <c r="AW413" s="670">
        <f t="shared" si="51"/>
        <v>104437.30000000002</v>
      </c>
      <c r="AX413" s="671">
        <f t="shared" si="45"/>
        <v>1052000</v>
      </c>
      <c r="AY413" s="671">
        <f>+AX413-L413</f>
        <v>1052000</v>
      </c>
    </row>
    <row r="414" spans="1:51">
      <c r="A414" s="664" t="s">
        <v>494</v>
      </c>
      <c r="B414" s="664"/>
      <c r="C414" s="664"/>
      <c r="D414" s="664">
        <v>1160501001</v>
      </c>
      <c r="E414" s="664">
        <v>0</v>
      </c>
      <c r="F414" s="664">
        <v>47344</v>
      </c>
      <c r="G414" s="665">
        <v>43891</v>
      </c>
      <c r="H414" s="665">
        <v>46082</v>
      </c>
      <c r="I414" s="664">
        <v>0</v>
      </c>
      <c r="J414" s="666">
        <v>1841700</v>
      </c>
      <c r="K414" s="666">
        <v>332445</v>
      </c>
      <c r="L414" s="666">
        <v>0</v>
      </c>
      <c r="M414" s="664" t="s">
        <v>495</v>
      </c>
      <c r="N414" s="666">
        <v>0</v>
      </c>
      <c r="O414" s="666">
        <v>0</v>
      </c>
      <c r="P414" s="666">
        <v>0</v>
      </c>
      <c r="Q414" s="664">
        <v>1</v>
      </c>
      <c r="R414" s="664" t="s">
        <v>502</v>
      </c>
      <c r="S414" s="664">
        <v>0</v>
      </c>
      <c r="T414" s="666">
        <v>0</v>
      </c>
      <c r="U414" s="666">
        <v>0</v>
      </c>
      <c r="V414" s="664">
        <v>100</v>
      </c>
      <c r="W414" s="666">
        <v>4636169</v>
      </c>
      <c r="X414" s="664">
        <v>16</v>
      </c>
      <c r="Y414" s="664">
        <v>1160902002</v>
      </c>
      <c r="Z414" s="664">
        <v>2023</v>
      </c>
      <c r="AA414" s="664">
        <v>12</v>
      </c>
      <c r="AB414" s="664">
        <v>5026003002</v>
      </c>
      <c r="AC414" s="664">
        <v>1160903001</v>
      </c>
      <c r="AD414" s="664">
        <v>0</v>
      </c>
      <c r="AE414" s="664">
        <v>0</v>
      </c>
      <c r="AF414" s="664">
        <v>0</v>
      </c>
      <c r="AG414" s="664">
        <v>1160601004</v>
      </c>
      <c r="AH414" s="664">
        <v>0</v>
      </c>
      <c r="AI414" s="664" t="s">
        <v>500</v>
      </c>
      <c r="AJ414" s="667">
        <v>0.3</v>
      </c>
      <c r="AK414" s="668">
        <f t="shared" si="46"/>
        <v>552510</v>
      </c>
      <c r="AL414" s="668">
        <f t="shared" si="47"/>
        <v>552510</v>
      </c>
      <c r="AM414" s="668">
        <f t="shared" si="47"/>
        <v>552510</v>
      </c>
      <c r="AN414" s="668"/>
      <c r="AO414" s="668"/>
      <c r="AP414" s="668">
        <f t="shared" si="48"/>
        <v>49866.75</v>
      </c>
      <c r="AQ414" s="668">
        <f t="shared" si="49"/>
        <v>49866.75</v>
      </c>
      <c r="AR414" s="668">
        <f t="shared" si="49"/>
        <v>49866.75</v>
      </c>
      <c r="AS414" s="668"/>
      <c r="AT414" s="668"/>
      <c r="AV414" s="670">
        <f t="shared" si="50"/>
        <v>184170</v>
      </c>
      <c r="AW414" s="670">
        <f t="shared" si="51"/>
        <v>182844.75</v>
      </c>
      <c r="AX414" s="671">
        <f t="shared" si="45"/>
        <v>1841700</v>
      </c>
      <c r="AY414" s="671">
        <f>+AX414-L414</f>
        <v>1841700</v>
      </c>
    </row>
    <row r="415" spans="1:51">
      <c r="A415" s="664" t="s">
        <v>494</v>
      </c>
      <c r="B415" s="664"/>
      <c r="C415" s="664"/>
      <c r="D415" s="664">
        <v>1160501001</v>
      </c>
      <c r="E415" s="664">
        <v>0</v>
      </c>
      <c r="F415" s="664">
        <v>45612</v>
      </c>
      <c r="G415" s="665">
        <v>43462</v>
      </c>
      <c r="H415" s="665">
        <v>45288</v>
      </c>
      <c r="I415" s="664">
        <v>4</v>
      </c>
      <c r="J415" s="666">
        <v>9000000</v>
      </c>
      <c r="K415" s="666">
        <v>2389500</v>
      </c>
      <c r="L415" s="666">
        <v>0</v>
      </c>
      <c r="M415" s="664" t="s">
        <v>495</v>
      </c>
      <c r="N415" s="666">
        <v>9000000</v>
      </c>
      <c r="O415" s="666">
        <v>2389500</v>
      </c>
      <c r="P415" s="666">
        <v>18000</v>
      </c>
      <c r="Q415" s="664">
        <v>1</v>
      </c>
      <c r="R415" s="664" t="s">
        <v>502</v>
      </c>
      <c r="S415" s="664">
        <v>100</v>
      </c>
      <c r="T415" s="666">
        <v>9000000</v>
      </c>
      <c r="U415" s="666">
        <v>2389500</v>
      </c>
      <c r="V415" s="664">
        <v>100</v>
      </c>
      <c r="W415" s="666">
        <v>7840607</v>
      </c>
      <c r="X415" s="664">
        <v>14</v>
      </c>
      <c r="Y415" s="664">
        <v>1160902002</v>
      </c>
      <c r="Z415" s="664">
        <v>2023</v>
      </c>
      <c r="AA415" s="664">
        <v>12</v>
      </c>
      <c r="AB415" s="664">
        <v>5026003002</v>
      </c>
      <c r="AC415" s="664">
        <v>1160903001</v>
      </c>
      <c r="AD415" s="664">
        <v>0</v>
      </c>
      <c r="AE415" s="664">
        <v>0</v>
      </c>
      <c r="AF415" s="664">
        <v>0</v>
      </c>
      <c r="AG415" s="664">
        <v>1160601004</v>
      </c>
      <c r="AH415" s="664">
        <v>4</v>
      </c>
      <c r="AI415" s="664" t="s">
        <v>500</v>
      </c>
      <c r="AJ415" s="667">
        <v>0.3</v>
      </c>
      <c r="AK415" s="668">
        <f t="shared" si="46"/>
        <v>2700000</v>
      </c>
      <c r="AL415" s="668">
        <f t="shared" si="47"/>
        <v>2700000</v>
      </c>
      <c r="AM415" s="668">
        <f t="shared" si="47"/>
        <v>2700000</v>
      </c>
      <c r="AN415" s="668"/>
      <c r="AO415" s="668"/>
      <c r="AP415" s="668">
        <f t="shared" si="48"/>
        <v>358425</v>
      </c>
      <c r="AQ415" s="668">
        <f t="shared" si="49"/>
        <v>358425</v>
      </c>
      <c r="AR415" s="668">
        <f t="shared" si="49"/>
        <v>358425</v>
      </c>
      <c r="AS415" s="668"/>
      <c r="AT415" s="668"/>
      <c r="AV415" s="670">
        <f t="shared" si="50"/>
        <v>900000</v>
      </c>
      <c r="AW415" s="670">
        <f t="shared" si="51"/>
        <v>1314225</v>
      </c>
      <c r="AX415" s="671">
        <f t="shared" si="45"/>
        <v>0</v>
      </c>
    </row>
    <row r="416" spans="1:51">
      <c r="A416" s="664" t="s">
        <v>494</v>
      </c>
      <c r="B416" s="664"/>
      <c r="C416" s="664"/>
      <c r="D416" s="664">
        <v>1160501001</v>
      </c>
      <c r="E416" s="664">
        <v>0</v>
      </c>
      <c r="F416" s="664">
        <v>47021</v>
      </c>
      <c r="G416" s="665">
        <v>43646</v>
      </c>
      <c r="H416" s="665">
        <v>45838</v>
      </c>
      <c r="I416" s="664">
        <v>0</v>
      </c>
      <c r="J416" s="666">
        <v>2542000</v>
      </c>
      <c r="K416" s="666">
        <v>450781</v>
      </c>
      <c r="L416" s="666">
        <v>0</v>
      </c>
      <c r="M416" s="664" t="s">
        <v>495</v>
      </c>
      <c r="N416" s="666">
        <v>0</v>
      </c>
      <c r="O416" s="666">
        <v>0</v>
      </c>
      <c r="P416" s="666">
        <v>0</v>
      </c>
      <c r="Q416" s="664">
        <v>1</v>
      </c>
      <c r="R416" s="664" t="s">
        <v>502</v>
      </c>
      <c r="S416" s="664">
        <v>0</v>
      </c>
      <c r="T416" s="666">
        <v>0</v>
      </c>
      <c r="U416" s="666">
        <v>0</v>
      </c>
      <c r="V416" s="664">
        <v>100</v>
      </c>
      <c r="W416" s="666">
        <v>4234705</v>
      </c>
      <c r="X416" s="664">
        <v>16</v>
      </c>
      <c r="Y416" s="664">
        <v>1160902002</v>
      </c>
      <c r="Z416" s="664">
        <v>2023</v>
      </c>
      <c r="AA416" s="664">
        <v>12</v>
      </c>
      <c r="AB416" s="664">
        <v>5026003002</v>
      </c>
      <c r="AC416" s="664">
        <v>1160903001</v>
      </c>
      <c r="AD416" s="664">
        <v>0</v>
      </c>
      <c r="AE416" s="664">
        <v>0</v>
      </c>
      <c r="AF416" s="664">
        <v>0</v>
      </c>
      <c r="AG416" s="664">
        <v>1160601004</v>
      </c>
      <c r="AH416" s="664">
        <v>0</v>
      </c>
      <c r="AI416" s="664" t="s">
        <v>500</v>
      </c>
      <c r="AJ416" s="667">
        <v>0.3</v>
      </c>
      <c r="AK416" s="668">
        <f t="shared" si="46"/>
        <v>762600</v>
      </c>
      <c r="AL416" s="668">
        <f t="shared" si="47"/>
        <v>762600</v>
      </c>
      <c r="AM416" s="668">
        <f t="shared" si="47"/>
        <v>762600</v>
      </c>
      <c r="AN416" s="668"/>
      <c r="AO416" s="668"/>
      <c r="AP416" s="668">
        <f t="shared" si="48"/>
        <v>67617.149999999994</v>
      </c>
      <c r="AQ416" s="668">
        <f t="shared" si="49"/>
        <v>67617.149999999994</v>
      </c>
      <c r="AR416" s="668">
        <f t="shared" si="49"/>
        <v>67617.149999999994</v>
      </c>
      <c r="AS416" s="668"/>
      <c r="AT416" s="668"/>
      <c r="AV416" s="670">
        <f t="shared" si="50"/>
        <v>254200</v>
      </c>
      <c r="AW416" s="670">
        <f t="shared" si="51"/>
        <v>247929.54999999996</v>
      </c>
      <c r="AX416" s="671">
        <f t="shared" si="45"/>
        <v>2542000</v>
      </c>
      <c r="AY416" s="671">
        <f>+AX416-L416</f>
        <v>2542000</v>
      </c>
    </row>
    <row r="417" spans="1:51">
      <c r="A417" s="664" t="s">
        <v>494</v>
      </c>
      <c r="B417" s="664"/>
      <c r="C417" s="664"/>
      <c r="D417" s="664">
        <v>1160501001</v>
      </c>
      <c r="E417" s="664">
        <v>0</v>
      </c>
      <c r="F417" s="664">
        <v>47343</v>
      </c>
      <c r="G417" s="665">
        <v>43891</v>
      </c>
      <c r="H417" s="665">
        <v>46082</v>
      </c>
      <c r="I417" s="664">
        <v>0</v>
      </c>
      <c r="J417" s="666">
        <v>1977000</v>
      </c>
      <c r="K417" s="666">
        <v>259317</v>
      </c>
      <c r="L417" s="666">
        <v>0</v>
      </c>
      <c r="M417" s="664" t="s">
        <v>495</v>
      </c>
      <c r="N417" s="666">
        <v>0</v>
      </c>
      <c r="O417" s="666">
        <v>0</v>
      </c>
      <c r="P417" s="666">
        <v>0</v>
      </c>
      <c r="Q417" s="664">
        <v>1</v>
      </c>
      <c r="R417" s="664" t="s">
        <v>502</v>
      </c>
      <c r="S417" s="664">
        <v>0</v>
      </c>
      <c r="T417" s="666">
        <v>0</v>
      </c>
      <c r="U417" s="666">
        <v>0</v>
      </c>
      <c r="V417" s="664">
        <v>100</v>
      </c>
      <c r="W417" s="666">
        <v>4234705</v>
      </c>
      <c r="X417" s="664">
        <v>16</v>
      </c>
      <c r="Y417" s="664">
        <v>1160902002</v>
      </c>
      <c r="Z417" s="664">
        <v>2023</v>
      </c>
      <c r="AA417" s="664">
        <v>12</v>
      </c>
      <c r="AB417" s="664">
        <v>5026003002</v>
      </c>
      <c r="AC417" s="664">
        <v>1160903001</v>
      </c>
      <c r="AD417" s="664">
        <v>0</v>
      </c>
      <c r="AE417" s="664">
        <v>0</v>
      </c>
      <c r="AF417" s="664">
        <v>0</v>
      </c>
      <c r="AG417" s="664">
        <v>1160601004</v>
      </c>
      <c r="AH417" s="664">
        <v>0</v>
      </c>
      <c r="AI417" s="664" t="s">
        <v>500</v>
      </c>
      <c r="AJ417" s="667">
        <v>0.3</v>
      </c>
      <c r="AK417" s="668">
        <f t="shared" si="46"/>
        <v>593100</v>
      </c>
      <c r="AL417" s="668">
        <f t="shared" si="47"/>
        <v>593100</v>
      </c>
      <c r="AM417" s="668">
        <f t="shared" si="47"/>
        <v>593100</v>
      </c>
      <c r="AN417" s="668"/>
      <c r="AO417" s="668"/>
      <c r="AP417" s="668">
        <f t="shared" si="48"/>
        <v>38897.549999999996</v>
      </c>
      <c r="AQ417" s="668">
        <f t="shared" si="49"/>
        <v>38897.549999999996</v>
      </c>
      <c r="AR417" s="668">
        <f t="shared" si="49"/>
        <v>38897.549999999996</v>
      </c>
      <c r="AS417" s="668"/>
      <c r="AT417" s="668"/>
      <c r="AV417" s="670">
        <f t="shared" si="50"/>
        <v>197700</v>
      </c>
      <c r="AW417" s="670">
        <f t="shared" si="51"/>
        <v>142624.35000000003</v>
      </c>
      <c r="AX417" s="671">
        <f t="shared" si="45"/>
        <v>1977000</v>
      </c>
      <c r="AY417" s="671">
        <f>+AX417-L417</f>
        <v>1977000</v>
      </c>
    </row>
    <row r="418" spans="1:51">
      <c r="A418" s="664" t="s">
        <v>494</v>
      </c>
      <c r="B418" s="664"/>
      <c r="C418" s="664"/>
      <c r="D418" s="664">
        <v>1160501001</v>
      </c>
      <c r="E418" s="664">
        <v>0</v>
      </c>
      <c r="F418" s="664">
        <v>47368</v>
      </c>
      <c r="G418" s="665">
        <v>44044</v>
      </c>
      <c r="H418" s="665">
        <v>46235</v>
      </c>
      <c r="I418" s="664">
        <v>0</v>
      </c>
      <c r="J418" s="666">
        <v>1130000</v>
      </c>
      <c r="K418" s="666">
        <v>148218</v>
      </c>
      <c r="L418" s="666">
        <v>0</v>
      </c>
      <c r="M418" s="664" t="s">
        <v>495</v>
      </c>
      <c r="N418" s="666">
        <v>0</v>
      </c>
      <c r="O418" s="666">
        <v>0</v>
      </c>
      <c r="P418" s="666">
        <v>0</v>
      </c>
      <c r="Q418" s="664">
        <v>1</v>
      </c>
      <c r="R418" s="664" t="s">
        <v>502</v>
      </c>
      <c r="S418" s="664">
        <v>0</v>
      </c>
      <c r="T418" s="666">
        <v>0</v>
      </c>
      <c r="U418" s="666">
        <v>0</v>
      </c>
      <c r="V418" s="664">
        <v>100</v>
      </c>
      <c r="W418" s="666">
        <v>4234705</v>
      </c>
      <c r="X418" s="664">
        <v>16</v>
      </c>
      <c r="Y418" s="664">
        <v>1160902002</v>
      </c>
      <c r="Z418" s="664">
        <v>2023</v>
      </c>
      <c r="AA418" s="664">
        <v>12</v>
      </c>
      <c r="AB418" s="664">
        <v>5026003002</v>
      </c>
      <c r="AC418" s="664">
        <v>1160903001</v>
      </c>
      <c r="AD418" s="664">
        <v>0</v>
      </c>
      <c r="AE418" s="664">
        <v>0</v>
      </c>
      <c r="AF418" s="664">
        <v>0</v>
      </c>
      <c r="AG418" s="664">
        <v>1160601004</v>
      </c>
      <c r="AH418" s="664">
        <v>0</v>
      </c>
      <c r="AI418" s="664" t="s">
        <v>500</v>
      </c>
      <c r="AJ418" s="667">
        <v>0.3</v>
      </c>
      <c r="AK418" s="668">
        <f t="shared" si="46"/>
        <v>339000</v>
      </c>
      <c r="AL418" s="668">
        <f t="shared" si="47"/>
        <v>339000</v>
      </c>
      <c r="AM418" s="668">
        <f t="shared" si="47"/>
        <v>339000</v>
      </c>
      <c r="AN418" s="668"/>
      <c r="AO418" s="668"/>
      <c r="AP418" s="668">
        <f t="shared" si="48"/>
        <v>22232.7</v>
      </c>
      <c r="AQ418" s="668">
        <f t="shared" si="49"/>
        <v>22232.7</v>
      </c>
      <c r="AR418" s="668">
        <f t="shared" si="49"/>
        <v>22232.7</v>
      </c>
      <c r="AS418" s="668"/>
      <c r="AT418" s="668"/>
      <c r="AV418" s="670">
        <f t="shared" si="50"/>
        <v>113000</v>
      </c>
      <c r="AW418" s="670">
        <f t="shared" si="51"/>
        <v>81519.900000000009</v>
      </c>
      <c r="AX418" s="671">
        <f t="shared" si="45"/>
        <v>1130000</v>
      </c>
      <c r="AY418" s="671">
        <f>+AX418-L418</f>
        <v>1130000</v>
      </c>
    </row>
    <row r="419" spans="1:51">
      <c r="A419" s="664" t="s">
        <v>494</v>
      </c>
      <c r="B419" s="664"/>
      <c r="C419" s="664"/>
      <c r="D419" s="664">
        <v>1160505001</v>
      </c>
      <c r="E419" s="664">
        <v>0</v>
      </c>
      <c r="F419" s="664">
        <v>45697</v>
      </c>
      <c r="G419" s="665">
        <v>43478</v>
      </c>
      <c r="H419" s="665">
        <v>43843</v>
      </c>
      <c r="I419" s="664">
        <v>1429</v>
      </c>
      <c r="J419" s="666">
        <v>1000000</v>
      </c>
      <c r="K419" s="666">
        <v>120000</v>
      </c>
      <c r="L419" s="666">
        <v>0</v>
      </c>
      <c r="M419" s="664" t="s">
        <v>495</v>
      </c>
      <c r="N419" s="666">
        <v>1000000</v>
      </c>
      <c r="O419" s="666">
        <v>120000</v>
      </c>
      <c r="P419" s="666">
        <v>714500</v>
      </c>
      <c r="Q419" s="664">
        <v>1</v>
      </c>
      <c r="R419" s="664" t="s">
        <v>496</v>
      </c>
      <c r="S419" s="664">
        <v>100</v>
      </c>
      <c r="T419" s="666">
        <v>1000000</v>
      </c>
      <c r="U419" s="666">
        <v>120000</v>
      </c>
      <c r="V419" s="664">
        <v>100</v>
      </c>
      <c r="W419" s="666">
        <v>4304433</v>
      </c>
      <c r="X419" s="664">
        <v>2</v>
      </c>
      <c r="Y419" s="664">
        <v>1160902010</v>
      </c>
      <c r="Z419" s="664">
        <v>2023</v>
      </c>
      <c r="AA419" s="664">
        <v>12</v>
      </c>
      <c r="AB419" s="664">
        <v>5026003002</v>
      </c>
      <c r="AC419" s="664">
        <v>1160903005</v>
      </c>
      <c r="AD419" s="664">
        <v>0</v>
      </c>
      <c r="AE419" s="664">
        <v>0</v>
      </c>
      <c r="AF419" s="664">
        <v>0</v>
      </c>
      <c r="AG419" s="664">
        <v>1160605001</v>
      </c>
      <c r="AH419" s="664">
        <v>1429</v>
      </c>
      <c r="AI419" s="664" t="s">
        <v>497</v>
      </c>
      <c r="AJ419" s="667">
        <v>0.01</v>
      </c>
      <c r="AK419" s="668">
        <f t="shared" si="46"/>
        <v>10000</v>
      </c>
      <c r="AL419" s="668">
        <f t="shared" si="47"/>
        <v>10000</v>
      </c>
      <c r="AM419" s="668">
        <f t="shared" si="47"/>
        <v>10000</v>
      </c>
      <c r="AN419" s="668"/>
      <c r="AO419" s="668"/>
      <c r="AP419" s="668">
        <f t="shared" si="48"/>
        <v>600</v>
      </c>
      <c r="AQ419" s="668">
        <f t="shared" si="49"/>
        <v>600</v>
      </c>
      <c r="AR419" s="668">
        <f t="shared" si="49"/>
        <v>600</v>
      </c>
      <c r="AS419" s="668"/>
      <c r="AT419" s="668"/>
      <c r="AV419" s="670">
        <f t="shared" si="50"/>
        <v>970000</v>
      </c>
      <c r="AW419" s="670">
        <f t="shared" si="51"/>
        <v>118200</v>
      </c>
      <c r="AX419" s="671">
        <f t="shared" si="45"/>
        <v>0</v>
      </c>
    </row>
    <row r="420" spans="1:51">
      <c r="A420" s="664" t="s">
        <v>494</v>
      </c>
      <c r="B420" s="664"/>
      <c r="C420" s="664"/>
      <c r="D420" s="664">
        <v>1160505001</v>
      </c>
      <c r="E420" s="664">
        <v>0</v>
      </c>
      <c r="F420" s="664">
        <v>45959</v>
      </c>
      <c r="G420" s="665">
        <v>43503</v>
      </c>
      <c r="H420" s="665">
        <v>44599</v>
      </c>
      <c r="I420" s="664">
        <v>685</v>
      </c>
      <c r="J420" s="666">
        <v>2666000</v>
      </c>
      <c r="K420" s="666">
        <v>372574</v>
      </c>
      <c r="L420" s="666">
        <v>0</v>
      </c>
      <c r="M420" s="664" t="s">
        <v>495</v>
      </c>
      <c r="N420" s="666">
        <v>2666000</v>
      </c>
      <c r="O420" s="666">
        <v>372574</v>
      </c>
      <c r="P420" s="666">
        <v>913105</v>
      </c>
      <c r="Q420" s="664">
        <v>1</v>
      </c>
      <c r="R420" s="664" t="s">
        <v>496</v>
      </c>
      <c r="S420" s="664">
        <v>100</v>
      </c>
      <c r="T420" s="666">
        <v>2666000</v>
      </c>
      <c r="U420" s="666">
        <v>372574</v>
      </c>
      <c r="V420" s="664">
        <v>100</v>
      </c>
      <c r="W420" s="666">
        <v>4830194</v>
      </c>
      <c r="X420" s="664">
        <v>2</v>
      </c>
      <c r="Y420" s="664">
        <v>1160902010</v>
      </c>
      <c r="Z420" s="664">
        <v>2023</v>
      </c>
      <c r="AA420" s="664">
        <v>12</v>
      </c>
      <c r="AB420" s="664">
        <v>5026003002</v>
      </c>
      <c r="AC420" s="664">
        <v>1160903005</v>
      </c>
      <c r="AD420" s="664">
        <v>0</v>
      </c>
      <c r="AE420" s="664">
        <v>0</v>
      </c>
      <c r="AF420" s="664">
        <v>0</v>
      </c>
      <c r="AG420" s="664">
        <v>1160605001</v>
      </c>
      <c r="AH420" s="664">
        <v>685</v>
      </c>
      <c r="AI420" s="664" t="s">
        <v>498</v>
      </c>
      <c r="AJ420" s="667">
        <v>0.1</v>
      </c>
      <c r="AK420" s="668">
        <f t="shared" si="46"/>
        <v>266600</v>
      </c>
      <c r="AL420" s="668">
        <f t="shared" si="47"/>
        <v>266600</v>
      </c>
      <c r="AM420" s="668">
        <f t="shared" si="47"/>
        <v>266600</v>
      </c>
      <c r="AN420" s="668"/>
      <c r="AO420" s="668"/>
      <c r="AP420" s="668">
        <f t="shared" si="48"/>
        <v>18628.7</v>
      </c>
      <c r="AQ420" s="668">
        <f t="shared" si="49"/>
        <v>18628.7</v>
      </c>
      <c r="AR420" s="668">
        <f t="shared" si="49"/>
        <v>18628.7</v>
      </c>
      <c r="AS420" s="668"/>
      <c r="AT420" s="668"/>
      <c r="AV420" s="670">
        <f t="shared" si="50"/>
        <v>1866200</v>
      </c>
      <c r="AW420" s="670">
        <f t="shared" si="51"/>
        <v>316687.89999999997</v>
      </c>
      <c r="AX420" s="671">
        <f t="shared" si="45"/>
        <v>0</v>
      </c>
    </row>
    <row r="421" spans="1:51">
      <c r="A421" s="664" t="s">
        <v>494</v>
      </c>
      <c r="B421" s="664"/>
      <c r="C421" s="664"/>
      <c r="D421" s="664">
        <v>1160505001</v>
      </c>
      <c r="E421" s="664">
        <v>0</v>
      </c>
      <c r="F421" s="664">
        <v>43389</v>
      </c>
      <c r="G421" s="665">
        <v>43122</v>
      </c>
      <c r="H421" s="665">
        <v>43852</v>
      </c>
      <c r="I421" s="664">
        <v>1420</v>
      </c>
      <c r="J421" s="666">
        <v>5000000</v>
      </c>
      <c r="K421" s="666">
        <v>440000</v>
      </c>
      <c r="L421" s="666">
        <v>0</v>
      </c>
      <c r="M421" s="664" t="s">
        <v>495</v>
      </c>
      <c r="N421" s="666">
        <v>5000000</v>
      </c>
      <c r="O421" s="666">
        <v>440000</v>
      </c>
      <c r="P421" s="666">
        <v>3550000</v>
      </c>
      <c r="Q421" s="664">
        <v>1</v>
      </c>
      <c r="R421" s="664" t="s">
        <v>496</v>
      </c>
      <c r="S421" s="664">
        <v>100</v>
      </c>
      <c r="T421" s="666">
        <v>5000000</v>
      </c>
      <c r="U421" s="666">
        <v>440000</v>
      </c>
      <c r="V421" s="664">
        <v>200</v>
      </c>
      <c r="W421" s="666">
        <v>17631428</v>
      </c>
      <c r="X421" s="664">
        <v>2</v>
      </c>
      <c r="Y421" s="664">
        <v>1160902010</v>
      </c>
      <c r="Z421" s="664">
        <v>2023</v>
      </c>
      <c r="AA421" s="664">
        <v>12</v>
      </c>
      <c r="AB421" s="664">
        <v>5026003002</v>
      </c>
      <c r="AC421" s="664">
        <v>1160903005</v>
      </c>
      <c r="AD421" s="664">
        <v>0</v>
      </c>
      <c r="AE421" s="664">
        <v>0</v>
      </c>
      <c r="AF421" s="664">
        <v>0</v>
      </c>
      <c r="AG421" s="664">
        <v>1160605001</v>
      </c>
      <c r="AH421" s="664">
        <v>1420</v>
      </c>
      <c r="AI421" s="664" t="s">
        <v>497</v>
      </c>
      <c r="AJ421" s="667">
        <v>0.01</v>
      </c>
      <c r="AK421" s="668">
        <f t="shared" si="46"/>
        <v>50000</v>
      </c>
      <c r="AL421" s="668">
        <f t="shared" si="47"/>
        <v>50000</v>
      </c>
      <c r="AM421" s="668">
        <f t="shared" si="47"/>
        <v>50000</v>
      </c>
      <c r="AN421" s="668"/>
      <c r="AO421" s="668"/>
      <c r="AP421" s="668">
        <f t="shared" si="48"/>
        <v>2200</v>
      </c>
      <c r="AQ421" s="668">
        <f t="shared" si="49"/>
        <v>2200</v>
      </c>
      <c r="AR421" s="668">
        <f t="shared" si="49"/>
        <v>2200</v>
      </c>
      <c r="AS421" s="668"/>
      <c r="AT421" s="668"/>
      <c r="AV421" s="670">
        <f t="shared" si="50"/>
        <v>4850000</v>
      </c>
      <c r="AW421" s="670">
        <f t="shared" si="51"/>
        <v>433400</v>
      </c>
      <c r="AX421" s="671">
        <f t="shared" si="45"/>
        <v>0</v>
      </c>
    </row>
    <row r="422" spans="1:51">
      <c r="A422" s="664" t="s">
        <v>494</v>
      </c>
      <c r="B422" s="664"/>
      <c r="C422" s="664"/>
      <c r="D422" s="664">
        <v>1160505001</v>
      </c>
      <c r="E422" s="664">
        <v>0</v>
      </c>
      <c r="F422" s="664">
        <v>1443389</v>
      </c>
      <c r="G422" s="665">
        <v>43122</v>
      </c>
      <c r="H422" s="665">
        <v>43852</v>
      </c>
      <c r="I422" s="664">
        <v>1420</v>
      </c>
      <c r="J422" s="666">
        <v>15000000</v>
      </c>
      <c r="K422" s="666">
        <v>1320000</v>
      </c>
      <c r="L422" s="666">
        <v>0</v>
      </c>
      <c r="M422" s="664" t="s">
        <v>495</v>
      </c>
      <c r="N422" s="666">
        <v>15000000</v>
      </c>
      <c r="O422" s="666">
        <v>1320000</v>
      </c>
      <c r="P422" s="666">
        <v>10650000</v>
      </c>
      <c r="Q422" s="664">
        <v>1</v>
      </c>
      <c r="R422" s="664" t="s">
        <v>496</v>
      </c>
      <c r="S422" s="664">
        <v>100</v>
      </c>
      <c r="T422" s="666">
        <v>15000000</v>
      </c>
      <c r="U422" s="666">
        <v>1320000</v>
      </c>
      <c r="V422" s="664">
        <v>200</v>
      </c>
      <c r="W422" s="666">
        <v>17631428</v>
      </c>
      <c r="X422" s="664">
        <v>14</v>
      </c>
      <c r="Y422" s="664">
        <v>1160902010</v>
      </c>
      <c r="Z422" s="664">
        <v>2023</v>
      </c>
      <c r="AA422" s="664">
        <v>12</v>
      </c>
      <c r="AB422" s="664">
        <v>5026003002</v>
      </c>
      <c r="AC422" s="664">
        <v>1160903005</v>
      </c>
      <c r="AD422" s="664">
        <v>0</v>
      </c>
      <c r="AE422" s="664">
        <v>0</v>
      </c>
      <c r="AF422" s="664">
        <v>0</v>
      </c>
      <c r="AG422" s="664">
        <v>1160605001</v>
      </c>
      <c r="AH422" s="664">
        <v>1420</v>
      </c>
      <c r="AI422" s="664" t="s">
        <v>497</v>
      </c>
      <c r="AJ422" s="667">
        <v>0.01</v>
      </c>
      <c r="AK422" s="668">
        <f t="shared" si="46"/>
        <v>150000</v>
      </c>
      <c r="AL422" s="668">
        <f t="shared" si="47"/>
        <v>150000</v>
      </c>
      <c r="AM422" s="668">
        <f t="shared" si="47"/>
        <v>150000</v>
      </c>
      <c r="AN422" s="668"/>
      <c r="AO422" s="668"/>
      <c r="AP422" s="668">
        <f t="shared" si="48"/>
        <v>6600</v>
      </c>
      <c r="AQ422" s="668">
        <f t="shared" si="49"/>
        <v>6600</v>
      </c>
      <c r="AR422" s="668">
        <f t="shared" si="49"/>
        <v>6600</v>
      </c>
      <c r="AS422" s="668"/>
      <c r="AT422" s="668"/>
      <c r="AV422" s="670">
        <f t="shared" si="50"/>
        <v>14550000</v>
      </c>
      <c r="AW422" s="670">
        <f t="shared" si="51"/>
        <v>1300200</v>
      </c>
      <c r="AX422" s="671">
        <f t="shared" si="45"/>
        <v>0</v>
      </c>
    </row>
    <row r="423" spans="1:51">
      <c r="A423" s="664" t="s">
        <v>494</v>
      </c>
      <c r="B423" s="664"/>
      <c r="C423" s="664"/>
      <c r="D423" s="664">
        <v>1160505001</v>
      </c>
      <c r="E423" s="664">
        <v>0</v>
      </c>
      <c r="F423" s="664">
        <v>45280</v>
      </c>
      <c r="G423" s="665">
        <v>43350</v>
      </c>
      <c r="H423" s="665">
        <v>43715</v>
      </c>
      <c r="I423" s="664">
        <v>1555</v>
      </c>
      <c r="J423" s="666">
        <v>7760520</v>
      </c>
      <c r="K423" s="666">
        <v>0</v>
      </c>
      <c r="L423" s="666">
        <v>0</v>
      </c>
      <c r="M423" s="664" t="s">
        <v>495</v>
      </c>
      <c r="N423" s="666">
        <v>7760520</v>
      </c>
      <c r="O423" s="666">
        <v>0</v>
      </c>
      <c r="P423" s="666">
        <v>6033804</v>
      </c>
      <c r="Q423" s="664">
        <v>1</v>
      </c>
      <c r="R423" s="664" t="s">
        <v>496</v>
      </c>
      <c r="S423" s="664">
        <v>100</v>
      </c>
      <c r="T423" s="666">
        <v>7760520</v>
      </c>
      <c r="U423" s="666">
        <v>0</v>
      </c>
      <c r="V423" s="664">
        <v>100</v>
      </c>
      <c r="W423" s="666">
        <v>2317229</v>
      </c>
      <c r="X423" s="664">
        <v>14</v>
      </c>
      <c r="Y423" s="664">
        <v>1160902010</v>
      </c>
      <c r="Z423" s="664">
        <v>2023</v>
      </c>
      <c r="AA423" s="664">
        <v>12</v>
      </c>
      <c r="AB423" s="664">
        <v>5026003002</v>
      </c>
      <c r="AC423" s="664">
        <v>1160903005</v>
      </c>
      <c r="AD423" s="664">
        <v>0</v>
      </c>
      <c r="AE423" s="664">
        <v>0</v>
      </c>
      <c r="AF423" s="664">
        <v>0</v>
      </c>
      <c r="AG423" s="664">
        <v>1160605001</v>
      </c>
      <c r="AH423" s="664">
        <v>1555</v>
      </c>
      <c r="AI423" s="664" t="s">
        <v>114</v>
      </c>
      <c r="AJ423" s="667">
        <v>0.5</v>
      </c>
      <c r="AK423" s="668">
        <f t="shared" si="46"/>
        <v>3880260</v>
      </c>
      <c r="AL423" s="668">
        <f t="shared" si="47"/>
        <v>3880260</v>
      </c>
      <c r="AM423" s="668"/>
      <c r="AN423" s="668"/>
      <c r="AO423" s="668"/>
      <c r="AP423" s="668">
        <f t="shared" si="48"/>
        <v>0</v>
      </c>
      <c r="AQ423" s="668">
        <f t="shared" si="49"/>
        <v>0</v>
      </c>
      <c r="AR423" s="668">
        <f t="shared" si="49"/>
        <v>0</v>
      </c>
      <c r="AS423" s="668"/>
      <c r="AT423" s="668"/>
      <c r="AV423" s="670">
        <f t="shared" si="50"/>
        <v>0</v>
      </c>
      <c r="AW423" s="670">
        <f t="shared" si="51"/>
        <v>0</v>
      </c>
      <c r="AX423" s="671">
        <f t="shared" si="45"/>
        <v>0</v>
      </c>
    </row>
    <row r="424" spans="1:51">
      <c r="A424" s="664" t="s">
        <v>494</v>
      </c>
      <c r="B424" s="664"/>
      <c r="C424" s="664"/>
      <c r="D424" s="664">
        <v>1160501001</v>
      </c>
      <c r="E424" s="664">
        <v>0</v>
      </c>
      <c r="F424" s="664">
        <v>46172</v>
      </c>
      <c r="G424" s="665">
        <v>43519</v>
      </c>
      <c r="H424" s="665">
        <v>45711</v>
      </c>
      <c r="I424" s="664">
        <v>0</v>
      </c>
      <c r="J424" s="666">
        <v>6000000</v>
      </c>
      <c r="K424" s="666">
        <v>14000</v>
      </c>
      <c r="L424" s="666">
        <v>0</v>
      </c>
      <c r="M424" s="664" t="s">
        <v>495</v>
      </c>
      <c r="N424" s="666">
        <v>0</v>
      </c>
      <c r="O424" s="666">
        <v>0</v>
      </c>
      <c r="P424" s="666">
        <v>0</v>
      </c>
      <c r="Q424" s="664">
        <v>1</v>
      </c>
      <c r="R424" s="664" t="s">
        <v>502</v>
      </c>
      <c r="S424" s="664">
        <v>0</v>
      </c>
      <c r="T424" s="666">
        <v>0</v>
      </c>
      <c r="U424" s="666">
        <v>0</v>
      </c>
      <c r="V424" s="664">
        <v>100</v>
      </c>
      <c r="W424" s="666">
        <v>4274484</v>
      </c>
      <c r="X424" s="664">
        <v>16</v>
      </c>
      <c r="Y424" s="664">
        <v>1160902002</v>
      </c>
      <c r="Z424" s="664">
        <v>2023</v>
      </c>
      <c r="AA424" s="664">
        <v>12</v>
      </c>
      <c r="AB424" s="664">
        <v>5026003002</v>
      </c>
      <c r="AC424" s="664">
        <v>1160903001</v>
      </c>
      <c r="AD424" s="664">
        <v>0</v>
      </c>
      <c r="AE424" s="664">
        <v>0</v>
      </c>
      <c r="AF424" s="664">
        <v>0</v>
      </c>
      <c r="AG424" s="664">
        <v>1160601004</v>
      </c>
      <c r="AH424" s="664">
        <v>0</v>
      </c>
      <c r="AI424" s="664" t="s">
        <v>500</v>
      </c>
      <c r="AJ424" s="667">
        <v>0.3</v>
      </c>
      <c r="AK424" s="668">
        <f t="shared" si="46"/>
        <v>1800000</v>
      </c>
      <c r="AL424" s="668">
        <f t="shared" si="47"/>
        <v>1800000</v>
      </c>
      <c r="AM424" s="668">
        <f t="shared" si="47"/>
        <v>1800000</v>
      </c>
      <c r="AN424" s="668"/>
      <c r="AO424" s="668"/>
      <c r="AP424" s="668">
        <f t="shared" si="48"/>
        <v>2100</v>
      </c>
      <c r="AQ424" s="668">
        <f t="shared" si="49"/>
        <v>2100</v>
      </c>
      <c r="AR424" s="668">
        <f t="shared" si="49"/>
        <v>2100</v>
      </c>
      <c r="AS424" s="668"/>
      <c r="AT424" s="668"/>
      <c r="AV424" s="670">
        <f t="shared" si="50"/>
        <v>600000</v>
      </c>
      <c r="AW424" s="670">
        <f t="shared" si="51"/>
        <v>7700</v>
      </c>
      <c r="AX424" s="671">
        <f t="shared" si="45"/>
        <v>6000000</v>
      </c>
      <c r="AY424" s="671">
        <f t="shared" ref="AY424:AY429" si="52">+AX424-L424</f>
        <v>6000000</v>
      </c>
    </row>
    <row r="425" spans="1:51">
      <c r="A425" s="664" t="s">
        <v>494</v>
      </c>
      <c r="B425" s="664"/>
      <c r="C425" s="664"/>
      <c r="D425" s="664">
        <v>1160501001</v>
      </c>
      <c r="E425" s="664">
        <v>0</v>
      </c>
      <c r="F425" s="664">
        <v>46917</v>
      </c>
      <c r="G425" s="665">
        <v>43631</v>
      </c>
      <c r="H425" s="665">
        <v>45823</v>
      </c>
      <c r="I425" s="664">
        <v>0</v>
      </c>
      <c r="J425" s="666">
        <v>4822263</v>
      </c>
      <c r="K425" s="666">
        <v>551338</v>
      </c>
      <c r="L425" s="666">
        <v>0</v>
      </c>
      <c r="M425" s="664" t="s">
        <v>495</v>
      </c>
      <c r="N425" s="666">
        <v>0</v>
      </c>
      <c r="O425" s="666">
        <v>0</v>
      </c>
      <c r="P425" s="666">
        <v>0</v>
      </c>
      <c r="Q425" s="664">
        <v>1</v>
      </c>
      <c r="R425" s="664" t="s">
        <v>502</v>
      </c>
      <c r="S425" s="664">
        <v>0</v>
      </c>
      <c r="T425" s="666">
        <v>0</v>
      </c>
      <c r="U425" s="666">
        <v>0</v>
      </c>
      <c r="V425" s="664">
        <v>100</v>
      </c>
      <c r="W425" s="666">
        <v>4274484</v>
      </c>
      <c r="X425" s="664">
        <v>16</v>
      </c>
      <c r="Y425" s="664">
        <v>1160902002</v>
      </c>
      <c r="Z425" s="664">
        <v>2023</v>
      </c>
      <c r="AA425" s="664">
        <v>12</v>
      </c>
      <c r="AB425" s="664">
        <v>5026003002</v>
      </c>
      <c r="AC425" s="664">
        <v>1160903001</v>
      </c>
      <c r="AD425" s="664">
        <v>0</v>
      </c>
      <c r="AE425" s="664">
        <v>0</v>
      </c>
      <c r="AF425" s="664">
        <v>0</v>
      </c>
      <c r="AG425" s="664">
        <v>1160601004</v>
      </c>
      <c r="AH425" s="664">
        <v>0</v>
      </c>
      <c r="AI425" s="664" t="s">
        <v>500</v>
      </c>
      <c r="AJ425" s="667">
        <v>0.3</v>
      </c>
      <c r="AK425" s="668">
        <f t="shared" si="46"/>
        <v>1446678.9</v>
      </c>
      <c r="AL425" s="668">
        <f t="shared" si="47"/>
        <v>1446678.9</v>
      </c>
      <c r="AM425" s="668">
        <f t="shared" si="47"/>
        <v>1446678.9</v>
      </c>
      <c r="AN425" s="668"/>
      <c r="AO425" s="668"/>
      <c r="AP425" s="668">
        <f t="shared" si="48"/>
        <v>82700.7</v>
      </c>
      <c r="AQ425" s="668">
        <f t="shared" si="49"/>
        <v>82700.7</v>
      </c>
      <c r="AR425" s="668">
        <f t="shared" si="49"/>
        <v>82700.7</v>
      </c>
      <c r="AS425" s="668"/>
      <c r="AT425" s="668"/>
      <c r="AV425" s="670">
        <f t="shared" si="50"/>
        <v>482226.30000000028</v>
      </c>
      <c r="AW425" s="670">
        <f t="shared" si="51"/>
        <v>303235.89999999997</v>
      </c>
      <c r="AX425" s="671">
        <f t="shared" si="45"/>
        <v>4822263</v>
      </c>
      <c r="AY425" s="671">
        <f t="shared" si="52"/>
        <v>4822263</v>
      </c>
    </row>
    <row r="426" spans="1:51">
      <c r="A426" s="664" t="s">
        <v>494</v>
      </c>
      <c r="B426" s="664"/>
      <c r="C426" s="664"/>
      <c r="D426" s="664">
        <v>1160501001</v>
      </c>
      <c r="E426" s="664">
        <v>0</v>
      </c>
      <c r="F426" s="664">
        <v>45415</v>
      </c>
      <c r="G426" s="665">
        <v>43407</v>
      </c>
      <c r="H426" s="665">
        <v>45599</v>
      </c>
      <c r="I426" s="664">
        <v>0</v>
      </c>
      <c r="J426" s="666">
        <v>4162500</v>
      </c>
      <c r="K426" s="666">
        <v>517550</v>
      </c>
      <c r="L426" s="666">
        <v>0</v>
      </c>
      <c r="M426" s="664" t="s">
        <v>495</v>
      </c>
      <c r="N426" s="666">
        <v>0</v>
      </c>
      <c r="O426" s="666">
        <v>0</v>
      </c>
      <c r="P426" s="666">
        <v>0</v>
      </c>
      <c r="Q426" s="664">
        <v>1</v>
      </c>
      <c r="R426" s="664" t="s">
        <v>502</v>
      </c>
      <c r="S426" s="664">
        <v>0</v>
      </c>
      <c r="T426" s="666">
        <v>0</v>
      </c>
      <c r="U426" s="666">
        <v>0</v>
      </c>
      <c r="V426" s="664">
        <v>100</v>
      </c>
      <c r="W426" s="666">
        <v>4653159</v>
      </c>
      <c r="X426" s="664">
        <v>16</v>
      </c>
      <c r="Y426" s="664">
        <v>1160902002</v>
      </c>
      <c r="Z426" s="664">
        <v>2023</v>
      </c>
      <c r="AA426" s="664">
        <v>12</v>
      </c>
      <c r="AB426" s="664">
        <v>5026003002</v>
      </c>
      <c r="AC426" s="664">
        <v>1160903001</v>
      </c>
      <c r="AD426" s="664">
        <v>0</v>
      </c>
      <c r="AE426" s="664">
        <v>0</v>
      </c>
      <c r="AF426" s="664">
        <v>0</v>
      </c>
      <c r="AG426" s="664">
        <v>1160601004</v>
      </c>
      <c r="AH426" s="664">
        <v>0</v>
      </c>
      <c r="AI426" s="664" t="s">
        <v>500</v>
      </c>
      <c r="AJ426" s="667">
        <v>0.3</v>
      </c>
      <c r="AK426" s="668">
        <f t="shared" si="46"/>
        <v>1248750</v>
      </c>
      <c r="AL426" s="668">
        <f t="shared" si="47"/>
        <v>1248750</v>
      </c>
      <c r="AM426" s="668">
        <f t="shared" si="47"/>
        <v>1248750</v>
      </c>
      <c r="AN426" s="668"/>
      <c r="AO426" s="668"/>
      <c r="AP426" s="668">
        <f t="shared" si="48"/>
        <v>77632.5</v>
      </c>
      <c r="AQ426" s="668">
        <f t="shared" si="49"/>
        <v>77632.5</v>
      </c>
      <c r="AR426" s="668">
        <f t="shared" si="49"/>
        <v>77632.5</v>
      </c>
      <c r="AS426" s="668"/>
      <c r="AT426" s="668"/>
      <c r="AV426" s="670">
        <f t="shared" si="50"/>
        <v>416250</v>
      </c>
      <c r="AW426" s="670">
        <f t="shared" si="51"/>
        <v>284652.5</v>
      </c>
      <c r="AX426" s="671">
        <f t="shared" si="45"/>
        <v>4162500</v>
      </c>
      <c r="AY426" s="671">
        <f t="shared" si="52"/>
        <v>4162500</v>
      </c>
    </row>
    <row r="427" spans="1:51">
      <c r="A427" s="664" t="s">
        <v>494</v>
      </c>
      <c r="B427" s="664"/>
      <c r="C427" s="664"/>
      <c r="D427" s="664">
        <v>1160501001</v>
      </c>
      <c r="E427" s="664">
        <v>0</v>
      </c>
      <c r="F427" s="664">
        <v>46449</v>
      </c>
      <c r="G427" s="665">
        <v>43548</v>
      </c>
      <c r="H427" s="665">
        <v>45740</v>
      </c>
      <c r="I427" s="664">
        <v>0</v>
      </c>
      <c r="J427" s="666">
        <v>1849500</v>
      </c>
      <c r="K427" s="666">
        <v>195133</v>
      </c>
      <c r="L427" s="666">
        <v>0</v>
      </c>
      <c r="M427" s="664" t="s">
        <v>495</v>
      </c>
      <c r="N427" s="666">
        <v>0</v>
      </c>
      <c r="O427" s="666">
        <v>0</v>
      </c>
      <c r="P427" s="666">
        <v>0</v>
      </c>
      <c r="Q427" s="664">
        <v>1</v>
      </c>
      <c r="R427" s="664" t="s">
        <v>502</v>
      </c>
      <c r="S427" s="664">
        <v>0</v>
      </c>
      <c r="T427" s="666">
        <v>0</v>
      </c>
      <c r="U427" s="666">
        <v>0</v>
      </c>
      <c r="V427" s="664">
        <v>100</v>
      </c>
      <c r="W427" s="666">
        <v>4653159</v>
      </c>
      <c r="X427" s="664">
        <v>16</v>
      </c>
      <c r="Y427" s="664">
        <v>1160902002</v>
      </c>
      <c r="Z427" s="664">
        <v>2023</v>
      </c>
      <c r="AA427" s="664">
        <v>12</v>
      </c>
      <c r="AB427" s="664">
        <v>5026003002</v>
      </c>
      <c r="AC427" s="664">
        <v>1160903001</v>
      </c>
      <c r="AD427" s="664">
        <v>0</v>
      </c>
      <c r="AE427" s="664">
        <v>0</v>
      </c>
      <c r="AF427" s="664">
        <v>0</v>
      </c>
      <c r="AG427" s="664">
        <v>1160601004</v>
      </c>
      <c r="AH427" s="664">
        <v>0</v>
      </c>
      <c r="AI427" s="664" t="s">
        <v>500</v>
      </c>
      <c r="AJ427" s="667">
        <v>0.3</v>
      </c>
      <c r="AK427" s="668">
        <f t="shared" si="46"/>
        <v>554850</v>
      </c>
      <c r="AL427" s="668">
        <f t="shared" si="47"/>
        <v>554850</v>
      </c>
      <c r="AM427" s="668">
        <f t="shared" si="47"/>
        <v>554850</v>
      </c>
      <c r="AN427" s="668"/>
      <c r="AO427" s="668"/>
      <c r="AP427" s="668">
        <f t="shared" si="48"/>
        <v>29269.95</v>
      </c>
      <c r="AQ427" s="668">
        <f t="shared" si="49"/>
        <v>29269.95</v>
      </c>
      <c r="AR427" s="668">
        <f t="shared" si="49"/>
        <v>29269.95</v>
      </c>
      <c r="AS427" s="668"/>
      <c r="AT427" s="668"/>
      <c r="AV427" s="670">
        <f t="shared" si="50"/>
        <v>184950</v>
      </c>
      <c r="AW427" s="670">
        <f t="shared" si="51"/>
        <v>107323.14999999998</v>
      </c>
      <c r="AX427" s="671">
        <f t="shared" si="45"/>
        <v>1849500</v>
      </c>
      <c r="AY427" s="671">
        <f t="shared" si="52"/>
        <v>1849500</v>
      </c>
    </row>
    <row r="428" spans="1:51">
      <c r="A428" s="664" t="s">
        <v>494</v>
      </c>
      <c r="B428" s="664"/>
      <c r="C428" s="664"/>
      <c r="D428" s="664">
        <v>1160501001</v>
      </c>
      <c r="E428" s="664">
        <v>0</v>
      </c>
      <c r="F428" s="664">
        <v>47342</v>
      </c>
      <c r="G428" s="665">
        <v>43764</v>
      </c>
      <c r="H428" s="665">
        <v>45956</v>
      </c>
      <c r="I428" s="664">
        <v>0</v>
      </c>
      <c r="J428" s="666">
        <v>1709883</v>
      </c>
      <c r="K428" s="666">
        <v>212585</v>
      </c>
      <c r="L428" s="666">
        <v>0</v>
      </c>
      <c r="M428" s="664" t="s">
        <v>495</v>
      </c>
      <c r="N428" s="666">
        <v>0</v>
      </c>
      <c r="O428" s="666">
        <v>0</v>
      </c>
      <c r="P428" s="666">
        <v>0</v>
      </c>
      <c r="Q428" s="664">
        <v>1</v>
      </c>
      <c r="R428" s="664" t="s">
        <v>502</v>
      </c>
      <c r="S428" s="664">
        <v>0</v>
      </c>
      <c r="T428" s="666">
        <v>0</v>
      </c>
      <c r="U428" s="666">
        <v>0</v>
      </c>
      <c r="V428" s="664">
        <v>100</v>
      </c>
      <c r="W428" s="666">
        <v>4653159</v>
      </c>
      <c r="X428" s="664">
        <v>16</v>
      </c>
      <c r="Y428" s="664">
        <v>1160902002</v>
      </c>
      <c r="Z428" s="664">
        <v>2023</v>
      </c>
      <c r="AA428" s="664">
        <v>12</v>
      </c>
      <c r="AB428" s="664">
        <v>5026003002</v>
      </c>
      <c r="AC428" s="664">
        <v>1160903001</v>
      </c>
      <c r="AD428" s="664">
        <v>0</v>
      </c>
      <c r="AE428" s="664">
        <v>0</v>
      </c>
      <c r="AF428" s="664">
        <v>0</v>
      </c>
      <c r="AG428" s="664">
        <v>1160601004</v>
      </c>
      <c r="AH428" s="664">
        <v>0</v>
      </c>
      <c r="AI428" s="664" t="s">
        <v>500</v>
      </c>
      <c r="AJ428" s="667">
        <v>0.3</v>
      </c>
      <c r="AK428" s="668">
        <f t="shared" si="46"/>
        <v>512964.89999999997</v>
      </c>
      <c r="AL428" s="668">
        <f t="shared" si="47"/>
        <v>512964.89999999997</v>
      </c>
      <c r="AM428" s="668">
        <f t="shared" si="47"/>
        <v>512964.89999999997</v>
      </c>
      <c r="AN428" s="668"/>
      <c r="AO428" s="668"/>
      <c r="AP428" s="668">
        <f t="shared" si="48"/>
        <v>31887.75</v>
      </c>
      <c r="AQ428" s="668">
        <f t="shared" si="49"/>
        <v>31887.75</v>
      </c>
      <c r="AR428" s="668">
        <f t="shared" si="49"/>
        <v>31887.75</v>
      </c>
      <c r="AS428" s="668"/>
      <c r="AT428" s="668"/>
      <c r="AV428" s="670">
        <f t="shared" si="50"/>
        <v>170988.30000000022</v>
      </c>
      <c r="AW428" s="670">
        <f t="shared" si="51"/>
        <v>116921.75</v>
      </c>
      <c r="AX428" s="671">
        <f t="shared" si="45"/>
        <v>1709883</v>
      </c>
      <c r="AY428" s="671">
        <f t="shared" si="52"/>
        <v>1709883</v>
      </c>
    </row>
    <row r="429" spans="1:51">
      <c r="A429" s="664" t="s">
        <v>494</v>
      </c>
      <c r="B429" s="664"/>
      <c r="C429" s="664"/>
      <c r="D429" s="664">
        <v>1160501001</v>
      </c>
      <c r="E429" s="664">
        <v>0</v>
      </c>
      <c r="F429" s="664">
        <v>47346</v>
      </c>
      <c r="G429" s="665">
        <v>43905</v>
      </c>
      <c r="H429" s="665">
        <v>46096</v>
      </c>
      <c r="I429" s="664">
        <v>0</v>
      </c>
      <c r="J429" s="666">
        <v>2466000</v>
      </c>
      <c r="K429" s="666">
        <v>260163</v>
      </c>
      <c r="L429" s="666">
        <v>0</v>
      </c>
      <c r="M429" s="664" t="s">
        <v>495</v>
      </c>
      <c r="N429" s="666">
        <v>0</v>
      </c>
      <c r="O429" s="666">
        <v>0</v>
      </c>
      <c r="P429" s="666">
        <v>0</v>
      </c>
      <c r="Q429" s="664">
        <v>1</v>
      </c>
      <c r="R429" s="664" t="s">
        <v>502</v>
      </c>
      <c r="S429" s="664">
        <v>0</v>
      </c>
      <c r="T429" s="666">
        <v>0</v>
      </c>
      <c r="U429" s="666">
        <v>0</v>
      </c>
      <c r="V429" s="664">
        <v>100</v>
      </c>
      <c r="W429" s="666">
        <v>4653159</v>
      </c>
      <c r="X429" s="664">
        <v>16</v>
      </c>
      <c r="Y429" s="664">
        <v>1160902002</v>
      </c>
      <c r="Z429" s="664">
        <v>2023</v>
      </c>
      <c r="AA429" s="664">
        <v>12</v>
      </c>
      <c r="AB429" s="664">
        <v>5026003002</v>
      </c>
      <c r="AC429" s="664">
        <v>1160903001</v>
      </c>
      <c r="AD429" s="664">
        <v>0</v>
      </c>
      <c r="AE429" s="664">
        <v>0</v>
      </c>
      <c r="AF429" s="664">
        <v>0</v>
      </c>
      <c r="AG429" s="664">
        <v>1160601004</v>
      </c>
      <c r="AH429" s="664">
        <v>0</v>
      </c>
      <c r="AI429" s="664" t="s">
        <v>500</v>
      </c>
      <c r="AJ429" s="667">
        <v>0.3</v>
      </c>
      <c r="AK429" s="668">
        <f t="shared" si="46"/>
        <v>739800</v>
      </c>
      <c r="AL429" s="668">
        <f t="shared" si="47"/>
        <v>739800</v>
      </c>
      <c r="AM429" s="668">
        <f t="shared" si="47"/>
        <v>739800</v>
      </c>
      <c r="AN429" s="668"/>
      <c r="AO429" s="668"/>
      <c r="AP429" s="668">
        <f t="shared" si="48"/>
        <v>39024.449999999997</v>
      </c>
      <c r="AQ429" s="668">
        <f t="shared" si="49"/>
        <v>39024.449999999997</v>
      </c>
      <c r="AR429" s="668">
        <f t="shared" si="49"/>
        <v>39024.449999999997</v>
      </c>
      <c r="AS429" s="668"/>
      <c r="AT429" s="668"/>
      <c r="AV429" s="670">
        <f t="shared" si="50"/>
        <v>246600</v>
      </c>
      <c r="AW429" s="670">
        <f t="shared" si="51"/>
        <v>143089.64999999997</v>
      </c>
      <c r="AX429" s="671">
        <f t="shared" si="45"/>
        <v>2466000</v>
      </c>
      <c r="AY429" s="671">
        <f t="shared" si="52"/>
        <v>2466000</v>
      </c>
    </row>
    <row r="430" spans="1:51">
      <c r="A430" s="664" t="s">
        <v>494</v>
      </c>
      <c r="B430" s="664"/>
      <c r="C430" s="664"/>
      <c r="D430" s="664">
        <v>1160504001</v>
      </c>
      <c r="E430" s="664">
        <v>0</v>
      </c>
      <c r="F430" s="664">
        <v>43939</v>
      </c>
      <c r="G430" s="665">
        <v>43165</v>
      </c>
      <c r="H430" s="665">
        <v>44991</v>
      </c>
      <c r="I430" s="664">
        <v>296</v>
      </c>
      <c r="J430" s="666">
        <v>3999314</v>
      </c>
      <c r="K430" s="666">
        <v>699883</v>
      </c>
      <c r="L430" s="666">
        <v>0</v>
      </c>
      <c r="M430" s="664" t="s">
        <v>495</v>
      </c>
      <c r="N430" s="666">
        <v>3999314</v>
      </c>
      <c r="O430" s="666">
        <v>699883</v>
      </c>
      <c r="P430" s="666">
        <v>591898</v>
      </c>
      <c r="Q430" s="664">
        <v>1</v>
      </c>
      <c r="R430" s="664" t="s">
        <v>501</v>
      </c>
      <c r="S430" s="664">
        <v>100</v>
      </c>
      <c r="T430" s="666">
        <v>3999314</v>
      </c>
      <c r="U430" s="666">
        <v>699883</v>
      </c>
      <c r="V430" s="664">
        <v>300</v>
      </c>
      <c r="W430" s="666">
        <v>3480448</v>
      </c>
      <c r="X430" s="664">
        <v>14</v>
      </c>
      <c r="Y430" s="664">
        <v>1160902008</v>
      </c>
      <c r="Z430" s="664">
        <v>2023</v>
      </c>
      <c r="AA430" s="664">
        <v>12</v>
      </c>
      <c r="AB430" s="664">
        <v>5026003002</v>
      </c>
      <c r="AC430" s="664">
        <v>1160903004</v>
      </c>
      <c r="AD430" s="664">
        <v>0</v>
      </c>
      <c r="AE430" s="664">
        <v>0</v>
      </c>
      <c r="AF430" s="664">
        <v>0</v>
      </c>
      <c r="AG430" s="664">
        <v>1160604001</v>
      </c>
      <c r="AH430" s="664">
        <v>296</v>
      </c>
      <c r="AI430" s="664" t="s">
        <v>500</v>
      </c>
      <c r="AJ430" s="667">
        <v>0.3</v>
      </c>
      <c r="AK430" s="668">
        <f t="shared" si="46"/>
        <v>1199794.2</v>
      </c>
      <c r="AL430" s="668">
        <f t="shared" si="47"/>
        <v>1199794.2</v>
      </c>
      <c r="AM430" s="668">
        <f t="shared" si="47"/>
        <v>1199794.2</v>
      </c>
      <c r="AN430" s="668"/>
      <c r="AO430" s="668"/>
      <c r="AP430" s="668">
        <f t="shared" si="48"/>
        <v>104982.45</v>
      </c>
      <c r="AQ430" s="668">
        <f t="shared" si="49"/>
        <v>104982.45</v>
      </c>
      <c r="AR430" s="668">
        <f t="shared" si="49"/>
        <v>104982.45</v>
      </c>
      <c r="AS430" s="668"/>
      <c r="AT430" s="668"/>
      <c r="AV430" s="670">
        <f t="shared" si="50"/>
        <v>399931.39999999991</v>
      </c>
      <c r="AW430" s="670">
        <f t="shared" si="51"/>
        <v>384935.65</v>
      </c>
      <c r="AX430" s="671">
        <f t="shared" si="45"/>
        <v>0</v>
      </c>
    </row>
    <row r="431" spans="1:51">
      <c r="A431" s="664" t="s">
        <v>494</v>
      </c>
      <c r="B431" s="664"/>
      <c r="C431" s="664"/>
      <c r="D431" s="664">
        <v>1160505001</v>
      </c>
      <c r="E431" s="664">
        <v>0</v>
      </c>
      <c r="F431" s="664">
        <v>43014</v>
      </c>
      <c r="G431" s="665">
        <v>43041</v>
      </c>
      <c r="H431" s="665">
        <v>43406</v>
      </c>
      <c r="I431" s="664">
        <v>1860</v>
      </c>
      <c r="J431" s="666">
        <v>9693813</v>
      </c>
      <c r="K431" s="666">
        <v>0</v>
      </c>
      <c r="L431" s="666">
        <v>0</v>
      </c>
      <c r="M431" s="664" t="s">
        <v>495</v>
      </c>
      <c r="N431" s="666">
        <v>9693813</v>
      </c>
      <c r="O431" s="666">
        <v>0</v>
      </c>
      <c r="P431" s="666">
        <v>9015246</v>
      </c>
      <c r="Q431" s="664">
        <v>1</v>
      </c>
      <c r="R431" s="664" t="s">
        <v>496</v>
      </c>
      <c r="S431" s="664">
        <v>100</v>
      </c>
      <c r="T431" s="666">
        <v>9693813</v>
      </c>
      <c r="U431" s="666">
        <v>0</v>
      </c>
      <c r="V431" s="664">
        <v>300</v>
      </c>
      <c r="W431" s="666">
        <v>7240636</v>
      </c>
      <c r="X431" s="664">
        <v>2</v>
      </c>
      <c r="Y431" s="664">
        <v>1160902010</v>
      </c>
      <c r="Z431" s="664">
        <v>2023</v>
      </c>
      <c r="AA431" s="664">
        <v>12</v>
      </c>
      <c r="AB431" s="664">
        <v>5026003002</v>
      </c>
      <c r="AC431" s="664">
        <v>1160903005</v>
      </c>
      <c r="AD431" s="664">
        <v>0</v>
      </c>
      <c r="AE431" s="664">
        <v>0</v>
      </c>
      <c r="AF431" s="664">
        <v>0</v>
      </c>
      <c r="AG431" s="664">
        <v>1160605001</v>
      </c>
      <c r="AH431" s="664">
        <v>1860</v>
      </c>
      <c r="AI431" s="664" t="s">
        <v>497</v>
      </c>
      <c r="AJ431" s="667">
        <v>0.01</v>
      </c>
      <c r="AK431" s="668">
        <f t="shared" si="46"/>
        <v>96938.13</v>
      </c>
      <c r="AL431" s="668">
        <f t="shared" si="47"/>
        <v>96938.13</v>
      </c>
      <c r="AM431" s="668">
        <f t="shared" si="47"/>
        <v>96938.13</v>
      </c>
      <c r="AN431" s="668"/>
      <c r="AO431" s="668"/>
      <c r="AP431" s="668">
        <f t="shared" si="48"/>
        <v>0</v>
      </c>
      <c r="AQ431" s="668">
        <f t="shared" si="49"/>
        <v>0</v>
      </c>
      <c r="AR431" s="668">
        <f t="shared" si="49"/>
        <v>0</v>
      </c>
      <c r="AS431" s="668"/>
      <c r="AT431" s="668"/>
      <c r="AV431" s="670">
        <f t="shared" si="50"/>
        <v>9402998.6099999975</v>
      </c>
      <c r="AW431" s="670">
        <f t="shared" si="51"/>
        <v>0</v>
      </c>
      <c r="AX431" s="671">
        <f t="shared" si="45"/>
        <v>0</v>
      </c>
    </row>
    <row r="432" spans="1:51">
      <c r="A432" s="664" t="s">
        <v>494</v>
      </c>
      <c r="B432" s="664"/>
      <c r="C432" s="664"/>
      <c r="D432" s="664">
        <v>1160505001</v>
      </c>
      <c r="E432" s="664">
        <v>0</v>
      </c>
      <c r="F432" s="664">
        <v>44825</v>
      </c>
      <c r="G432" s="665">
        <v>43276</v>
      </c>
      <c r="H432" s="665">
        <v>44372</v>
      </c>
      <c r="I432" s="664">
        <v>907</v>
      </c>
      <c r="J432" s="666">
        <v>12000000</v>
      </c>
      <c r="K432" s="666">
        <v>0</v>
      </c>
      <c r="L432" s="666">
        <v>0</v>
      </c>
      <c r="M432" s="664" t="s">
        <v>495</v>
      </c>
      <c r="N432" s="666">
        <v>12000000</v>
      </c>
      <c r="O432" s="666">
        <v>0</v>
      </c>
      <c r="P432" s="666">
        <v>5442000</v>
      </c>
      <c r="Q432" s="664">
        <v>1</v>
      </c>
      <c r="R432" s="664" t="s">
        <v>496</v>
      </c>
      <c r="S432" s="664">
        <v>100</v>
      </c>
      <c r="T432" s="666">
        <v>12000000</v>
      </c>
      <c r="U432" s="666">
        <v>0</v>
      </c>
      <c r="V432" s="664">
        <v>100</v>
      </c>
      <c r="W432" s="666">
        <v>7564859</v>
      </c>
      <c r="X432" s="664">
        <v>2</v>
      </c>
      <c r="Y432" s="664">
        <v>1160902010</v>
      </c>
      <c r="Z432" s="664">
        <v>2023</v>
      </c>
      <c r="AA432" s="664">
        <v>12</v>
      </c>
      <c r="AB432" s="664">
        <v>5026003002</v>
      </c>
      <c r="AC432" s="664">
        <v>1160903005</v>
      </c>
      <c r="AD432" s="664">
        <v>0</v>
      </c>
      <c r="AE432" s="664">
        <v>0</v>
      </c>
      <c r="AF432" s="664">
        <v>0</v>
      </c>
      <c r="AG432" s="664">
        <v>1160605001</v>
      </c>
      <c r="AH432" s="664">
        <v>907</v>
      </c>
      <c r="AI432" s="664" t="s">
        <v>499</v>
      </c>
      <c r="AJ432" s="667">
        <v>0.05</v>
      </c>
      <c r="AK432" s="668">
        <f t="shared" si="46"/>
        <v>600000</v>
      </c>
      <c r="AL432" s="668">
        <f t="shared" si="47"/>
        <v>600000</v>
      </c>
      <c r="AM432" s="668">
        <f t="shared" si="47"/>
        <v>600000</v>
      </c>
      <c r="AN432" s="668"/>
      <c r="AO432" s="668"/>
      <c r="AP432" s="668">
        <f t="shared" si="48"/>
        <v>0</v>
      </c>
      <c r="AQ432" s="668">
        <f t="shared" si="49"/>
        <v>0</v>
      </c>
      <c r="AR432" s="668">
        <f t="shared" si="49"/>
        <v>0</v>
      </c>
      <c r="AS432" s="668"/>
      <c r="AT432" s="668"/>
      <c r="AV432" s="670">
        <f t="shared" si="50"/>
        <v>10200000</v>
      </c>
      <c r="AW432" s="670">
        <f t="shared" si="51"/>
        <v>0</v>
      </c>
      <c r="AX432" s="671">
        <f t="shared" si="45"/>
        <v>0</v>
      </c>
    </row>
    <row r="433" spans="1:50">
      <c r="A433" s="664" t="s">
        <v>494</v>
      </c>
      <c r="B433" s="664"/>
      <c r="C433" s="664"/>
      <c r="D433" s="664">
        <v>1160505001</v>
      </c>
      <c r="E433" s="664">
        <v>0</v>
      </c>
      <c r="F433" s="664">
        <v>46365</v>
      </c>
      <c r="G433" s="665">
        <v>43539</v>
      </c>
      <c r="H433" s="665">
        <v>44270</v>
      </c>
      <c r="I433" s="664">
        <v>1007</v>
      </c>
      <c r="J433" s="666">
        <v>7000000</v>
      </c>
      <c r="K433" s="666">
        <v>1851500</v>
      </c>
      <c r="L433" s="666">
        <v>0</v>
      </c>
      <c r="M433" s="664" t="s">
        <v>495</v>
      </c>
      <c r="N433" s="666">
        <v>7000000</v>
      </c>
      <c r="O433" s="666">
        <v>1851500</v>
      </c>
      <c r="P433" s="666">
        <v>3524500</v>
      </c>
      <c r="Q433" s="664">
        <v>1</v>
      </c>
      <c r="R433" s="664" t="s">
        <v>496</v>
      </c>
      <c r="S433" s="664">
        <v>100</v>
      </c>
      <c r="T433" s="666">
        <v>7000000</v>
      </c>
      <c r="U433" s="666">
        <v>1851500</v>
      </c>
      <c r="V433" s="664">
        <v>200</v>
      </c>
      <c r="W433" s="666">
        <v>1438797</v>
      </c>
      <c r="X433" s="664">
        <v>2</v>
      </c>
      <c r="Y433" s="664">
        <v>1160902010</v>
      </c>
      <c r="Z433" s="664">
        <v>2023</v>
      </c>
      <c r="AA433" s="664">
        <v>12</v>
      </c>
      <c r="AB433" s="664">
        <v>5026003002</v>
      </c>
      <c r="AC433" s="664">
        <v>1160903005</v>
      </c>
      <c r="AD433" s="664">
        <v>0</v>
      </c>
      <c r="AE433" s="664">
        <v>0</v>
      </c>
      <c r="AF433" s="664">
        <v>0</v>
      </c>
      <c r="AG433" s="664">
        <v>1160605001</v>
      </c>
      <c r="AH433" s="664">
        <v>1007</v>
      </c>
      <c r="AI433" s="664" t="s">
        <v>499</v>
      </c>
      <c r="AJ433" s="667">
        <v>0.05</v>
      </c>
      <c r="AK433" s="668">
        <f t="shared" si="46"/>
        <v>350000</v>
      </c>
      <c r="AL433" s="668">
        <f t="shared" si="47"/>
        <v>350000</v>
      </c>
      <c r="AM433" s="668">
        <f t="shared" si="47"/>
        <v>350000</v>
      </c>
      <c r="AN433" s="668"/>
      <c r="AO433" s="668"/>
      <c r="AP433" s="668">
        <f t="shared" si="48"/>
        <v>46287.5</v>
      </c>
      <c r="AQ433" s="668">
        <f t="shared" si="49"/>
        <v>46287.5</v>
      </c>
      <c r="AR433" s="668">
        <f t="shared" si="49"/>
        <v>46287.5</v>
      </c>
      <c r="AS433" s="668"/>
      <c r="AT433" s="668"/>
      <c r="AV433" s="670">
        <f t="shared" si="50"/>
        <v>5950000</v>
      </c>
      <c r="AW433" s="670">
        <f t="shared" si="51"/>
        <v>1712637.5</v>
      </c>
      <c r="AX433" s="671">
        <f t="shared" si="45"/>
        <v>0</v>
      </c>
    </row>
    <row r="434" spans="1:50">
      <c r="AK434" s="679">
        <f>SUM(AK6:AK433)</f>
        <v>282567396.87999994</v>
      </c>
      <c r="AL434" s="679">
        <f>SUM(AL6:AL433)</f>
        <v>282567396.87999994</v>
      </c>
      <c r="AM434" s="679">
        <f>SUM(AM6:AM433)</f>
        <v>193306470.38</v>
      </c>
      <c r="AN434" s="680"/>
      <c r="AO434" s="680"/>
      <c r="AP434" s="680">
        <f>SUM(AP6:AP433)</f>
        <v>30873147.06999997</v>
      </c>
      <c r="AQ434" s="680">
        <f t="shared" ref="AQ434:AR434" si="53">SUM(AQ6:AQ433)</f>
        <v>30873147.06999997</v>
      </c>
      <c r="AR434" s="680">
        <f t="shared" si="53"/>
        <v>30873147.06999997</v>
      </c>
      <c r="AS434" s="680"/>
      <c r="AT434" s="680"/>
      <c r="AV434" s="670"/>
      <c r="AW434" s="670"/>
    </row>
    <row r="435" spans="1:50">
      <c r="N435" s="678">
        <f>1080-365</f>
        <v>715</v>
      </c>
      <c r="AL435" s="681"/>
      <c r="AM435" s="681"/>
      <c r="AQ435" s="681"/>
      <c r="AR435" s="681"/>
      <c r="AV435" s="670">
        <f t="shared" si="50"/>
        <v>0</v>
      </c>
      <c r="AW435" s="670">
        <f t="shared" si="51"/>
        <v>0</v>
      </c>
    </row>
    <row r="436" spans="1:50">
      <c r="G436" s="682"/>
      <c r="H436" s="682"/>
      <c r="I436" s="682"/>
      <c r="AL436" s="681"/>
      <c r="AM436" s="681"/>
      <c r="AQ436" s="681"/>
      <c r="AR436" s="681"/>
      <c r="AV436" s="670">
        <f t="shared" si="50"/>
        <v>0</v>
      </c>
      <c r="AW436" s="670">
        <f t="shared" si="51"/>
        <v>0</v>
      </c>
    </row>
    <row r="437" spans="1:50">
      <c r="G437" s="682"/>
      <c r="H437" s="682"/>
      <c r="I437" s="682"/>
      <c r="AL437" s="681"/>
      <c r="AM437" s="681"/>
      <c r="AQ437" s="681"/>
      <c r="AV437" s="670">
        <f t="shared" si="50"/>
        <v>0</v>
      </c>
      <c r="AW437" s="670" t="e">
        <f>+K437-AP437-AQ437-#REF!</f>
        <v>#REF!</v>
      </c>
    </row>
    <row r="438" spans="1:50">
      <c r="AL438" s="681"/>
      <c r="AM438" s="681"/>
      <c r="AQ438" s="681"/>
      <c r="AV438" s="670">
        <f t="shared" si="50"/>
        <v>0</v>
      </c>
      <c r="AW438" s="670" t="e">
        <f>+K438-AP438-AQ438-#REF!</f>
        <v>#REF!</v>
      </c>
    </row>
    <row r="439" spans="1:50">
      <c r="AL439" s="681"/>
      <c r="AM439" s="681"/>
      <c r="AQ439" s="681"/>
      <c r="AV439" s="670">
        <f t="shared" si="50"/>
        <v>0</v>
      </c>
      <c r="AW439" s="670" t="e">
        <f>+K439-AP439-AQ439-#REF!</f>
        <v>#REF!</v>
      </c>
    </row>
    <row r="440" spans="1:50">
      <c r="AL440" s="681"/>
      <c r="AM440" s="681"/>
      <c r="AQ440" s="681"/>
      <c r="AV440" s="670">
        <f t="shared" si="50"/>
        <v>0</v>
      </c>
      <c r="AW440" s="670" t="e">
        <f>+K440-AP440-AQ440-#REF!</f>
        <v>#REF!</v>
      </c>
    </row>
    <row r="441" spans="1:50">
      <c r="AL441" s="681"/>
      <c r="AM441" s="681"/>
      <c r="AQ441" s="681"/>
      <c r="AV441" s="670">
        <f t="shared" si="50"/>
        <v>0</v>
      </c>
      <c r="AW441" s="670" t="e">
        <f>+K441-AP441-AQ441-#REF!</f>
        <v>#REF!</v>
      </c>
    </row>
    <row r="442" spans="1:50">
      <c r="AL442" s="681"/>
      <c r="AM442" s="681"/>
      <c r="AQ442" s="681"/>
      <c r="AV442" s="670">
        <f t="shared" si="50"/>
        <v>0</v>
      </c>
      <c r="AW442" s="670" t="e">
        <f>+K442-AP442-AQ442-#REF!</f>
        <v>#REF!</v>
      </c>
    </row>
    <row r="443" spans="1:50">
      <c r="AL443" s="681"/>
      <c r="AM443" s="681"/>
      <c r="AQ443" s="681"/>
      <c r="AV443" s="670">
        <f t="shared" si="50"/>
        <v>0</v>
      </c>
      <c r="AW443" s="670" t="e">
        <f>+K443-AP443-AQ443-#REF!</f>
        <v>#REF!</v>
      </c>
    </row>
    <row r="444" spans="1:50">
      <c r="AL444" s="681"/>
      <c r="AM444" s="681"/>
      <c r="AQ444" s="681"/>
      <c r="AR444" s="681"/>
      <c r="AV444" s="670">
        <f t="shared" si="50"/>
        <v>0</v>
      </c>
      <c r="AW444" s="670">
        <f t="shared" si="51"/>
        <v>0</v>
      </c>
    </row>
  </sheetData>
  <autoFilter ref="A5:AY444" xr:uid="{00000000-0009-0000-0000-00000E000000}"/>
  <mergeCells count="5">
    <mergeCell ref="AK4:AO4"/>
    <mergeCell ref="AP4:AT4"/>
    <mergeCell ref="BA6:BH9"/>
    <mergeCell ref="BA10:BH11"/>
    <mergeCell ref="BA12:BH15"/>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Z71"/>
  <sheetViews>
    <sheetView showGridLines="0" topLeftCell="N1" zoomScaleNormal="100" workbookViewId="0">
      <pane ySplit="9" topLeftCell="A52" activePane="bottomLeft" state="frozen"/>
      <selection pane="bottomLeft" activeCell="Y53" sqref="Y53"/>
    </sheetView>
  </sheetViews>
  <sheetFormatPr baseColWidth="10" defaultRowHeight="12.75"/>
  <cols>
    <col min="1" max="1" width="10.5703125" style="47" bestFit="1" customWidth="1"/>
    <col min="2" max="3" width="39.42578125" style="47" bestFit="1" customWidth="1"/>
    <col min="4" max="4" width="32" style="47" bestFit="1" customWidth="1"/>
    <col min="5" max="5" width="17.85546875" style="47" bestFit="1" customWidth="1"/>
    <col min="6" max="6" width="22.28515625" style="47" bestFit="1" customWidth="1"/>
    <col min="7" max="7" width="9.7109375" style="47" bestFit="1" customWidth="1"/>
    <col min="8" max="8" width="17.7109375" style="47" bestFit="1" customWidth="1"/>
    <col min="9" max="9" width="10" style="47" bestFit="1" customWidth="1"/>
    <col min="10" max="10" width="9.28515625" style="47" bestFit="1" customWidth="1"/>
    <col min="11" max="11" width="8.28515625" style="47" bestFit="1" customWidth="1"/>
    <col min="12" max="12" width="11.28515625" style="47" bestFit="1" customWidth="1"/>
    <col min="13" max="13" width="12.85546875" style="47" bestFit="1" customWidth="1"/>
    <col min="14" max="14" width="11.140625" style="47" bestFit="1" customWidth="1"/>
    <col min="15" max="15" width="14" style="47" bestFit="1" customWidth="1"/>
    <col min="16" max="16" width="11" style="47" bestFit="1" customWidth="1"/>
    <col min="17" max="17" width="17.5703125" style="47" bestFit="1" customWidth="1"/>
    <col min="18" max="21" width="13.42578125" style="47" bestFit="1" customWidth="1"/>
    <col min="22" max="23" width="14.140625" style="47" bestFit="1" customWidth="1"/>
    <col min="24" max="26" width="13.42578125" style="47" bestFit="1" customWidth="1"/>
    <col min="27" max="16384" width="11.42578125" style="47"/>
  </cols>
  <sheetData>
    <row r="2" spans="1:26">
      <c r="R2" s="155" t="s">
        <v>436</v>
      </c>
      <c r="S2" s="148"/>
      <c r="T2" s="148"/>
      <c r="U2" s="148"/>
    </row>
    <row r="3" spans="1:26">
      <c r="R3" s="194">
        <v>2025</v>
      </c>
      <c r="S3" s="194">
        <v>2026</v>
      </c>
      <c r="T3" s="194">
        <v>2027</v>
      </c>
      <c r="U3" s="194">
        <v>2028</v>
      </c>
      <c r="V3" s="194">
        <v>2029</v>
      </c>
      <c r="W3" s="194">
        <v>2030</v>
      </c>
      <c r="X3" s="194">
        <v>2031</v>
      </c>
      <c r="Y3" s="194">
        <v>2032</v>
      </c>
      <c r="Z3" s="194">
        <v>2033</v>
      </c>
    </row>
    <row r="4" spans="1:26">
      <c r="R4" s="195">
        <f>+'IPC - CAFÉ'!E24</f>
        <v>0.06</v>
      </c>
      <c r="S4" s="195">
        <f>+'IPC - CAFÉ'!F24</f>
        <v>4.5975144331782153E-2</v>
      </c>
      <c r="T4" s="195">
        <f>+'IPC - CAFÉ'!G24</f>
        <v>4.7225144331782154E-2</v>
      </c>
      <c r="U4" s="195">
        <f>+'IPC - CAFÉ'!H24</f>
        <v>4.8475144331782155E-2</v>
      </c>
      <c r="V4" s="195">
        <f>+'IPC - CAFÉ'!I24</f>
        <v>4.9725144331782156E-2</v>
      </c>
      <c r="W4" s="195">
        <f>+'IPC - CAFÉ'!J24</f>
        <v>5.0975144331782157E-2</v>
      </c>
      <c r="X4" s="195">
        <f>+'IPC - CAFÉ'!K24</f>
        <v>5.2225144331782158E-2</v>
      </c>
      <c r="Y4" s="195">
        <f>+'IPC - CAFÉ'!L24</f>
        <v>5.347514433178216E-2</v>
      </c>
      <c r="Z4" s="195">
        <f>+'IPC - CAFÉ'!M24</f>
        <v>5.4725144331782161E-2</v>
      </c>
    </row>
    <row r="7" spans="1:26" ht="15.75">
      <c r="R7" s="905" t="s">
        <v>558</v>
      </c>
      <c r="S7" s="905"/>
      <c r="T7" s="905"/>
      <c r="U7" s="905"/>
    </row>
    <row r="9" spans="1:26" ht="28.5" customHeight="1">
      <c r="A9" s="337" t="s">
        <v>179</v>
      </c>
      <c r="B9" s="337" t="s">
        <v>153</v>
      </c>
      <c r="C9" s="337" t="s">
        <v>154</v>
      </c>
      <c r="D9" s="337" t="s">
        <v>155</v>
      </c>
      <c r="E9" s="337" t="s">
        <v>157</v>
      </c>
      <c r="F9" s="337" t="s">
        <v>156</v>
      </c>
      <c r="G9" s="337" t="s">
        <v>158</v>
      </c>
      <c r="H9" s="337" t="s">
        <v>159</v>
      </c>
      <c r="I9" s="337" t="s">
        <v>160</v>
      </c>
      <c r="J9" s="337" t="s">
        <v>161</v>
      </c>
      <c r="K9" s="337" t="s">
        <v>162</v>
      </c>
      <c r="L9" s="337" t="s">
        <v>163</v>
      </c>
      <c r="M9" s="337" t="s">
        <v>164</v>
      </c>
      <c r="N9" s="337" t="s">
        <v>165</v>
      </c>
      <c r="O9" s="337" t="s">
        <v>166</v>
      </c>
      <c r="P9" s="337" t="s">
        <v>167</v>
      </c>
      <c r="Q9" s="337" t="s">
        <v>557</v>
      </c>
      <c r="R9" s="363" t="s">
        <v>227</v>
      </c>
      <c r="S9" s="363" t="s">
        <v>228</v>
      </c>
      <c r="T9" s="363" t="s">
        <v>229</v>
      </c>
      <c r="U9" s="363" t="s">
        <v>230</v>
      </c>
      <c r="V9" s="363" t="s">
        <v>231</v>
      </c>
      <c r="W9" s="363" t="s">
        <v>232</v>
      </c>
      <c r="X9" s="363" t="s">
        <v>233</v>
      </c>
      <c r="Y9" s="363" t="s">
        <v>3010</v>
      </c>
      <c r="Z9" s="363" t="s">
        <v>3011</v>
      </c>
    </row>
    <row r="10" spans="1:26">
      <c r="A10" s="338"/>
      <c r="B10" s="339"/>
      <c r="C10" s="339"/>
      <c r="D10" s="339"/>
      <c r="E10" s="339"/>
      <c r="F10" s="339"/>
      <c r="G10" s="340">
        <v>0</v>
      </c>
      <c r="H10" s="341">
        <v>0.12</v>
      </c>
      <c r="I10" s="341">
        <v>0.04</v>
      </c>
      <c r="J10" s="341">
        <v>0</v>
      </c>
      <c r="K10" s="341">
        <v>0</v>
      </c>
      <c r="L10" s="342">
        <v>1.44E-2</v>
      </c>
      <c r="M10" s="342">
        <v>8.3299999999999999E-2</v>
      </c>
      <c r="N10" s="341">
        <v>0.01</v>
      </c>
      <c r="O10" s="342">
        <v>4.1700000000000001E-2</v>
      </c>
      <c r="P10" s="342">
        <v>8.3299999999999999E-2</v>
      </c>
      <c r="Q10" s="339"/>
      <c r="R10" s="364"/>
      <c r="S10" s="364">
        <f t="shared" ref="S10:S41" si="0">+R10*(1+S$4)</f>
        <v>0</v>
      </c>
      <c r="T10" s="364">
        <f t="shared" ref="T10:T41" si="1">+S10*(1+T$4)</f>
        <v>0</v>
      </c>
      <c r="U10" s="364">
        <f t="shared" ref="U10:U41" si="2">+T10*(1+U$4)</f>
        <v>0</v>
      </c>
      <c r="V10" s="364">
        <f t="shared" ref="V10:V59" si="3">+U10*(1+V$4)</f>
        <v>0</v>
      </c>
      <c r="W10" s="364">
        <f t="shared" ref="W10:W59" si="4">+V10*(1+W$4)</f>
        <v>0</v>
      </c>
      <c r="X10" s="364">
        <f t="shared" ref="X10:X59" si="5">+W10*(1+X$4)</f>
        <v>0</v>
      </c>
      <c r="Y10" s="364">
        <f t="shared" ref="Y10:Y59" si="6">+X10*(1+Y$4)</f>
        <v>0</v>
      </c>
      <c r="Z10" s="364">
        <f t="shared" ref="Z10:Z59" si="7">+Y10*(1+Z$4)</f>
        <v>0</v>
      </c>
    </row>
    <row r="11" spans="1:26">
      <c r="A11" s="343">
        <v>1</v>
      </c>
      <c r="B11" s="344">
        <v>1</v>
      </c>
      <c r="C11" s="345" t="s">
        <v>170</v>
      </c>
      <c r="D11" s="345" t="s">
        <v>170</v>
      </c>
      <c r="E11" s="346">
        <f>+VLOOKUP(Tabla5[[#This Row],[Columna1]],$A$63:$D$70,4,0)</f>
        <v>8450000</v>
      </c>
      <c r="F11" s="347">
        <f>+IF(Tabla5[[#This Row],[Total Salario]]&lt;=($I$63*2),$I$64,0)</f>
        <v>0</v>
      </c>
      <c r="G11" s="346">
        <f t="shared" ref="G11:G42" si="8">+$G$10*E11</f>
        <v>0</v>
      </c>
      <c r="H11" s="348">
        <f>+$H$10*E11</f>
        <v>1014000</v>
      </c>
      <c r="I11" s="348">
        <f>+$I$10*E11</f>
        <v>338000</v>
      </c>
      <c r="J11" s="348">
        <f t="shared" ref="J11:J42" si="9">+$J$10*E11</f>
        <v>0</v>
      </c>
      <c r="K11" s="348">
        <f t="shared" ref="K11:K42" si="10">+$K$10*E11</f>
        <v>0</v>
      </c>
      <c r="L11" s="348">
        <f t="shared" ref="L11:L37" si="11">+$L$10*E11</f>
        <v>121680</v>
      </c>
      <c r="M11" s="348">
        <f>+$M$10*E11</f>
        <v>703885</v>
      </c>
      <c r="N11" s="348">
        <f>+$N$10*E11</f>
        <v>84500</v>
      </c>
      <c r="O11" s="348">
        <f>+$O$10*E11</f>
        <v>352365</v>
      </c>
      <c r="P11" s="348">
        <f>+$P$10*E11</f>
        <v>703885</v>
      </c>
      <c r="Q11" s="346">
        <f>SUM(Tabla5[[#This Row],[Total Salario]:[Prima]])*12</f>
        <v>141219780</v>
      </c>
      <c r="R11" s="204">
        <f t="shared" ref="R11:R41" si="12">+Q11*(1+R$4)</f>
        <v>149692966.80000001</v>
      </c>
      <c r="S11" s="204">
        <f t="shared" si="0"/>
        <v>156575122.55408269</v>
      </c>
      <c r="T11" s="204">
        <f t="shared" si="1"/>
        <v>163969405.31546572</v>
      </c>
      <c r="U11" s="204">
        <f t="shared" si="2"/>
        <v>171917845.90412942</v>
      </c>
      <c r="V11" s="745">
        <f t="shared" si="3"/>
        <v>180466485.60492131</v>
      </c>
      <c r="W11" s="745">
        <f t="shared" si="4"/>
        <v>189665790.75568163</v>
      </c>
      <c r="X11" s="745">
        <f t="shared" si="5"/>
        <v>199571114.05269867</v>
      </c>
      <c r="Y11" s="745">
        <f t="shared" si="6"/>
        <v>210243208.18112132</v>
      </c>
      <c r="Z11" s="745">
        <f t="shared" si="7"/>
        <v>221748798.09361011</v>
      </c>
    </row>
    <row r="12" spans="1:26">
      <c r="A12" s="343">
        <v>2</v>
      </c>
      <c r="B12" s="344">
        <v>2</v>
      </c>
      <c r="C12" s="345" t="s">
        <v>171</v>
      </c>
      <c r="D12" s="345" t="s">
        <v>175</v>
      </c>
      <c r="E12" s="346">
        <f>+VLOOKUP(Tabla5[[#This Row],[Columna1]],$A$63:$D$70,4,0)</f>
        <v>4030000</v>
      </c>
      <c r="F12" s="347">
        <f>+IF(Tabla5[[#This Row],[Total Salario]]&lt;=($I$63*2),$I$64,0)</f>
        <v>0</v>
      </c>
      <c r="G12" s="346">
        <f t="shared" si="8"/>
        <v>0</v>
      </c>
      <c r="H12" s="348">
        <f t="shared" ref="H12:H59" si="13">+$H$10*E12</f>
        <v>483600</v>
      </c>
      <c r="I12" s="348">
        <f t="shared" ref="I12:I59" si="14">+$I$10*E12</f>
        <v>161200</v>
      </c>
      <c r="J12" s="348">
        <f t="shared" si="9"/>
        <v>0</v>
      </c>
      <c r="K12" s="348">
        <f t="shared" si="10"/>
        <v>0</v>
      </c>
      <c r="L12" s="348">
        <f t="shared" si="11"/>
        <v>58032</v>
      </c>
      <c r="M12" s="348">
        <f t="shared" ref="M12:M59" si="15">+$M$10*E12</f>
        <v>335699</v>
      </c>
      <c r="N12" s="348">
        <f t="shared" ref="N12:N59" si="16">+$N$10*E12</f>
        <v>40300</v>
      </c>
      <c r="O12" s="348">
        <f t="shared" ref="O12:O59" si="17">+$O$10*E12</f>
        <v>168051</v>
      </c>
      <c r="P12" s="348">
        <f t="shared" ref="P12:P59" si="18">+$P$10*E12</f>
        <v>335699</v>
      </c>
      <c r="Q12" s="346">
        <f>SUM(Tabla5[[#This Row],[Total Salario]:[Prima]])*12</f>
        <v>67350972</v>
      </c>
      <c r="R12" s="365">
        <f t="shared" si="12"/>
        <v>71392030.320000008</v>
      </c>
      <c r="S12" s="365">
        <f t="shared" si="0"/>
        <v>74674289.21810098</v>
      </c>
      <c r="T12" s="365">
        <f t="shared" si="1"/>
        <v>78200793.304299042</v>
      </c>
      <c r="U12" s="365">
        <f t="shared" si="2"/>
        <v>81991588.0465848</v>
      </c>
      <c r="V12" s="365">
        <f t="shared" si="3"/>
        <v>86068631.596193254</v>
      </c>
      <c r="W12" s="365">
        <f t="shared" si="4"/>
        <v>90455992.514248177</v>
      </c>
      <c r="X12" s="365">
        <f t="shared" si="5"/>
        <v>95180069.778979391</v>
      </c>
      <c r="Y12" s="365">
        <f t="shared" si="6"/>
        <v>100269837.74791943</v>
      </c>
      <c r="Z12" s="365">
        <f t="shared" si="7"/>
        <v>105757119.09079871</v>
      </c>
    </row>
    <row r="13" spans="1:26">
      <c r="A13" s="343">
        <v>2</v>
      </c>
      <c r="B13" s="344">
        <v>3</v>
      </c>
      <c r="C13" s="345" t="s">
        <v>171</v>
      </c>
      <c r="D13" s="345" t="s">
        <v>174</v>
      </c>
      <c r="E13" s="346">
        <f>+VLOOKUP(Tabla5[[#This Row],[Columna1]],$A$63:$D$70,4,0)</f>
        <v>4030000</v>
      </c>
      <c r="F13" s="347">
        <f>+IF(Tabla5[[#This Row],[Total Salario]]&lt;=($I$63*2),$I$64,0)</f>
        <v>0</v>
      </c>
      <c r="G13" s="346">
        <f t="shared" si="8"/>
        <v>0</v>
      </c>
      <c r="H13" s="348">
        <f t="shared" si="13"/>
        <v>483600</v>
      </c>
      <c r="I13" s="348">
        <f t="shared" si="14"/>
        <v>161200</v>
      </c>
      <c r="J13" s="348">
        <f t="shared" si="9"/>
        <v>0</v>
      </c>
      <c r="K13" s="348">
        <f t="shared" si="10"/>
        <v>0</v>
      </c>
      <c r="L13" s="348">
        <f t="shared" si="11"/>
        <v>58032</v>
      </c>
      <c r="M13" s="348">
        <f t="shared" si="15"/>
        <v>335699</v>
      </c>
      <c r="N13" s="348">
        <f t="shared" si="16"/>
        <v>40300</v>
      </c>
      <c r="O13" s="348">
        <f t="shared" si="17"/>
        <v>168051</v>
      </c>
      <c r="P13" s="348">
        <f t="shared" si="18"/>
        <v>335699</v>
      </c>
      <c r="Q13" s="346">
        <f>SUM(Tabla5[[#This Row],[Total Salario]:[Prima]])*12</f>
        <v>67350972</v>
      </c>
      <c r="R13" s="365">
        <f t="shared" si="12"/>
        <v>71392030.320000008</v>
      </c>
      <c r="S13" s="365">
        <f t="shared" si="0"/>
        <v>74674289.21810098</v>
      </c>
      <c r="T13" s="365">
        <f t="shared" si="1"/>
        <v>78200793.304299042</v>
      </c>
      <c r="U13" s="365">
        <f t="shared" si="2"/>
        <v>81991588.0465848</v>
      </c>
      <c r="V13" s="365">
        <f t="shared" si="3"/>
        <v>86068631.596193254</v>
      </c>
      <c r="W13" s="365">
        <f t="shared" si="4"/>
        <v>90455992.514248177</v>
      </c>
      <c r="X13" s="365">
        <f t="shared" si="5"/>
        <v>95180069.778979391</v>
      </c>
      <c r="Y13" s="365">
        <f t="shared" si="6"/>
        <v>100269837.74791943</v>
      </c>
      <c r="Z13" s="365">
        <f t="shared" si="7"/>
        <v>105757119.09079871</v>
      </c>
    </row>
    <row r="14" spans="1:26">
      <c r="A14" s="343">
        <v>2</v>
      </c>
      <c r="B14" s="344">
        <v>4</v>
      </c>
      <c r="C14" s="345" t="s">
        <v>171</v>
      </c>
      <c r="D14" s="345" t="s">
        <v>173</v>
      </c>
      <c r="E14" s="346">
        <f>+VLOOKUP(Tabla5[[#This Row],[Columna1]],$A$63:$D$70,4,0)</f>
        <v>4030000</v>
      </c>
      <c r="F14" s="347">
        <f>+IF(Tabla5[[#This Row],[Total Salario]]&lt;=($I$63*2),$I$64,0)</f>
        <v>0</v>
      </c>
      <c r="G14" s="346">
        <f t="shared" si="8"/>
        <v>0</v>
      </c>
      <c r="H14" s="348">
        <f t="shared" si="13"/>
        <v>483600</v>
      </c>
      <c r="I14" s="348">
        <f t="shared" si="14"/>
        <v>161200</v>
      </c>
      <c r="J14" s="348">
        <f t="shared" si="9"/>
        <v>0</v>
      </c>
      <c r="K14" s="348">
        <f t="shared" si="10"/>
        <v>0</v>
      </c>
      <c r="L14" s="348">
        <f t="shared" si="11"/>
        <v>58032</v>
      </c>
      <c r="M14" s="348">
        <f t="shared" si="15"/>
        <v>335699</v>
      </c>
      <c r="N14" s="348">
        <f t="shared" si="16"/>
        <v>40300</v>
      </c>
      <c r="O14" s="348">
        <f t="shared" si="17"/>
        <v>168051</v>
      </c>
      <c r="P14" s="348">
        <f t="shared" si="18"/>
        <v>335699</v>
      </c>
      <c r="Q14" s="346">
        <f>SUM(Tabla5[[#This Row],[Total Salario]:[Prima]])*12</f>
        <v>67350972</v>
      </c>
      <c r="R14" s="365">
        <f t="shared" si="12"/>
        <v>71392030.320000008</v>
      </c>
      <c r="S14" s="365">
        <f t="shared" si="0"/>
        <v>74674289.21810098</v>
      </c>
      <c r="T14" s="365">
        <f t="shared" si="1"/>
        <v>78200793.304299042</v>
      </c>
      <c r="U14" s="365">
        <f t="shared" si="2"/>
        <v>81991588.0465848</v>
      </c>
      <c r="V14" s="365">
        <f t="shared" si="3"/>
        <v>86068631.596193254</v>
      </c>
      <c r="W14" s="365">
        <f t="shared" si="4"/>
        <v>90455992.514248177</v>
      </c>
      <c r="X14" s="365">
        <f t="shared" si="5"/>
        <v>95180069.778979391</v>
      </c>
      <c r="Y14" s="365">
        <f t="shared" si="6"/>
        <v>100269837.74791943</v>
      </c>
      <c r="Z14" s="365">
        <f t="shared" si="7"/>
        <v>105757119.09079871</v>
      </c>
    </row>
    <row r="15" spans="1:26">
      <c r="A15" s="343">
        <v>2</v>
      </c>
      <c r="B15" s="344">
        <v>5</v>
      </c>
      <c r="C15" s="345" t="s">
        <v>171</v>
      </c>
      <c r="D15" s="349" t="s">
        <v>172</v>
      </c>
      <c r="E15" s="346">
        <f>+VLOOKUP(Tabla5[[#This Row],[Columna1]],$A$63:$D$70,4,0)</f>
        <v>4030000</v>
      </c>
      <c r="F15" s="347">
        <f>+IF(Tabla5[[#This Row],[Total Salario]]&lt;=($I$63*2),$I$64,0)</f>
        <v>0</v>
      </c>
      <c r="G15" s="350">
        <f t="shared" si="8"/>
        <v>0</v>
      </c>
      <c r="H15" s="348">
        <f t="shared" si="13"/>
        <v>483600</v>
      </c>
      <c r="I15" s="348">
        <f t="shared" si="14"/>
        <v>161200</v>
      </c>
      <c r="J15" s="350">
        <f t="shared" si="9"/>
        <v>0</v>
      </c>
      <c r="K15" s="350">
        <f t="shared" si="10"/>
        <v>0</v>
      </c>
      <c r="L15" s="350">
        <f t="shared" si="11"/>
        <v>58032</v>
      </c>
      <c r="M15" s="348">
        <f t="shared" si="15"/>
        <v>335699</v>
      </c>
      <c r="N15" s="348">
        <f t="shared" si="16"/>
        <v>40300</v>
      </c>
      <c r="O15" s="348">
        <f t="shared" si="17"/>
        <v>168051</v>
      </c>
      <c r="P15" s="348">
        <f t="shared" si="18"/>
        <v>335699</v>
      </c>
      <c r="Q15" s="346">
        <f>SUM(Tabla5[[#This Row],[Total Salario]:[Prima]])*12</f>
        <v>67350972</v>
      </c>
      <c r="R15" s="365">
        <f t="shared" si="12"/>
        <v>71392030.320000008</v>
      </c>
      <c r="S15" s="365">
        <f t="shared" si="0"/>
        <v>74674289.21810098</v>
      </c>
      <c r="T15" s="365">
        <f t="shared" si="1"/>
        <v>78200793.304299042</v>
      </c>
      <c r="U15" s="365">
        <f t="shared" si="2"/>
        <v>81991588.0465848</v>
      </c>
      <c r="V15" s="365">
        <f t="shared" si="3"/>
        <v>86068631.596193254</v>
      </c>
      <c r="W15" s="365">
        <f t="shared" si="4"/>
        <v>90455992.514248177</v>
      </c>
      <c r="X15" s="365">
        <f t="shared" si="5"/>
        <v>95180069.778979391</v>
      </c>
      <c r="Y15" s="365">
        <f t="shared" si="6"/>
        <v>100269837.74791943</v>
      </c>
      <c r="Z15" s="365">
        <f t="shared" si="7"/>
        <v>105757119.09079871</v>
      </c>
    </row>
    <row r="16" spans="1:26">
      <c r="A16" s="343">
        <v>2</v>
      </c>
      <c r="B16" s="344">
        <v>6</v>
      </c>
      <c r="C16" s="345" t="s">
        <v>171</v>
      </c>
      <c r="D16" s="349" t="s">
        <v>176</v>
      </c>
      <c r="E16" s="346">
        <f>+VLOOKUP(Tabla5[[#This Row],[Columna1]],$A$63:$D$70,4,0)</f>
        <v>4030000</v>
      </c>
      <c r="F16" s="347">
        <f>+IF(Tabla5[[#This Row],[Total Salario]]&lt;=($I$63*2),$I$64,0)</f>
        <v>0</v>
      </c>
      <c r="G16" s="350">
        <f t="shared" si="8"/>
        <v>0</v>
      </c>
      <c r="H16" s="348">
        <f t="shared" si="13"/>
        <v>483600</v>
      </c>
      <c r="I16" s="348">
        <f t="shared" si="14"/>
        <v>161200</v>
      </c>
      <c r="J16" s="350">
        <f t="shared" si="9"/>
        <v>0</v>
      </c>
      <c r="K16" s="350">
        <f t="shared" si="10"/>
        <v>0</v>
      </c>
      <c r="L16" s="350">
        <f t="shared" si="11"/>
        <v>58032</v>
      </c>
      <c r="M16" s="348">
        <f t="shared" si="15"/>
        <v>335699</v>
      </c>
      <c r="N16" s="348">
        <f t="shared" si="16"/>
        <v>40300</v>
      </c>
      <c r="O16" s="348">
        <f t="shared" si="17"/>
        <v>168051</v>
      </c>
      <c r="P16" s="348">
        <f t="shared" si="18"/>
        <v>335699</v>
      </c>
      <c r="Q16" s="346">
        <f>SUM(Tabla5[[#This Row],[Total Salario]:[Prima]])*12</f>
        <v>67350972</v>
      </c>
      <c r="R16" s="365">
        <f t="shared" si="12"/>
        <v>71392030.320000008</v>
      </c>
      <c r="S16" s="365">
        <f t="shared" si="0"/>
        <v>74674289.21810098</v>
      </c>
      <c r="T16" s="365">
        <f t="shared" si="1"/>
        <v>78200793.304299042</v>
      </c>
      <c r="U16" s="365">
        <f t="shared" si="2"/>
        <v>81991588.0465848</v>
      </c>
      <c r="V16" s="365">
        <f t="shared" si="3"/>
        <v>86068631.596193254</v>
      </c>
      <c r="W16" s="365">
        <f t="shared" si="4"/>
        <v>90455992.514248177</v>
      </c>
      <c r="X16" s="365">
        <f t="shared" si="5"/>
        <v>95180069.778979391</v>
      </c>
      <c r="Y16" s="365">
        <f t="shared" si="6"/>
        <v>100269837.74791943</v>
      </c>
      <c r="Z16" s="365">
        <f t="shared" si="7"/>
        <v>105757119.09079871</v>
      </c>
    </row>
    <row r="17" spans="1:26">
      <c r="A17" s="343">
        <v>2</v>
      </c>
      <c r="B17" s="344">
        <v>7</v>
      </c>
      <c r="C17" s="345" t="s">
        <v>171</v>
      </c>
      <c r="D17" s="349" t="s">
        <v>177</v>
      </c>
      <c r="E17" s="346">
        <f>+VLOOKUP(Tabla5[[#This Row],[Columna1]],$A$63:$D$70,4,0)</f>
        <v>4030000</v>
      </c>
      <c r="F17" s="347">
        <f>+IF(Tabla5[[#This Row],[Total Salario]]&lt;=($I$63*2),$I$64,0)</f>
        <v>0</v>
      </c>
      <c r="G17" s="350">
        <f t="shared" si="8"/>
        <v>0</v>
      </c>
      <c r="H17" s="348">
        <f t="shared" si="13"/>
        <v>483600</v>
      </c>
      <c r="I17" s="348">
        <f t="shared" si="14"/>
        <v>161200</v>
      </c>
      <c r="J17" s="350">
        <f t="shared" si="9"/>
        <v>0</v>
      </c>
      <c r="K17" s="350">
        <f t="shared" si="10"/>
        <v>0</v>
      </c>
      <c r="L17" s="350">
        <f t="shared" si="11"/>
        <v>58032</v>
      </c>
      <c r="M17" s="348">
        <f t="shared" si="15"/>
        <v>335699</v>
      </c>
      <c r="N17" s="348">
        <f t="shared" si="16"/>
        <v>40300</v>
      </c>
      <c r="O17" s="348">
        <f t="shared" si="17"/>
        <v>168051</v>
      </c>
      <c r="P17" s="348">
        <f t="shared" si="18"/>
        <v>335699</v>
      </c>
      <c r="Q17" s="346">
        <f>SUM(Tabla5[[#This Row],[Total Salario]:[Prima]])*12</f>
        <v>67350972</v>
      </c>
      <c r="R17" s="365">
        <f t="shared" si="12"/>
        <v>71392030.320000008</v>
      </c>
      <c r="S17" s="365">
        <f t="shared" si="0"/>
        <v>74674289.21810098</v>
      </c>
      <c r="T17" s="365">
        <f t="shared" si="1"/>
        <v>78200793.304299042</v>
      </c>
      <c r="U17" s="365">
        <f t="shared" si="2"/>
        <v>81991588.0465848</v>
      </c>
      <c r="V17" s="365">
        <f t="shared" si="3"/>
        <v>86068631.596193254</v>
      </c>
      <c r="W17" s="365">
        <f t="shared" si="4"/>
        <v>90455992.514248177</v>
      </c>
      <c r="X17" s="365">
        <f t="shared" si="5"/>
        <v>95180069.778979391</v>
      </c>
      <c r="Y17" s="365">
        <f t="shared" si="6"/>
        <v>100269837.74791943</v>
      </c>
      <c r="Z17" s="365">
        <f t="shared" si="7"/>
        <v>105757119.09079871</v>
      </c>
    </row>
    <row r="18" spans="1:26">
      <c r="A18" s="343">
        <v>2</v>
      </c>
      <c r="B18" s="344">
        <v>8</v>
      </c>
      <c r="C18" s="345" t="s">
        <v>171</v>
      </c>
      <c r="D18" s="349" t="s">
        <v>178</v>
      </c>
      <c r="E18" s="346">
        <f>+VLOOKUP(Tabla5[[#This Row],[Columna1]],$A$63:$D$70,4,0)</f>
        <v>4030000</v>
      </c>
      <c r="F18" s="347">
        <f>+IF(Tabla5[[#This Row],[Total Salario]]&lt;=($I$63*2),$I$64,0)</f>
        <v>0</v>
      </c>
      <c r="G18" s="350">
        <f t="shared" si="8"/>
        <v>0</v>
      </c>
      <c r="H18" s="348">
        <f t="shared" si="13"/>
        <v>483600</v>
      </c>
      <c r="I18" s="348">
        <f t="shared" si="14"/>
        <v>161200</v>
      </c>
      <c r="J18" s="350">
        <f t="shared" si="9"/>
        <v>0</v>
      </c>
      <c r="K18" s="350">
        <f t="shared" si="10"/>
        <v>0</v>
      </c>
      <c r="L18" s="350">
        <f t="shared" si="11"/>
        <v>58032</v>
      </c>
      <c r="M18" s="348">
        <f t="shared" si="15"/>
        <v>335699</v>
      </c>
      <c r="N18" s="348">
        <f t="shared" si="16"/>
        <v>40300</v>
      </c>
      <c r="O18" s="348">
        <f t="shared" si="17"/>
        <v>168051</v>
      </c>
      <c r="P18" s="348">
        <f t="shared" si="18"/>
        <v>335699</v>
      </c>
      <c r="Q18" s="346">
        <f>SUM(Tabla5[[#This Row],[Total Salario]:[Prima]])*12</f>
        <v>67350972</v>
      </c>
      <c r="R18" s="365">
        <f t="shared" si="12"/>
        <v>71392030.320000008</v>
      </c>
      <c r="S18" s="365">
        <f t="shared" si="0"/>
        <v>74674289.21810098</v>
      </c>
      <c r="T18" s="365">
        <f t="shared" si="1"/>
        <v>78200793.304299042</v>
      </c>
      <c r="U18" s="365">
        <f t="shared" si="2"/>
        <v>81991588.0465848</v>
      </c>
      <c r="V18" s="365">
        <f t="shared" si="3"/>
        <v>86068631.596193254</v>
      </c>
      <c r="W18" s="365">
        <f t="shared" si="4"/>
        <v>90455992.514248177</v>
      </c>
      <c r="X18" s="365">
        <f t="shared" si="5"/>
        <v>95180069.778979391</v>
      </c>
      <c r="Y18" s="365">
        <f t="shared" si="6"/>
        <v>100269837.74791943</v>
      </c>
      <c r="Z18" s="365">
        <f t="shared" si="7"/>
        <v>105757119.09079871</v>
      </c>
    </row>
    <row r="19" spans="1:26">
      <c r="A19" s="351">
        <v>3</v>
      </c>
      <c r="B19" s="352">
        <f t="shared" ref="B19:B59" si="19">B18+1</f>
        <v>9</v>
      </c>
      <c r="C19" s="353" t="s">
        <v>181</v>
      </c>
      <c r="D19" s="349" t="s">
        <v>187</v>
      </c>
      <c r="E19" s="346">
        <f>+VLOOKUP(Tabla5[[#This Row],[Columna1]],$A$63:$D$70,4,0)</f>
        <v>2601000</v>
      </c>
      <c r="F19" s="347">
        <f>+IF(Tabla5[[#This Row],[Total Salario]]&lt;=($I$63*2),$I$64,0)</f>
        <v>0</v>
      </c>
      <c r="G19" s="350">
        <f t="shared" si="8"/>
        <v>0</v>
      </c>
      <c r="H19" s="348">
        <f t="shared" si="13"/>
        <v>312120</v>
      </c>
      <c r="I19" s="348">
        <f t="shared" si="14"/>
        <v>104040</v>
      </c>
      <c r="J19" s="350">
        <f t="shared" si="9"/>
        <v>0</v>
      </c>
      <c r="K19" s="350">
        <f t="shared" si="10"/>
        <v>0</v>
      </c>
      <c r="L19" s="350">
        <f t="shared" si="11"/>
        <v>37454.400000000001</v>
      </c>
      <c r="M19" s="348">
        <f t="shared" si="15"/>
        <v>216663.3</v>
      </c>
      <c r="N19" s="348">
        <f t="shared" si="16"/>
        <v>26010</v>
      </c>
      <c r="O19" s="348">
        <f t="shared" si="17"/>
        <v>108461.7</v>
      </c>
      <c r="P19" s="348">
        <f t="shared" si="18"/>
        <v>216663.3</v>
      </c>
      <c r="Q19" s="346">
        <f>SUM(Tabla5[[#This Row],[Total Salario]:[Prima]])*12</f>
        <v>43468952.399999999</v>
      </c>
      <c r="R19" s="365">
        <f t="shared" si="12"/>
        <v>46077089.544</v>
      </c>
      <c r="S19" s="365">
        <f t="shared" si="0"/>
        <v>48195490.386173852</v>
      </c>
      <c r="T19" s="365">
        <f t="shared" si="1"/>
        <v>50471529.375801928</v>
      </c>
      <c r="U19" s="365">
        <f t="shared" si="2"/>
        <v>52918144.046939708</v>
      </c>
      <c r="V19" s="365">
        <f t="shared" si="3"/>
        <v>55549506.397443824</v>
      </c>
      <c r="W19" s="365">
        <f t="shared" si="4"/>
        <v>58381150.503612772</v>
      </c>
      <c r="X19" s="365">
        <f t="shared" si="5"/>
        <v>61430114.514919437</v>
      </c>
      <c r="Y19" s="365">
        <f t="shared" si="6"/>
        <v>64715098.754922666</v>
      </c>
      <c r="Z19" s="365">
        <f t="shared" si="7"/>
        <v>68256641.874731347</v>
      </c>
    </row>
    <row r="20" spans="1:26">
      <c r="A20" s="351">
        <v>3</v>
      </c>
      <c r="B20" s="352">
        <f t="shared" si="19"/>
        <v>10</v>
      </c>
      <c r="C20" s="353" t="s">
        <v>181</v>
      </c>
      <c r="D20" s="349" t="s">
        <v>188</v>
      </c>
      <c r="E20" s="346">
        <f>+VLOOKUP(Tabla5[[#This Row],[Columna1]],$A$63:$D$70,4,0)</f>
        <v>2601000</v>
      </c>
      <c r="F20" s="347">
        <f>+IF(Tabla5[[#This Row],[Total Salario]]&lt;=($I$63*2),$I$64,0)</f>
        <v>0</v>
      </c>
      <c r="G20" s="350">
        <f t="shared" si="8"/>
        <v>0</v>
      </c>
      <c r="H20" s="348">
        <f t="shared" si="13"/>
        <v>312120</v>
      </c>
      <c r="I20" s="348">
        <f t="shared" si="14"/>
        <v>104040</v>
      </c>
      <c r="J20" s="350">
        <f t="shared" si="9"/>
        <v>0</v>
      </c>
      <c r="K20" s="350">
        <f t="shared" si="10"/>
        <v>0</v>
      </c>
      <c r="L20" s="350">
        <f t="shared" si="11"/>
        <v>37454.400000000001</v>
      </c>
      <c r="M20" s="348">
        <f t="shared" si="15"/>
        <v>216663.3</v>
      </c>
      <c r="N20" s="348">
        <f t="shared" si="16"/>
        <v>26010</v>
      </c>
      <c r="O20" s="348">
        <f t="shared" si="17"/>
        <v>108461.7</v>
      </c>
      <c r="P20" s="348">
        <f t="shared" si="18"/>
        <v>216663.3</v>
      </c>
      <c r="Q20" s="346">
        <f>SUM(Tabla5[[#This Row],[Total Salario]:[Prima]])*12</f>
        <v>43468952.399999999</v>
      </c>
      <c r="R20" s="365">
        <f t="shared" si="12"/>
        <v>46077089.544</v>
      </c>
      <c r="S20" s="365">
        <f t="shared" si="0"/>
        <v>48195490.386173852</v>
      </c>
      <c r="T20" s="365">
        <f t="shared" si="1"/>
        <v>50471529.375801928</v>
      </c>
      <c r="U20" s="365">
        <f t="shared" si="2"/>
        <v>52918144.046939708</v>
      </c>
      <c r="V20" s="365">
        <f t="shared" si="3"/>
        <v>55549506.397443824</v>
      </c>
      <c r="W20" s="365">
        <f t="shared" si="4"/>
        <v>58381150.503612772</v>
      </c>
      <c r="X20" s="365">
        <f t="shared" si="5"/>
        <v>61430114.514919437</v>
      </c>
      <c r="Y20" s="365">
        <f t="shared" si="6"/>
        <v>64715098.754922666</v>
      </c>
      <c r="Z20" s="365">
        <f t="shared" si="7"/>
        <v>68256641.874731347</v>
      </c>
    </row>
    <row r="21" spans="1:26">
      <c r="A21" s="351">
        <v>3</v>
      </c>
      <c r="B21" s="352">
        <f t="shared" si="19"/>
        <v>11</v>
      </c>
      <c r="C21" s="353" t="s">
        <v>181</v>
      </c>
      <c r="D21" s="349" t="s">
        <v>189</v>
      </c>
      <c r="E21" s="346">
        <f>+VLOOKUP(Tabla5[[#This Row],[Columna1]],$A$63:$D$70,4,0)</f>
        <v>2601000</v>
      </c>
      <c r="F21" s="347">
        <f>+IF(Tabla5[[#This Row],[Total Salario]]&lt;=($I$63*2),$I$64,0)</f>
        <v>0</v>
      </c>
      <c r="G21" s="350">
        <f t="shared" si="8"/>
        <v>0</v>
      </c>
      <c r="H21" s="348">
        <f t="shared" si="13"/>
        <v>312120</v>
      </c>
      <c r="I21" s="348">
        <f t="shared" si="14"/>
        <v>104040</v>
      </c>
      <c r="J21" s="350">
        <f t="shared" si="9"/>
        <v>0</v>
      </c>
      <c r="K21" s="350">
        <f t="shared" si="10"/>
        <v>0</v>
      </c>
      <c r="L21" s="350">
        <f t="shared" si="11"/>
        <v>37454.400000000001</v>
      </c>
      <c r="M21" s="348">
        <f t="shared" si="15"/>
        <v>216663.3</v>
      </c>
      <c r="N21" s="348">
        <f t="shared" si="16"/>
        <v>26010</v>
      </c>
      <c r="O21" s="348">
        <f t="shared" si="17"/>
        <v>108461.7</v>
      </c>
      <c r="P21" s="348">
        <f t="shared" si="18"/>
        <v>216663.3</v>
      </c>
      <c r="Q21" s="346">
        <f>SUM(Tabla5[[#This Row],[Total Salario]:[Prima]])*12</f>
        <v>43468952.399999999</v>
      </c>
      <c r="R21" s="365">
        <f t="shared" si="12"/>
        <v>46077089.544</v>
      </c>
      <c r="S21" s="365">
        <f t="shared" si="0"/>
        <v>48195490.386173852</v>
      </c>
      <c r="T21" s="365">
        <f t="shared" si="1"/>
        <v>50471529.375801928</v>
      </c>
      <c r="U21" s="365">
        <f t="shared" si="2"/>
        <v>52918144.046939708</v>
      </c>
      <c r="V21" s="365">
        <f t="shared" si="3"/>
        <v>55549506.397443824</v>
      </c>
      <c r="W21" s="365">
        <f t="shared" si="4"/>
        <v>58381150.503612772</v>
      </c>
      <c r="X21" s="365">
        <f t="shared" si="5"/>
        <v>61430114.514919437</v>
      </c>
      <c r="Y21" s="365">
        <f t="shared" si="6"/>
        <v>64715098.754922666</v>
      </c>
      <c r="Z21" s="365">
        <f t="shared" si="7"/>
        <v>68256641.874731347</v>
      </c>
    </row>
    <row r="22" spans="1:26">
      <c r="A22" s="351">
        <v>3</v>
      </c>
      <c r="B22" s="352">
        <f t="shared" si="19"/>
        <v>12</v>
      </c>
      <c r="C22" s="353" t="s">
        <v>181</v>
      </c>
      <c r="D22" s="349" t="s">
        <v>190</v>
      </c>
      <c r="E22" s="346">
        <f>+VLOOKUP(Tabla5[[#This Row],[Columna1]],$A$63:$D$70,4,0)</f>
        <v>2601000</v>
      </c>
      <c r="F22" s="347">
        <f>+IF(Tabla5[[#This Row],[Total Salario]]&lt;=($I$63*2),$I$64,0)</f>
        <v>0</v>
      </c>
      <c r="G22" s="350">
        <f t="shared" si="8"/>
        <v>0</v>
      </c>
      <c r="H22" s="348">
        <f t="shared" si="13"/>
        <v>312120</v>
      </c>
      <c r="I22" s="348">
        <f t="shared" si="14"/>
        <v>104040</v>
      </c>
      <c r="J22" s="350">
        <f t="shared" si="9"/>
        <v>0</v>
      </c>
      <c r="K22" s="350">
        <f t="shared" si="10"/>
        <v>0</v>
      </c>
      <c r="L22" s="350">
        <f t="shared" si="11"/>
        <v>37454.400000000001</v>
      </c>
      <c r="M22" s="348">
        <f t="shared" si="15"/>
        <v>216663.3</v>
      </c>
      <c r="N22" s="348">
        <f t="shared" si="16"/>
        <v>26010</v>
      </c>
      <c r="O22" s="348">
        <f t="shared" si="17"/>
        <v>108461.7</v>
      </c>
      <c r="P22" s="348">
        <f t="shared" si="18"/>
        <v>216663.3</v>
      </c>
      <c r="Q22" s="346">
        <f>SUM(Tabla5[[#This Row],[Total Salario]:[Prima]])*12</f>
        <v>43468952.399999999</v>
      </c>
      <c r="R22" s="365">
        <f t="shared" si="12"/>
        <v>46077089.544</v>
      </c>
      <c r="S22" s="365">
        <f t="shared" si="0"/>
        <v>48195490.386173852</v>
      </c>
      <c r="T22" s="365">
        <f t="shared" si="1"/>
        <v>50471529.375801928</v>
      </c>
      <c r="U22" s="365">
        <f t="shared" si="2"/>
        <v>52918144.046939708</v>
      </c>
      <c r="V22" s="365">
        <f t="shared" si="3"/>
        <v>55549506.397443824</v>
      </c>
      <c r="W22" s="365">
        <f t="shared" si="4"/>
        <v>58381150.503612772</v>
      </c>
      <c r="X22" s="365">
        <f t="shared" si="5"/>
        <v>61430114.514919437</v>
      </c>
      <c r="Y22" s="365">
        <f t="shared" si="6"/>
        <v>64715098.754922666</v>
      </c>
      <c r="Z22" s="365">
        <f t="shared" si="7"/>
        <v>68256641.874731347</v>
      </c>
    </row>
    <row r="23" spans="1:26">
      <c r="A23" s="351">
        <v>3</v>
      </c>
      <c r="B23" s="352">
        <f t="shared" si="19"/>
        <v>13</v>
      </c>
      <c r="C23" s="353" t="s">
        <v>181</v>
      </c>
      <c r="D23" s="349" t="s">
        <v>191</v>
      </c>
      <c r="E23" s="346">
        <f>+VLOOKUP(Tabla5[[#This Row],[Columna1]],$A$63:$D$70,4,0)</f>
        <v>2601000</v>
      </c>
      <c r="F23" s="347">
        <f>+IF(Tabla5[[#This Row],[Total Salario]]&lt;=($I$63*2),$I$64,0)</f>
        <v>0</v>
      </c>
      <c r="G23" s="350">
        <f t="shared" si="8"/>
        <v>0</v>
      </c>
      <c r="H23" s="348">
        <f t="shared" si="13"/>
        <v>312120</v>
      </c>
      <c r="I23" s="348">
        <f t="shared" si="14"/>
        <v>104040</v>
      </c>
      <c r="J23" s="350">
        <f t="shared" si="9"/>
        <v>0</v>
      </c>
      <c r="K23" s="350">
        <f t="shared" si="10"/>
        <v>0</v>
      </c>
      <c r="L23" s="350">
        <f t="shared" si="11"/>
        <v>37454.400000000001</v>
      </c>
      <c r="M23" s="348">
        <f t="shared" si="15"/>
        <v>216663.3</v>
      </c>
      <c r="N23" s="348">
        <f t="shared" si="16"/>
        <v>26010</v>
      </c>
      <c r="O23" s="348">
        <f t="shared" si="17"/>
        <v>108461.7</v>
      </c>
      <c r="P23" s="348">
        <f t="shared" si="18"/>
        <v>216663.3</v>
      </c>
      <c r="Q23" s="346">
        <f>SUM(Tabla5[[#This Row],[Total Salario]:[Prima]])*12</f>
        <v>43468952.399999999</v>
      </c>
      <c r="R23" s="365">
        <f t="shared" si="12"/>
        <v>46077089.544</v>
      </c>
      <c r="S23" s="365">
        <f t="shared" si="0"/>
        <v>48195490.386173852</v>
      </c>
      <c r="T23" s="365">
        <f t="shared" si="1"/>
        <v>50471529.375801928</v>
      </c>
      <c r="U23" s="365">
        <f t="shared" si="2"/>
        <v>52918144.046939708</v>
      </c>
      <c r="V23" s="365">
        <f t="shared" si="3"/>
        <v>55549506.397443824</v>
      </c>
      <c r="W23" s="365">
        <f t="shared" si="4"/>
        <v>58381150.503612772</v>
      </c>
      <c r="X23" s="365">
        <f t="shared" si="5"/>
        <v>61430114.514919437</v>
      </c>
      <c r="Y23" s="365">
        <f t="shared" si="6"/>
        <v>64715098.754922666</v>
      </c>
      <c r="Z23" s="365">
        <f t="shared" si="7"/>
        <v>68256641.874731347</v>
      </c>
    </row>
    <row r="24" spans="1:26">
      <c r="A24" s="351">
        <v>3</v>
      </c>
      <c r="B24" s="352">
        <f t="shared" si="19"/>
        <v>14</v>
      </c>
      <c r="C24" s="353" t="s">
        <v>181</v>
      </c>
      <c r="D24" s="349" t="s">
        <v>192</v>
      </c>
      <c r="E24" s="346">
        <f>+VLOOKUP(Tabla5[[#This Row],[Columna1]],$A$63:$D$70,4,0)</f>
        <v>2601000</v>
      </c>
      <c r="F24" s="347">
        <f>+IF(Tabla5[[#This Row],[Total Salario]]&lt;=($I$63*2),$I$64,0)</f>
        <v>0</v>
      </c>
      <c r="G24" s="350">
        <f t="shared" si="8"/>
        <v>0</v>
      </c>
      <c r="H24" s="348">
        <f t="shared" si="13"/>
        <v>312120</v>
      </c>
      <c r="I24" s="348">
        <f t="shared" si="14"/>
        <v>104040</v>
      </c>
      <c r="J24" s="350">
        <f t="shared" si="9"/>
        <v>0</v>
      </c>
      <c r="K24" s="350">
        <f t="shared" si="10"/>
        <v>0</v>
      </c>
      <c r="L24" s="350">
        <f t="shared" si="11"/>
        <v>37454.400000000001</v>
      </c>
      <c r="M24" s="348">
        <f t="shared" si="15"/>
        <v>216663.3</v>
      </c>
      <c r="N24" s="348">
        <f t="shared" si="16"/>
        <v>26010</v>
      </c>
      <c r="O24" s="348">
        <f t="shared" si="17"/>
        <v>108461.7</v>
      </c>
      <c r="P24" s="348">
        <f t="shared" si="18"/>
        <v>216663.3</v>
      </c>
      <c r="Q24" s="346">
        <f>SUM(Tabla5[[#This Row],[Total Salario]:[Prima]])*12</f>
        <v>43468952.399999999</v>
      </c>
      <c r="R24" s="365">
        <f t="shared" si="12"/>
        <v>46077089.544</v>
      </c>
      <c r="S24" s="365">
        <f t="shared" si="0"/>
        <v>48195490.386173852</v>
      </c>
      <c r="T24" s="365">
        <f t="shared" si="1"/>
        <v>50471529.375801928</v>
      </c>
      <c r="U24" s="365">
        <f t="shared" si="2"/>
        <v>52918144.046939708</v>
      </c>
      <c r="V24" s="365">
        <f t="shared" si="3"/>
        <v>55549506.397443824</v>
      </c>
      <c r="W24" s="365">
        <f t="shared" si="4"/>
        <v>58381150.503612772</v>
      </c>
      <c r="X24" s="365">
        <f t="shared" si="5"/>
        <v>61430114.514919437</v>
      </c>
      <c r="Y24" s="365">
        <f t="shared" si="6"/>
        <v>64715098.754922666</v>
      </c>
      <c r="Z24" s="365">
        <f t="shared" si="7"/>
        <v>68256641.874731347</v>
      </c>
    </row>
    <row r="25" spans="1:26">
      <c r="A25" s="351">
        <v>3</v>
      </c>
      <c r="B25" s="352">
        <f t="shared" si="19"/>
        <v>15</v>
      </c>
      <c r="C25" s="353" t="s">
        <v>181</v>
      </c>
      <c r="D25" s="349" t="s">
        <v>193</v>
      </c>
      <c r="E25" s="346">
        <f>+VLOOKUP(Tabla5[[#This Row],[Columna1]],$A$63:$D$70,4,0)</f>
        <v>2601000</v>
      </c>
      <c r="F25" s="347">
        <f>+IF(Tabla5[[#This Row],[Total Salario]]&lt;=($I$63*2),$I$64,0)</f>
        <v>0</v>
      </c>
      <c r="G25" s="350">
        <f t="shared" si="8"/>
        <v>0</v>
      </c>
      <c r="H25" s="348">
        <f t="shared" si="13"/>
        <v>312120</v>
      </c>
      <c r="I25" s="348">
        <f t="shared" si="14"/>
        <v>104040</v>
      </c>
      <c r="J25" s="350">
        <f t="shared" si="9"/>
        <v>0</v>
      </c>
      <c r="K25" s="350">
        <f t="shared" si="10"/>
        <v>0</v>
      </c>
      <c r="L25" s="350">
        <f t="shared" si="11"/>
        <v>37454.400000000001</v>
      </c>
      <c r="M25" s="348">
        <f t="shared" si="15"/>
        <v>216663.3</v>
      </c>
      <c r="N25" s="348">
        <f t="shared" si="16"/>
        <v>26010</v>
      </c>
      <c r="O25" s="348">
        <f t="shared" si="17"/>
        <v>108461.7</v>
      </c>
      <c r="P25" s="348">
        <f t="shared" si="18"/>
        <v>216663.3</v>
      </c>
      <c r="Q25" s="346">
        <f>SUM(Tabla5[[#This Row],[Total Salario]:[Prima]])*12</f>
        <v>43468952.399999999</v>
      </c>
      <c r="R25" s="365">
        <f t="shared" si="12"/>
        <v>46077089.544</v>
      </c>
      <c r="S25" s="365">
        <f t="shared" si="0"/>
        <v>48195490.386173852</v>
      </c>
      <c r="T25" s="365">
        <f t="shared" si="1"/>
        <v>50471529.375801928</v>
      </c>
      <c r="U25" s="365">
        <f t="shared" si="2"/>
        <v>52918144.046939708</v>
      </c>
      <c r="V25" s="365">
        <f t="shared" si="3"/>
        <v>55549506.397443824</v>
      </c>
      <c r="W25" s="365">
        <f t="shared" si="4"/>
        <v>58381150.503612772</v>
      </c>
      <c r="X25" s="365">
        <f t="shared" si="5"/>
        <v>61430114.514919437</v>
      </c>
      <c r="Y25" s="365">
        <f t="shared" si="6"/>
        <v>64715098.754922666</v>
      </c>
      <c r="Z25" s="365">
        <f t="shared" si="7"/>
        <v>68256641.874731347</v>
      </c>
    </row>
    <row r="26" spans="1:26">
      <c r="A26" s="351">
        <v>3</v>
      </c>
      <c r="B26" s="352">
        <f t="shared" si="19"/>
        <v>16</v>
      </c>
      <c r="C26" s="353" t="s">
        <v>181</v>
      </c>
      <c r="D26" s="349" t="s">
        <v>194</v>
      </c>
      <c r="E26" s="346">
        <f>+VLOOKUP(Tabla5[[#This Row],[Columna1]],$A$63:$D$70,4,0)</f>
        <v>2601000</v>
      </c>
      <c r="F26" s="347">
        <f>+IF(Tabla5[[#This Row],[Total Salario]]&lt;=($I$63*2),$I$64,0)</f>
        <v>0</v>
      </c>
      <c r="G26" s="350">
        <f t="shared" si="8"/>
        <v>0</v>
      </c>
      <c r="H26" s="348">
        <f t="shared" si="13"/>
        <v>312120</v>
      </c>
      <c r="I26" s="348">
        <f t="shared" si="14"/>
        <v>104040</v>
      </c>
      <c r="J26" s="350">
        <f t="shared" si="9"/>
        <v>0</v>
      </c>
      <c r="K26" s="350">
        <f t="shared" si="10"/>
        <v>0</v>
      </c>
      <c r="L26" s="350">
        <f t="shared" si="11"/>
        <v>37454.400000000001</v>
      </c>
      <c r="M26" s="348">
        <f t="shared" si="15"/>
        <v>216663.3</v>
      </c>
      <c r="N26" s="348">
        <f t="shared" si="16"/>
        <v>26010</v>
      </c>
      <c r="O26" s="348">
        <f t="shared" si="17"/>
        <v>108461.7</v>
      </c>
      <c r="P26" s="348">
        <f t="shared" si="18"/>
        <v>216663.3</v>
      </c>
      <c r="Q26" s="346">
        <f>SUM(Tabla5[[#This Row],[Total Salario]:[Prima]])*12</f>
        <v>43468952.399999999</v>
      </c>
      <c r="R26" s="365">
        <f t="shared" si="12"/>
        <v>46077089.544</v>
      </c>
      <c r="S26" s="365">
        <f t="shared" si="0"/>
        <v>48195490.386173852</v>
      </c>
      <c r="T26" s="365">
        <f t="shared" si="1"/>
        <v>50471529.375801928</v>
      </c>
      <c r="U26" s="365">
        <f t="shared" si="2"/>
        <v>52918144.046939708</v>
      </c>
      <c r="V26" s="365">
        <f t="shared" si="3"/>
        <v>55549506.397443824</v>
      </c>
      <c r="W26" s="365">
        <f t="shared" si="4"/>
        <v>58381150.503612772</v>
      </c>
      <c r="X26" s="365">
        <f t="shared" si="5"/>
        <v>61430114.514919437</v>
      </c>
      <c r="Y26" s="365">
        <f t="shared" si="6"/>
        <v>64715098.754922666</v>
      </c>
      <c r="Z26" s="365">
        <f t="shared" si="7"/>
        <v>68256641.874731347</v>
      </c>
    </row>
    <row r="27" spans="1:26">
      <c r="A27" s="351">
        <v>3</v>
      </c>
      <c r="B27" s="352">
        <f t="shared" si="19"/>
        <v>17</v>
      </c>
      <c r="C27" s="353" t="s">
        <v>181</v>
      </c>
      <c r="D27" s="349" t="s">
        <v>195</v>
      </c>
      <c r="E27" s="346">
        <f>+VLOOKUP(Tabla5[[#This Row],[Columna1]],$A$63:$D$70,4,0)</f>
        <v>2601000</v>
      </c>
      <c r="F27" s="347">
        <f>+IF(Tabla5[[#This Row],[Total Salario]]&lt;=($I$63*2),$I$64,0)</f>
        <v>0</v>
      </c>
      <c r="G27" s="350">
        <f t="shared" si="8"/>
        <v>0</v>
      </c>
      <c r="H27" s="348">
        <f t="shared" si="13"/>
        <v>312120</v>
      </c>
      <c r="I27" s="348">
        <f t="shared" si="14"/>
        <v>104040</v>
      </c>
      <c r="J27" s="350">
        <f t="shared" si="9"/>
        <v>0</v>
      </c>
      <c r="K27" s="350">
        <f t="shared" si="10"/>
        <v>0</v>
      </c>
      <c r="L27" s="350">
        <f t="shared" si="11"/>
        <v>37454.400000000001</v>
      </c>
      <c r="M27" s="348">
        <f t="shared" si="15"/>
        <v>216663.3</v>
      </c>
      <c r="N27" s="348">
        <f t="shared" si="16"/>
        <v>26010</v>
      </c>
      <c r="O27" s="348">
        <f t="shared" si="17"/>
        <v>108461.7</v>
      </c>
      <c r="P27" s="348">
        <f t="shared" si="18"/>
        <v>216663.3</v>
      </c>
      <c r="Q27" s="346">
        <f>SUM(Tabla5[[#This Row],[Total Salario]:[Prima]])*12</f>
        <v>43468952.399999999</v>
      </c>
      <c r="R27" s="365">
        <f t="shared" si="12"/>
        <v>46077089.544</v>
      </c>
      <c r="S27" s="365">
        <f t="shared" si="0"/>
        <v>48195490.386173852</v>
      </c>
      <c r="T27" s="365">
        <f t="shared" si="1"/>
        <v>50471529.375801928</v>
      </c>
      <c r="U27" s="365">
        <f t="shared" si="2"/>
        <v>52918144.046939708</v>
      </c>
      <c r="V27" s="365">
        <f t="shared" si="3"/>
        <v>55549506.397443824</v>
      </c>
      <c r="W27" s="365">
        <f t="shared" si="4"/>
        <v>58381150.503612772</v>
      </c>
      <c r="X27" s="365">
        <f t="shared" si="5"/>
        <v>61430114.514919437</v>
      </c>
      <c r="Y27" s="365">
        <f t="shared" si="6"/>
        <v>64715098.754922666</v>
      </c>
      <c r="Z27" s="365">
        <f t="shared" si="7"/>
        <v>68256641.874731347</v>
      </c>
    </row>
    <row r="28" spans="1:26">
      <c r="A28" s="351">
        <v>3</v>
      </c>
      <c r="B28" s="352">
        <f t="shared" si="19"/>
        <v>18</v>
      </c>
      <c r="C28" s="353" t="s">
        <v>181</v>
      </c>
      <c r="D28" s="349" t="s">
        <v>196</v>
      </c>
      <c r="E28" s="346">
        <f>+VLOOKUP(Tabla5[[#This Row],[Columna1]],$A$63:$D$70,4,0)</f>
        <v>2601000</v>
      </c>
      <c r="F28" s="347">
        <f>+IF(Tabla5[[#This Row],[Total Salario]]&lt;=($I$63*2),$I$64,0)</f>
        <v>0</v>
      </c>
      <c r="G28" s="350">
        <f t="shared" si="8"/>
        <v>0</v>
      </c>
      <c r="H28" s="348">
        <f t="shared" si="13"/>
        <v>312120</v>
      </c>
      <c r="I28" s="348">
        <f t="shared" si="14"/>
        <v>104040</v>
      </c>
      <c r="J28" s="350">
        <f t="shared" si="9"/>
        <v>0</v>
      </c>
      <c r="K28" s="350">
        <f t="shared" si="10"/>
        <v>0</v>
      </c>
      <c r="L28" s="350">
        <f t="shared" si="11"/>
        <v>37454.400000000001</v>
      </c>
      <c r="M28" s="348">
        <f t="shared" si="15"/>
        <v>216663.3</v>
      </c>
      <c r="N28" s="348">
        <f t="shared" si="16"/>
        <v>26010</v>
      </c>
      <c r="O28" s="348">
        <f t="shared" si="17"/>
        <v>108461.7</v>
      </c>
      <c r="P28" s="348">
        <f t="shared" si="18"/>
        <v>216663.3</v>
      </c>
      <c r="Q28" s="346">
        <f>SUM(Tabla5[[#This Row],[Total Salario]:[Prima]])*12</f>
        <v>43468952.399999999</v>
      </c>
      <c r="R28" s="365">
        <f t="shared" si="12"/>
        <v>46077089.544</v>
      </c>
      <c r="S28" s="365">
        <f t="shared" si="0"/>
        <v>48195490.386173852</v>
      </c>
      <c r="T28" s="365">
        <f t="shared" si="1"/>
        <v>50471529.375801928</v>
      </c>
      <c r="U28" s="365">
        <f t="shared" si="2"/>
        <v>52918144.046939708</v>
      </c>
      <c r="V28" s="365">
        <f t="shared" si="3"/>
        <v>55549506.397443824</v>
      </c>
      <c r="W28" s="365">
        <f t="shared" si="4"/>
        <v>58381150.503612772</v>
      </c>
      <c r="X28" s="365">
        <f t="shared" si="5"/>
        <v>61430114.514919437</v>
      </c>
      <c r="Y28" s="365">
        <f t="shared" si="6"/>
        <v>64715098.754922666</v>
      </c>
      <c r="Z28" s="365">
        <f t="shared" si="7"/>
        <v>68256641.874731347</v>
      </c>
    </row>
    <row r="29" spans="1:26">
      <c r="A29" s="351">
        <v>3</v>
      </c>
      <c r="B29" s="352">
        <f t="shared" si="19"/>
        <v>19</v>
      </c>
      <c r="C29" s="353" t="s">
        <v>181</v>
      </c>
      <c r="D29" s="349" t="s">
        <v>197</v>
      </c>
      <c r="E29" s="346">
        <f>+VLOOKUP(Tabla5[[#This Row],[Columna1]],$A$63:$D$70,4,0)</f>
        <v>2601000</v>
      </c>
      <c r="F29" s="347">
        <f>+IF(Tabla5[[#This Row],[Total Salario]]&lt;=($I$63*2),$I$64,0)</f>
        <v>0</v>
      </c>
      <c r="G29" s="350">
        <f t="shared" si="8"/>
        <v>0</v>
      </c>
      <c r="H29" s="348">
        <f t="shared" si="13"/>
        <v>312120</v>
      </c>
      <c r="I29" s="348">
        <f t="shared" si="14"/>
        <v>104040</v>
      </c>
      <c r="J29" s="350">
        <f t="shared" si="9"/>
        <v>0</v>
      </c>
      <c r="K29" s="350">
        <f t="shared" si="10"/>
        <v>0</v>
      </c>
      <c r="L29" s="350">
        <f t="shared" si="11"/>
        <v>37454.400000000001</v>
      </c>
      <c r="M29" s="348">
        <f t="shared" si="15"/>
        <v>216663.3</v>
      </c>
      <c r="N29" s="348">
        <f t="shared" si="16"/>
        <v>26010</v>
      </c>
      <c r="O29" s="348">
        <f t="shared" si="17"/>
        <v>108461.7</v>
      </c>
      <c r="P29" s="348">
        <f t="shared" si="18"/>
        <v>216663.3</v>
      </c>
      <c r="Q29" s="346">
        <f>SUM(Tabla5[[#This Row],[Total Salario]:[Prima]])*12</f>
        <v>43468952.399999999</v>
      </c>
      <c r="R29" s="365">
        <f t="shared" si="12"/>
        <v>46077089.544</v>
      </c>
      <c r="S29" s="365">
        <f t="shared" si="0"/>
        <v>48195490.386173852</v>
      </c>
      <c r="T29" s="365">
        <f t="shared" si="1"/>
        <v>50471529.375801928</v>
      </c>
      <c r="U29" s="365">
        <f t="shared" si="2"/>
        <v>52918144.046939708</v>
      </c>
      <c r="V29" s="365">
        <f t="shared" si="3"/>
        <v>55549506.397443824</v>
      </c>
      <c r="W29" s="365">
        <f t="shared" si="4"/>
        <v>58381150.503612772</v>
      </c>
      <c r="X29" s="365">
        <f t="shared" si="5"/>
        <v>61430114.514919437</v>
      </c>
      <c r="Y29" s="365">
        <f t="shared" si="6"/>
        <v>64715098.754922666</v>
      </c>
      <c r="Z29" s="365">
        <f t="shared" si="7"/>
        <v>68256641.874731347</v>
      </c>
    </row>
    <row r="30" spans="1:26">
      <c r="A30" s="351">
        <v>3</v>
      </c>
      <c r="B30" s="352">
        <f t="shared" si="19"/>
        <v>20</v>
      </c>
      <c r="C30" s="353" t="s">
        <v>181</v>
      </c>
      <c r="D30" s="349" t="s">
        <v>198</v>
      </c>
      <c r="E30" s="346">
        <f>+VLOOKUP(Tabla5[[#This Row],[Columna1]],$A$63:$D$70,4,0)</f>
        <v>2601000</v>
      </c>
      <c r="F30" s="347">
        <f>+IF(Tabla5[[#This Row],[Total Salario]]&lt;=($I$63*2),$I$64,0)</f>
        <v>0</v>
      </c>
      <c r="G30" s="350">
        <f t="shared" si="8"/>
        <v>0</v>
      </c>
      <c r="H30" s="348">
        <f t="shared" si="13"/>
        <v>312120</v>
      </c>
      <c r="I30" s="348">
        <f t="shared" si="14"/>
        <v>104040</v>
      </c>
      <c r="J30" s="350">
        <f t="shared" si="9"/>
        <v>0</v>
      </c>
      <c r="K30" s="350">
        <f t="shared" si="10"/>
        <v>0</v>
      </c>
      <c r="L30" s="350">
        <f t="shared" si="11"/>
        <v>37454.400000000001</v>
      </c>
      <c r="M30" s="348">
        <f t="shared" si="15"/>
        <v>216663.3</v>
      </c>
      <c r="N30" s="348">
        <f t="shared" si="16"/>
        <v>26010</v>
      </c>
      <c r="O30" s="348">
        <f t="shared" si="17"/>
        <v>108461.7</v>
      </c>
      <c r="P30" s="348">
        <f t="shared" si="18"/>
        <v>216663.3</v>
      </c>
      <c r="Q30" s="346">
        <f>SUM(Tabla5[[#This Row],[Total Salario]:[Prima]])*12</f>
        <v>43468952.399999999</v>
      </c>
      <c r="R30" s="365">
        <f t="shared" si="12"/>
        <v>46077089.544</v>
      </c>
      <c r="S30" s="365">
        <f t="shared" si="0"/>
        <v>48195490.386173852</v>
      </c>
      <c r="T30" s="365">
        <f t="shared" si="1"/>
        <v>50471529.375801928</v>
      </c>
      <c r="U30" s="365">
        <f t="shared" si="2"/>
        <v>52918144.046939708</v>
      </c>
      <c r="V30" s="365">
        <f t="shared" si="3"/>
        <v>55549506.397443824</v>
      </c>
      <c r="W30" s="365">
        <f t="shared" si="4"/>
        <v>58381150.503612772</v>
      </c>
      <c r="X30" s="365">
        <f t="shared" si="5"/>
        <v>61430114.514919437</v>
      </c>
      <c r="Y30" s="365">
        <f t="shared" si="6"/>
        <v>64715098.754922666</v>
      </c>
      <c r="Z30" s="365">
        <f t="shared" si="7"/>
        <v>68256641.874731347</v>
      </c>
    </row>
    <row r="31" spans="1:26">
      <c r="A31" s="351">
        <v>3</v>
      </c>
      <c r="B31" s="352">
        <f t="shared" si="19"/>
        <v>21</v>
      </c>
      <c r="C31" s="353" t="s">
        <v>181</v>
      </c>
      <c r="D31" s="349" t="s">
        <v>199</v>
      </c>
      <c r="E31" s="346">
        <f>+VLOOKUP(Tabla5[[#This Row],[Columna1]],$A$63:$D$70,4,0)</f>
        <v>2601000</v>
      </c>
      <c r="F31" s="347">
        <f>+IF(Tabla5[[#This Row],[Total Salario]]&lt;=($I$63*2),$I$64,0)</f>
        <v>0</v>
      </c>
      <c r="G31" s="350">
        <f t="shared" si="8"/>
        <v>0</v>
      </c>
      <c r="H31" s="348">
        <f t="shared" si="13"/>
        <v>312120</v>
      </c>
      <c r="I31" s="348">
        <f t="shared" si="14"/>
        <v>104040</v>
      </c>
      <c r="J31" s="350">
        <f t="shared" si="9"/>
        <v>0</v>
      </c>
      <c r="K31" s="350">
        <f t="shared" si="10"/>
        <v>0</v>
      </c>
      <c r="L31" s="350">
        <f t="shared" si="11"/>
        <v>37454.400000000001</v>
      </c>
      <c r="M31" s="348">
        <f t="shared" si="15"/>
        <v>216663.3</v>
      </c>
      <c r="N31" s="348">
        <f t="shared" si="16"/>
        <v>26010</v>
      </c>
      <c r="O31" s="348">
        <f t="shared" si="17"/>
        <v>108461.7</v>
      </c>
      <c r="P31" s="348">
        <f t="shared" si="18"/>
        <v>216663.3</v>
      </c>
      <c r="Q31" s="346">
        <f>SUM(Tabla5[[#This Row],[Total Salario]:[Prima]])*12</f>
        <v>43468952.399999999</v>
      </c>
      <c r="R31" s="365">
        <f t="shared" si="12"/>
        <v>46077089.544</v>
      </c>
      <c r="S31" s="365">
        <f t="shared" si="0"/>
        <v>48195490.386173852</v>
      </c>
      <c r="T31" s="365">
        <f t="shared" si="1"/>
        <v>50471529.375801928</v>
      </c>
      <c r="U31" s="365">
        <f t="shared" si="2"/>
        <v>52918144.046939708</v>
      </c>
      <c r="V31" s="365">
        <f t="shared" si="3"/>
        <v>55549506.397443824</v>
      </c>
      <c r="W31" s="365">
        <f t="shared" si="4"/>
        <v>58381150.503612772</v>
      </c>
      <c r="X31" s="365">
        <f t="shared" si="5"/>
        <v>61430114.514919437</v>
      </c>
      <c r="Y31" s="365">
        <f t="shared" si="6"/>
        <v>64715098.754922666</v>
      </c>
      <c r="Z31" s="365">
        <f t="shared" si="7"/>
        <v>68256641.874731347</v>
      </c>
    </row>
    <row r="32" spans="1:26">
      <c r="A32" s="351">
        <v>4</v>
      </c>
      <c r="B32" s="352">
        <f t="shared" si="19"/>
        <v>22</v>
      </c>
      <c r="C32" s="353" t="s">
        <v>200</v>
      </c>
      <c r="D32" s="349" t="s">
        <v>187</v>
      </c>
      <c r="E32" s="346">
        <f>+VLOOKUP(Tabla5[[#This Row],[Columna1]],$A$63:$D$70,4,0)</f>
        <v>1625000</v>
      </c>
      <c r="F32" s="347">
        <f>+IF(Tabla5[[#This Row],[Total Salario]]&lt;=($I$63*2),$I$64,0)</f>
        <v>162000</v>
      </c>
      <c r="G32" s="350">
        <f t="shared" si="8"/>
        <v>0</v>
      </c>
      <c r="H32" s="348">
        <f t="shared" si="13"/>
        <v>195000</v>
      </c>
      <c r="I32" s="348">
        <f t="shared" si="14"/>
        <v>65000</v>
      </c>
      <c r="J32" s="350">
        <f t="shared" si="9"/>
        <v>0</v>
      </c>
      <c r="K32" s="350">
        <f t="shared" si="10"/>
        <v>0</v>
      </c>
      <c r="L32" s="350">
        <f t="shared" si="11"/>
        <v>23400</v>
      </c>
      <c r="M32" s="348">
        <f t="shared" si="15"/>
        <v>135362.5</v>
      </c>
      <c r="N32" s="348">
        <f t="shared" si="16"/>
        <v>16250</v>
      </c>
      <c r="O32" s="348">
        <f t="shared" si="17"/>
        <v>67762.5</v>
      </c>
      <c r="P32" s="348">
        <f t="shared" si="18"/>
        <v>135362.5</v>
      </c>
      <c r="Q32" s="346">
        <f>SUM(Tabla5[[#This Row],[Total Salario]:[Prima]])*12</f>
        <v>29101650</v>
      </c>
      <c r="R32" s="365">
        <f t="shared" si="12"/>
        <v>30847749</v>
      </c>
      <c r="S32" s="365">
        <f t="shared" si="0"/>
        <v>32265978.712585591</v>
      </c>
      <c r="T32" s="365">
        <f t="shared" si="1"/>
        <v>33789744.214293659</v>
      </c>
      <c r="U32" s="365">
        <f t="shared" si="2"/>
        <v>35427706.942015544</v>
      </c>
      <c r="V32" s="365">
        <f t="shared" si="3"/>
        <v>37189354.783051342</v>
      </c>
      <c r="W32" s="365">
        <f t="shared" si="4"/>
        <v>39085087.510723233</v>
      </c>
      <c r="X32" s="365">
        <f t="shared" si="5"/>
        <v>41126311.847191088</v>
      </c>
      <c r="Y32" s="365">
        <f t="shared" si="6"/>
        <v>43325547.309053518</v>
      </c>
      <c r="Z32" s="365">
        <f t="shared" si="7"/>
        <v>45696544.138794929</v>
      </c>
    </row>
    <row r="33" spans="1:26">
      <c r="A33" s="351">
        <v>4</v>
      </c>
      <c r="B33" s="352">
        <f t="shared" si="19"/>
        <v>23</v>
      </c>
      <c r="C33" s="353" t="s">
        <v>200</v>
      </c>
      <c r="D33" s="349" t="s">
        <v>188</v>
      </c>
      <c r="E33" s="346">
        <f>+VLOOKUP(Tabla5[[#This Row],[Columna1]],$A$63:$D$70,4,0)</f>
        <v>1625000</v>
      </c>
      <c r="F33" s="347">
        <f>+IF(Tabla5[[#This Row],[Total Salario]]&lt;=($I$63*2),$I$64,0)</f>
        <v>162000</v>
      </c>
      <c r="G33" s="350">
        <f t="shared" si="8"/>
        <v>0</v>
      </c>
      <c r="H33" s="348">
        <f t="shared" si="13"/>
        <v>195000</v>
      </c>
      <c r="I33" s="348">
        <f t="shared" si="14"/>
        <v>65000</v>
      </c>
      <c r="J33" s="350">
        <f t="shared" si="9"/>
        <v>0</v>
      </c>
      <c r="K33" s="350">
        <f t="shared" si="10"/>
        <v>0</v>
      </c>
      <c r="L33" s="350">
        <f t="shared" si="11"/>
        <v>23400</v>
      </c>
      <c r="M33" s="348">
        <f t="shared" si="15"/>
        <v>135362.5</v>
      </c>
      <c r="N33" s="348">
        <f t="shared" si="16"/>
        <v>16250</v>
      </c>
      <c r="O33" s="348">
        <f t="shared" si="17"/>
        <v>67762.5</v>
      </c>
      <c r="P33" s="348">
        <f t="shared" si="18"/>
        <v>135362.5</v>
      </c>
      <c r="Q33" s="346">
        <f>SUM(Tabla5[[#This Row],[Total Salario]:[Prima]])*12</f>
        <v>29101650</v>
      </c>
      <c r="R33" s="365">
        <f t="shared" si="12"/>
        <v>30847749</v>
      </c>
      <c r="S33" s="365">
        <f t="shared" si="0"/>
        <v>32265978.712585591</v>
      </c>
      <c r="T33" s="365">
        <f t="shared" si="1"/>
        <v>33789744.214293659</v>
      </c>
      <c r="U33" s="365">
        <f t="shared" si="2"/>
        <v>35427706.942015544</v>
      </c>
      <c r="V33" s="365">
        <f t="shared" si="3"/>
        <v>37189354.783051342</v>
      </c>
      <c r="W33" s="365">
        <f t="shared" si="4"/>
        <v>39085087.510723233</v>
      </c>
      <c r="X33" s="365">
        <f t="shared" si="5"/>
        <v>41126311.847191088</v>
      </c>
      <c r="Y33" s="365">
        <f t="shared" si="6"/>
        <v>43325547.309053518</v>
      </c>
      <c r="Z33" s="365">
        <f t="shared" si="7"/>
        <v>45696544.138794929</v>
      </c>
    </row>
    <row r="34" spans="1:26">
      <c r="A34" s="351">
        <v>4</v>
      </c>
      <c r="B34" s="352">
        <f t="shared" si="19"/>
        <v>24</v>
      </c>
      <c r="C34" s="353" t="s">
        <v>200</v>
      </c>
      <c r="D34" s="349" t="s">
        <v>190</v>
      </c>
      <c r="E34" s="346">
        <f>+VLOOKUP(Tabla5[[#This Row],[Columna1]],$A$63:$D$70,4,0)</f>
        <v>1625000</v>
      </c>
      <c r="F34" s="347">
        <f>+IF(Tabla5[[#This Row],[Total Salario]]&lt;=($I$63*2),$I$64,0)</f>
        <v>162000</v>
      </c>
      <c r="G34" s="350">
        <f t="shared" si="8"/>
        <v>0</v>
      </c>
      <c r="H34" s="348">
        <f t="shared" si="13"/>
        <v>195000</v>
      </c>
      <c r="I34" s="348">
        <f t="shared" si="14"/>
        <v>65000</v>
      </c>
      <c r="J34" s="350">
        <f t="shared" si="9"/>
        <v>0</v>
      </c>
      <c r="K34" s="350">
        <f t="shared" si="10"/>
        <v>0</v>
      </c>
      <c r="L34" s="350">
        <f t="shared" si="11"/>
        <v>23400</v>
      </c>
      <c r="M34" s="348">
        <f t="shared" si="15"/>
        <v>135362.5</v>
      </c>
      <c r="N34" s="348">
        <f t="shared" si="16"/>
        <v>16250</v>
      </c>
      <c r="O34" s="348">
        <f t="shared" si="17"/>
        <v>67762.5</v>
      </c>
      <c r="P34" s="348">
        <f t="shared" si="18"/>
        <v>135362.5</v>
      </c>
      <c r="Q34" s="346">
        <f>SUM(Tabla5[[#This Row],[Total Salario]:[Prima]])*12</f>
        <v>29101650</v>
      </c>
      <c r="R34" s="365">
        <f t="shared" si="12"/>
        <v>30847749</v>
      </c>
      <c r="S34" s="365">
        <f t="shared" si="0"/>
        <v>32265978.712585591</v>
      </c>
      <c r="T34" s="365">
        <f t="shared" si="1"/>
        <v>33789744.214293659</v>
      </c>
      <c r="U34" s="365">
        <f t="shared" si="2"/>
        <v>35427706.942015544</v>
      </c>
      <c r="V34" s="365">
        <f t="shared" si="3"/>
        <v>37189354.783051342</v>
      </c>
      <c r="W34" s="365">
        <f t="shared" si="4"/>
        <v>39085087.510723233</v>
      </c>
      <c r="X34" s="365">
        <f t="shared" si="5"/>
        <v>41126311.847191088</v>
      </c>
      <c r="Y34" s="365">
        <f t="shared" si="6"/>
        <v>43325547.309053518</v>
      </c>
      <c r="Z34" s="365">
        <f t="shared" si="7"/>
        <v>45696544.138794929</v>
      </c>
    </row>
    <row r="35" spans="1:26">
      <c r="A35" s="351">
        <v>4</v>
      </c>
      <c r="B35" s="352">
        <f t="shared" si="19"/>
        <v>25</v>
      </c>
      <c r="C35" s="353" t="s">
        <v>200</v>
      </c>
      <c r="D35" s="349" t="s">
        <v>191</v>
      </c>
      <c r="E35" s="346">
        <f>+VLOOKUP(Tabla5[[#This Row],[Columna1]],$A$63:$D$70,4,0)</f>
        <v>1625000</v>
      </c>
      <c r="F35" s="347">
        <f>+IF(Tabla5[[#This Row],[Total Salario]]&lt;=($I$63*2),$I$64,0)</f>
        <v>162000</v>
      </c>
      <c r="G35" s="350">
        <f t="shared" si="8"/>
        <v>0</v>
      </c>
      <c r="H35" s="348">
        <f t="shared" si="13"/>
        <v>195000</v>
      </c>
      <c r="I35" s="348">
        <f t="shared" si="14"/>
        <v>65000</v>
      </c>
      <c r="J35" s="350">
        <f t="shared" si="9"/>
        <v>0</v>
      </c>
      <c r="K35" s="350">
        <f t="shared" si="10"/>
        <v>0</v>
      </c>
      <c r="L35" s="350">
        <f t="shared" si="11"/>
        <v>23400</v>
      </c>
      <c r="M35" s="348">
        <f t="shared" si="15"/>
        <v>135362.5</v>
      </c>
      <c r="N35" s="348">
        <f t="shared" si="16"/>
        <v>16250</v>
      </c>
      <c r="O35" s="348">
        <f t="shared" si="17"/>
        <v>67762.5</v>
      </c>
      <c r="P35" s="348">
        <f t="shared" si="18"/>
        <v>135362.5</v>
      </c>
      <c r="Q35" s="346">
        <f>SUM(Tabla5[[#This Row],[Total Salario]:[Prima]])*12</f>
        <v>29101650</v>
      </c>
      <c r="R35" s="365">
        <f t="shared" si="12"/>
        <v>30847749</v>
      </c>
      <c r="S35" s="365">
        <f t="shared" si="0"/>
        <v>32265978.712585591</v>
      </c>
      <c r="T35" s="365">
        <f t="shared" si="1"/>
        <v>33789744.214293659</v>
      </c>
      <c r="U35" s="365">
        <f t="shared" si="2"/>
        <v>35427706.942015544</v>
      </c>
      <c r="V35" s="365">
        <f t="shared" si="3"/>
        <v>37189354.783051342</v>
      </c>
      <c r="W35" s="365">
        <f t="shared" si="4"/>
        <v>39085087.510723233</v>
      </c>
      <c r="X35" s="365">
        <f t="shared" si="5"/>
        <v>41126311.847191088</v>
      </c>
      <c r="Y35" s="365">
        <f t="shared" si="6"/>
        <v>43325547.309053518</v>
      </c>
      <c r="Z35" s="365">
        <f t="shared" si="7"/>
        <v>45696544.138794929</v>
      </c>
    </row>
    <row r="36" spans="1:26">
      <c r="A36" s="351">
        <v>4</v>
      </c>
      <c r="B36" s="352">
        <f t="shared" si="19"/>
        <v>26</v>
      </c>
      <c r="C36" s="353" t="s">
        <v>200</v>
      </c>
      <c r="D36" s="349" t="s">
        <v>199</v>
      </c>
      <c r="E36" s="346">
        <f>+VLOOKUP(Tabla5[[#This Row],[Columna1]],$A$63:$D$70,4,0)</f>
        <v>1625000</v>
      </c>
      <c r="F36" s="347">
        <f>+IF(Tabla5[[#This Row],[Total Salario]]&lt;=($I$63*2),$I$64,0)</f>
        <v>162000</v>
      </c>
      <c r="G36" s="350">
        <f t="shared" si="8"/>
        <v>0</v>
      </c>
      <c r="H36" s="348">
        <f t="shared" si="13"/>
        <v>195000</v>
      </c>
      <c r="I36" s="348">
        <f t="shared" si="14"/>
        <v>65000</v>
      </c>
      <c r="J36" s="350">
        <f t="shared" si="9"/>
        <v>0</v>
      </c>
      <c r="K36" s="350">
        <f t="shared" si="10"/>
        <v>0</v>
      </c>
      <c r="L36" s="350">
        <f t="shared" si="11"/>
        <v>23400</v>
      </c>
      <c r="M36" s="348">
        <f t="shared" si="15"/>
        <v>135362.5</v>
      </c>
      <c r="N36" s="348">
        <f t="shared" si="16"/>
        <v>16250</v>
      </c>
      <c r="O36" s="348">
        <f t="shared" si="17"/>
        <v>67762.5</v>
      </c>
      <c r="P36" s="348">
        <f t="shared" si="18"/>
        <v>135362.5</v>
      </c>
      <c r="Q36" s="346">
        <f>SUM(Tabla5[[#This Row],[Total Salario]:[Prima]])*12</f>
        <v>29101650</v>
      </c>
      <c r="R36" s="365">
        <f t="shared" si="12"/>
        <v>30847749</v>
      </c>
      <c r="S36" s="365">
        <f t="shared" si="0"/>
        <v>32265978.712585591</v>
      </c>
      <c r="T36" s="365">
        <f t="shared" si="1"/>
        <v>33789744.214293659</v>
      </c>
      <c r="U36" s="365">
        <f t="shared" si="2"/>
        <v>35427706.942015544</v>
      </c>
      <c r="V36" s="365">
        <f t="shared" si="3"/>
        <v>37189354.783051342</v>
      </c>
      <c r="W36" s="365">
        <f t="shared" si="4"/>
        <v>39085087.510723233</v>
      </c>
      <c r="X36" s="365">
        <f t="shared" si="5"/>
        <v>41126311.847191088</v>
      </c>
      <c r="Y36" s="365">
        <f t="shared" si="6"/>
        <v>43325547.309053518</v>
      </c>
      <c r="Z36" s="365">
        <f t="shared" si="7"/>
        <v>45696544.138794929</v>
      </c>
    </row>
    <row r="37" spans="1:26">
      <c r="A37" s="351">
        <v>4</v>
      </c>
      <c r="B37" s="352">
        <f t="shared" si="19"/>
        <v>27</v>
      </c>
      <c r="C37" s="353" t="s">
        <v>200</v>
      </c>
      <c r="D37" s="349" t="s">
        <v>201</v>
      </c>
      <c r="E37" s="346">
        <f>+VLOOKUP(Tabla5[[#This Row],[Columna1]],$A$63:$D$70,4,0)</f>
        <v>1625000</v>
      </c>
      <c r="F37" s="347">
        <f>+IF(Tabla5[[#This Row],[Total Salario]]&lt;=($I$63*2),$I$64,0)</f>
        <v>162000</v>
      </c>
      <c r="G37" s="350">
        <f t="shared" si="8"/>
        <v>0</v>
      </c>
      <c r="H37" s="348">
        <f t="shared" si="13"/>
        <v>195000</v>
      </c>
      <c r="I37" s="348">
        <f t="shared" si="14"/>
        <v>65000</v>
      </c>
      <c r="J37" s="350">
        <f t="shared" si="9"/>
        <v>0</v>
      </c>
      <c r="K37" s="350">
        <f t="shared" si="10"/>
        <v>0</v>
      </c>
      <c r="L37" s="350">
        <f t="shared" si="11"/>
        <v>23400</v>
      </c>
      <c r="M37" s="348">
        <f t="shared" si="15"/>
        <v>135362.5</v>
      </c>
      <c r="N37" s="348">
        <f t="shared" si="16"/>
        <v>16250</v>
      </c>
      <c r="O37" s="348">
        <f t="shared" si="17"/>
        <v>67762.5</v>
      </c>
      <c r="P37" s="348">
        <f t="shared" si="18"/>
        <v>135362.5</v>
      </c>
      <c r="Q37" s="346">
        <f>SUM(Tabla5[[#This Row],[Total Salario]:[Prima]])*12</f>
        <v>29101650</v>
      </c>
      <c r="R37" s="365">
        <f t="shared" si="12"/>
        <v>30847749</v>
      </c>
      <c r="S37" s="365">
        <f t="shared" si="0"/>
        <v>32265978.712585591</v>
      </c>
      <c r="T37" s="365">
        <f t="shared" si="1"/>
        <v>33789744.214293659</v>
      </c>
      <c r="U37" s="365">
        <f t="shared" si="2"/>
        <v>35427706.942015544</v>
      </c>
      <c r="V37" s="365">
        <f t="shared" si="3"/>
        <v>37189354.783051342</v>
      </c>
      <c r="W37" s="365">
        <f t="shared" si="4"/>
        <v>39085087.510723233</v>
      </c>
      <c r="X37" s="365">
        <f t="shared" si="5"/>
        <v>41126311.847191088</v>
      </c>
      <c r="Y37" s="365">
        <f t="shared" si="6"/>
        <v>43325547.309053518</v>
      </c>
      <c r="Z37" s="365">
        <f t="shared" si="7"/>
        <v>45696544.138794929</v>
      </c>
    </row>
    <row r="38" spans="1:26">
      <c r="A38" s="354">
        <v>5</v>
      </c>
      <c r="B38" s="352">
        <f t="shared" si="19"/>
        <v>28</v>
      </c>
      <c r="C38" s="353" t="s">
        <v>183</v>
      </c>
      <c r="D38" s="349" t="s">
        <v>187</v>
      </c>
      <c r="E38" s="346">
        <f>+VLOOKUP(Tabla5[[#This Row],[Columna1]],$A$63:$D$70,4,0)</f>
        <v>1300000</v>
      </c>
      <c r="F38" s="347">
        <f>+IF(Tabla5[[#This Row],[Total Salario]]&lt;=($I$63*2),$I$64,0)</f>
        <v>162000</v>
      </c>
      <c r="G38" s="350">
        <f t="shared" si="8"/>
        <v>0</v>
      </c>
      <c r="H38" s="348">
        <f t="shared" si="13"/>
        <v>156000</v>
      </c>
      <c r="I38" s="348">
        <f t="shared" si="14"/>
        <v>52000</v>
      </c>
      <c r="J38" s="350">
        <f t="shared" si="9"/>
        <v>0</v>
      </c>
      <c r="K38" s="350">
        <f t="shared" si="10"/>
        <v>0</v>
      </c>
      <c r="L38" s="350">
        <f>+($L$10*E38)*2</f>
        <v>37440</v>
      </c>
      <c r="M38" s="348">
        <f t="shared" si="15"/>
        <v>108290</v>
      </c>
      <c r="N38" s="348">
        <f t="shared" si="16"/>
        <v>13000</v>
      </c>
      <c r="O38" s="348">
        <f t="shared" si="17"/>
        <v>54210</v>
      </c>
      <c r="P38" s="348">
        <f t="shared" si="18"/>
        <v>108290</v>
      </c>
      <c r="Q38" s="346">
        <f>SUM(Tabla5[[#This Row],[Total Salario]:[Prima]])*12</f>
        <v>23894760</v>
      </c>
      <c r="R38" s="365">
        <f t="shared" si="12"/>
        <v>25328445.600000001</v>
      </c>
      <c r="S38" s="365">
        <f t="shared" si="0"/>
        <v>26492924.542159695</v>
      </c>
      <c r="T38" s="365">
        <f t="shared" si="1"/>
        <v>27744056.727434199</v>
      </c>
      <c r="U38" s="365">
        <f t="shared" si="2"/>
        <v>29088953.881645724</v>
      </c>
      <c r="V38" s="365">
        <f t="shared" si="3"/>
        <v>30535406.311871111</v>
      </c>
      <c r="W38" s="365">
        <f t="shared" si="4"/>
        <v>32091953.055848349</v>
      </c>
      <c r="X38" s="365">
        <f t="shared" si="5"/>
        <v>33767959.936078802</v>
      </c>
      <c r="Y38" s="365">
        <f t="shared" si="6"/>
        <v>35573706.467450455</v>
      </c>
      <c r="Z38" s="365">
        <f t="shared" si="7"/>
        <v>37520482.688298136</v>
      </c>
    </row>
    <row r="39" spans="1:26">
      <c r="A39" s="354">
        <v>5</v>
      </c>
      <c r="B39" s="352">
        <f t="shared" si="19"/>
        <v>29</v>
      </c>
      <c r="C39" s="353" t="s">
        <v>183</v>
      </c>
      <c r="D39" s="349" t="s">
        <v>189</v>
      </c>
      <c r="E39" s="346">
        <f>+VLOOKUP(Tabla5[[#This Row],[Columna1]],$A$63:$D$70,4,0)</f>
        <v>1300000</v>
      </c>
      <c r="F39" s="347">
        <f>+IF(Tabla5[[#This Row],[Total Salario]]&lt;=($I$63*2),$I$64,0)</f>
        <v>162000</v>
      </c>
      <c r="G39" s="350">
        <f t="shared" si="8"/>
        <v>0</v>
      </c>
      <c r="H39" s="348">
        <f t="shared" si="13"/>
        <v>156000</v>
      </c>
      <c r="I39" s="348">
        <f t="shared" si="14"/>
        <v>52000</v>
      </c>
      <c r="J39" s="350">
        <f t="shared" si="9"/>
        <v>0</v>
      </c>
      <c r="K39" s="350">
        <f t="shared" si="10"/>
        <v>0</v>
      </c>
      <c r="L39" s="350">
        <f t="shared" ref="L39:L44" si="20">+($L$10*E39)*2</f>
        <v>37440</v>
      </c>
      <c r="M39" s="348">
        <f t="shared" si="15"/>
        <v>108290</v>
      </c>
      <c r="N39" s="348">
        <f t="shared" si="16"/>
        <v>13000</v>
      </c>
      <c r="O39" s="348">
        <f t="shared" si="17"/>
        <v>54210</v>
      </c>
      <c r="P39" s="348">
        <f t="shared" si="18"/>
        <v>108290</v>
      </c>
      <c r="Q39" s="346">
        <f>SUM(Tabla5[[#This Row],[Total Salario]:[Prima]])*12</f>
        <v>23894760</v>
      </c>
      <c r="R39" s="365">
        <f t="shared" si="12"/>
        <v>25328445.600000001</v>
      </c>
      <c r="S39" s="365">
        <f t="shared" si="0"/>
        <v>26492924.542159695</v>
      </c>
      <c r="T39" s="365">
        <f t="shared" si="1"/>
        <v>27744056.727434199</v>
      </c>
      <c r="U39" s="365">
        <f t="shared" si="2"/>
        <v>29088953.881645724</v>
      </c>
      <c r="V39" s="365">
        <f t="shared" si="3"/>
        <v>30535406.311871111</v>
      </c>
      <c r="W39" s="365">
        <f t="shared" si="4"/>
        <v>32091953.055848349</v>
      </c>
      <c r="X39" s="365">
        <f t="shared" si="5"/>
        <v>33767959.936078802</v>
      </c>
      <c r="Y39" s="365">
        <f t="shared" si="6"/>
        <v>35573706.467450455</v>
      </c>
      <c r="Z39" s="365">
        <f t="shared" si="7"/>
        <v>37520482.688298136</v>
      </c>
    </row>
    <row r="40" spans="1:26">
      <c r="A40" s="354">
        <v>5</v>
      </c>
      <c r="B40" s="352">
        <f t="shared" si="19"/>
        <v>30</v>
      </c>
      <c r="C40" s="353" t="s">
        <v>183</v>
      </c>
      <c r="D40" s="349" t="s">
        <v>190</v>
      </c>
      <c r="E40" s="346">
        <f>+VLOOKUP(Tabla5[[#This Row],[Columna1]],$A$63:$D$70,4,0)</f>
        <v>1300000</v>
      </c>
      <c r="F40" s="347">
        <f>+IF(Tabla5[[#This Row],[Total Salario]]&lt;=($I$63*2),$I$64,0)</f>
        <v>162000</v>
      </c>
      <c r="G40" s="350">
        <f t="shared" si="8"/>
        <v>0</v>
      </c>
      <c r="H40" s="348">
        <f t="shared" si="13"/>
        <v>156000</v>
      </c>
      <c r="I40" s="348">
        <f t="shared" si="14"/>
        <v>52000</v>
      </c>
      <c r="J40" s="350">
        <f t="shared" si="9"/>
        <v>0</v>
      </c>
      <c r="K40" s="350">
        <f t="shared" si="10"/>
        <v>0</v>
      </c>
      <c r="L40" s="350">
        <f t="shared" si="20"/>
        <v>37440</v>
      </c>
      <c r="M40" s="348">
        <f t="shared" si="15"/>
        <v>108290</v>
      </c>
      <c r="N40" s="348">
        <f t="shared" si="16"/>
        <v>13000</v>
      </c>
      <c r="O40" s="348">
        <f t="shared" si="17"/>
        <v>54210</v>
      </c>
      <c r="P40" s="348">
        <f t="shared" si="18"/>
        <v>108290</v>
      </c>
      <c r="Q40" s="346">
        <f>SUM(Tabla5[[#This Row],[Total Salario]:[Prima]])*12</f>
        <v>23894760</v>
      </c>
      <c r="R40" s="365">
        <f t="shared" si="12"/>
        <v>25328445.600000001</v>
      </c>
      <c r="S40" s="365">
        <f t="shared" si="0"/>
        <v>26492924.542159695</v>
      </c>
      <c r="T40" s="365">
        <f t="shared" si="1"/>
        <v>27744056.727434199</v>
      </c>
      <c r="U40" s="365">
        <f t="shared" si="2"/>
        <v>29088953.881645724</v>
      </c>
      <c r="V40" s="365">
        <f t="shared" si="3"/>
        <v>30535406.311871111</v>
      </c>
      <c r="W40" s="365">
        <f t="shared" si="4"/>
        <v>32091953.055848349</v>
      </c>
      <c r="X40" s="365">
        <f t="shared" si="5"/>
        <v>33767959.936078802</v>
      </c>
      <c r="Y40" s="365">
        <f t="shared" si="6"/>
        <v>35573706.467450455</v>
      </c>
      <c r="Z40" s="365">
        <f t="shared" si="7"/>
        <v>37520482.688298136</v>
      </c>
    </row>
    <row r="41" spans="1:26">
      <c r="A41" s="354">
        <v>5</v>
      </c>
      <c r="B41" s="352">
        <f t="shared" si="19"/>
        <v>31</v>
      </c>
      <c r="C41" s="353" t="s">
        <v>183</v>
      </c>
      <c r="D41" s="349" t="s">
        <v>191</v>
      </c>
      <c r="E41" s="346">
        <f>+VLOOKUP(Tabla5[[#This Row],[Columna1]],$A$63:$D$70,4,0)</f>
        <v>1300000</v>
      </c>
      <c r="F41" s="347">
        <f>+IF(Tabla5[[#This Row],[Total Salario]]&lt;=($I$63*2),$I$64,0)</f>
        <v>162000</v>
      </c>
      <c r="G41" s="350">
        <f t="shared" si="8"/>
        <v>0</v>
      </c>
      <c r="H41" s="348">
        <f t="shared" si="13"/>
        <v>156000</v>
      </c>
      <c r="I41" s="348">
        <f t="shared" si="14"/>
        <v>52000</v>
      </c>
      <c r="J41" s="350">
        <f t="shared" si="9"/>
        <v>0</v>
      </c>
      <c r="K41" s="350">
        <f t="shared" si="10"/>
        <v>0</v>
      </c>
      <c r="L41" s="350">
        <f t="shared" si="20"/>
        <v>37440</v>
      </c>
      <c r="M41" s="348">
        <f t="shared" si="15"/>
        <v>108290</v>
      </c>
      <c r="N41" s="348">
        <f t="shared" si="16"/>
        <v>13000</v>
      </c>
      <c r="O41" s="348">
        <f t="shared" si="17"/>
        <v>54210</v>
      </c>
      <c r="P41" s="348">
        <f t="shared" si="18"/>
        <v>108290</v>
      </c>
      <c r="Q41" s="346">
        <f>SUM(Tabla5[[#This Row],[Total Salario]:[Prima]])*12</f>
        <v>23894760</v>
      </c>
      <c r="R41" s="365">
        <f t="shared" si="12"/>
        <v>25328445.600000001</v>
      </c>
      <c r="S41" s="365">
        <f t="shared" si="0"/>
        <v>26492924.542159695</v>
      </c>
      <c r="T41" s="365">
        <f t="shared" si="1"/>
        <v>27744056.727434199</v>
      </c>
      <c r="U41" s="365">
        <f t="shared" si="2"/>
        <v>29088953.881645724</v>
      </c>
      <c r="V41" s="365">
        <f t="shared" si="3"/>
        <v>30535406.311871111</v>
      </c>
      <c r="W41" s="365">
        <f t="shared" si="4"/>
        <v>32091953.055848349</v>
      </c>
      <c r="X41" s="365">
        <f t="shared" si="5"/>
        <v>33767959.936078802</v>
      </c>
      <c r="Y41" s="365">
        <f t="shared" si="6"/>
        <v>35573706.467450455</v>
      </c>
      <c r="Z41" s="365">
        <f t="shared" si="7"/>
        <v>37520482.688298136</v>
      </c>
    </row>
    <row r="42" spans="1:26">
      <c r="A42" s="354">
        <v>5</v>
      </c>
      <c r="B42" s="352">
        <f t="shared" si="19"/>
        <v>32</v>
      </c>
      <c r="C42" s="353" t="s">
        <v>183</v>
      </c>
      <c r="D42" s="349" t="s">
        <v>199</v>
      </c>
      <c r="E42" s="346">
        <f>+VLOOKUP(Tabla5[[#This Row],[Columna1]],$A$63:$D$70,4,0)</f>
        <v>1300000</v>
      </c>
      <c r="F42" s="347">
        <f>+IF(Tabla5[[#This Row],[Total Salario]]&lt;=($I$63*2),$I$64,0)</f>
        <v>162000</v>
      </c>
      <c r="G42" s="350">
        <f t="shared" si="8"/>
        <v>0</v>
      </c>
      <c r="H42" s="348">
        <f t="shared" si="13"/>
        <v>156000</v>
      </c>
      <c r="I42" s="348">
        <f t="shared" si="14"/>
        <v>52000</v>
      </c>
      <c r="J42" s="350">
        <f t="shared" si="9"/>
        <v>0</v>
      </c>
      <c r="K42" s="350">
        <f t="shared" si="10"/>
        <v>0</v>
      </c>
      <c r="L42" s="350">
        <f t="shared" si="20"/>
        <v>37440</v>
      </c>
      <c r="M42" s="348">
        <f t="shared" si="15"/>
        <v>108290</v>
      </c>
      <c r="N42" s="348">
        <f t="shared" si="16"/>
        <v>13000</v>
      </c>
      <c r="O42" s="348">
        <f t="shared" si="17"/>
        <v>54210</v>
      </c>
      <c r="P42" s="348">
        <f t="shared" si="18"/>
        <v>108290</v>
      </c>
      <c r="Q42" s="346">
        <f>SUM(Tabla5[[#This Row],[Total Salario]:[Prima]])*12</f>
        <v>23894760</v>
      </c>
      <c r="R42" s="365">
        <f t="shared" ref="R42:R59" si="21">+Q42*(1+R$4)</f>
        <v>25328445.600000001</v>
      </c>
      <c r="S42" s="365">
        <f t="shared" ref="S42:S59" si="22">+R42*(1+S$4)</f>
        <v>26492924.542159695</v>
      </c>
      <c r="T42" s="365">
        <f t="shared" ref="T42:T59" si="23">+S42*(1+T$4)</f>
        <v>27744056.727434199</v>
      </c>
      <c r="U42" s="365">
        <f t="shared" ref="U42:U59" si="24">+T42*(1+U$4)</f>
        <v>29088953.881645724</v>
      </c>
      <c r="V42" s="365">
        <f t="shared" si="3"/>
        <v>30535406.311871111</v>
      </c>
      <c r="W42" s="365">
        <f t="shared" si="4"/>
        <v>32091953.055848349</v>
      </c>
      <c r="X42" s="365">
        <f t="shared" si="5"/>
        <v>33767959.936078802</v>
      </c>
      <c r="Y42" s="365">
        <f t="shared" si="6"/>
        <v>35573706.467450455</v>
      </c>
      <c r="Z42" s="365">
        <f t="shared" si="7"/>
        <v>37520482.688298136</v>
      </c>
    </row>
    <row r="43" spans="1:26">
      <c r="A43" s="354">
        <v>5</v>
      </c>
      <c r="B43" s="352">
        <f t="shared" si="19"/>
        <v>33</v>
      </c>
      <c r="C43" s="353" t="s">
        <v>183</v>
      </c>
      <c r="D43" s="349" t="s">
        <v>188</v>
      </c>
      <c r="E43" s="346">
        <f>+VLOOKUP(Tabla5[[#This Row],[Columna1]],$A$63:$D$70,4,0)</f>
        <v>1300000</v>
      </c>
      <c r="F43" s="347">
        <f>+IF(Tabla5[[#This Row],[Total Salario]]&lt;=($I$63*2),$I$64,0)</f>
        <v>162000</v>
      </c>
      <c r="G43" s="350">
        <f t="shared" ref="G43:G59" si="25">+$G$10*E43</f>
        <v>0</v>
      </c>
      <c r="H43" s="348">
        <f t="shared" si="13"/>
        <v>156000</v>
      </c>
      <c r="I43" s="348">
        <f t="shared" si="14"/>
        <v>52000</v>
      </c>
      <c r="J43" s="350">
        <f t="shared" ref="J43:J59" si="26">+$J$10*E43</f>
        <v>0</v>
      </c>
      <c r="K43" s="350">
        <f t="shared" ref="K43:K59" si="27">+$K$10*E43</f>
        <v>0</v>
      </c>
      <c r="L43" s="350">
        <f t="shared" si="20"/>
        <v>37440</v>
      </c>
      <c r="M43" s="348">
        <f t="shared" si="15"/>
        <v>108290</v>
      </c>
      <c r="N43" s="348">
        <f t="shared" si="16"/>
        <v>13000</v>
      </c>
      <c r="O43" s="348">
        <f t="shared" si="17"/>
        <v>54210</v>
      </c>
      <c r="P43" s="348">
        <f t="shared" si="18"/>
        <v>108290</v>
      </c>
      <c r="Q43" s="346">
        <f>SUM(Tabla5[[#This Row],[Total Salario]:[Prima]])*12</f>
        <v>23894760</v>
      </c>
      <c r="R43" s="365">
        <f t="shared" si="21"/>
        <v>25328445.600000001</v>
      </c>
      <c r="S43" s="365">
        <f t="shared" si="22"/>
        <v>26492924.542159695</v>
      </c>
      <c r="T43" s="365">
        <f t="shared" si="23"/>
        <v>27744056.727434199</v>
      </c>
      <c r="U43" s="365">
        <f t="shared" si="24"/>
        <v>29088953.881645724</v>
      </c>
      <c r="V43" s="365">
        <f t="shared" si="3"/>
        <v>30535406.311871111</v>
      </c>
      <c r="W43" s="365">
        <f t="shared" si="4"/>
        <v>32091953.055848349</v>
      </c>
      <c r="X43" s="365">
        <f t="shared" si="5"/>
        <v>33767959.936078802</v>
      </c>
      <c r="Y43" s="365">
        <f t="shared" si="6"/>
        <v>35573706.467450455</v>
      </c>
      <c r="Z43" s="365">
        <f t="shared" si="7"/>
        <v>37520482.688298136</v>
      </c>
    </row>
    <row r="44" spans="1:26">
      <c r="A44" s="354">
        <v>5</v>
      </c>
      <c r="B44" s="352">
        <f t="shared" si="19"/>
        <v>34</v>
      </c>
      <c r="C44" s="353" t="s">
        <v>183</v>
      </c>
      <c r="D44" s="349" t="s">
        <v>193</v>
      </c>
      <c r="E44" s="346">
        <f>+VLOOKUP(Tabla5[[#This Row],[Columna1]],$A$63:$D$70,4,0)</f>
        <v>1300000</v>
      </c>
      <c r="F44" s="347">
        <f>+IF(Tabla5[[#This Row],[Total Salario]]&lt;=($I$63*2),$I$64,0)</f>
        <v>162000</v>
      </c>
      <c r="G44" s="350">
        <f t="shared" si="25"/>
        <v>0</v>
      </c>
      <c r="H44" s="348">
        <f t="shared" si="13"/>
        <v>156000</v>
      </c>
      <c r="I44" s="348">
        <f t="shared" si="14"/>
        <v>52000</v>
      </c>
      <c r="J44" s="350">
        <f t="shared" si="26"/>
        <v>0</v>
      </c>
      <c r="K44" s="350">
        <f t="shared" si="27"/>
        <v>0</v>
      </c>
      <c r="L44" s="350">
        <f t="shared" si="20"/>
        <v>37440</v>
      </c>
      <c r="M44" s="348">
        <f t="shared" si="15"/>
        <v>108290</v>
      </c>
      <c r="N44" s="348">
        <f t="shared" si="16"/>
        <v>13000</v>
      </c>
      <c r="O44" s="348">
        <f t="shared" si="17"/>
        <v>54210</v>
      </c>
      <c r="P44" s="348">
        <f t="shared" si="18"/>
        <v>108290</v>
      </c>
      <c r="Q44" s="346">
        <f>SUM(Tabla5[[#This Row],[Total Salario]:[Prima]])*12</f>
        <v>23894760</v>
      </c>
      <c r="R44" s="365">
        <f t="shared" si="21"/>
        <v>25328445.600000001</v>
      </c>
      <c r="S44" s="365">
        <f t="shared" si="22"/>
        <v>26492924.542159695</v>
      </c>
      <c r="T44" s="365">
        <f t="shared" si="23"/>
        <v>27744056.727434199</v>
      </c>
      <c r="U44" s="365">
        <f t="shared" si="24"/>
        <v>29088953.881645724</v>
      </c>
      <c r="V44" s="365">
        <f t="shared" si="3"/>
        <v>30535406.311871111</v>
      </c>
      <c r="W44" s="365">
        <f t="shared" si="4"/>
        <v>32091953.055848349</v>
      </c>
      <c r="X44" s="365">
        <f t="shared" si="5"/>
        <v>33767959.936078802</v>
      </c>
      <c r="Y44" s="365">
        <f t="shared" si="6"/>
        <v>35573706.467450455</v>
      </c>
      <c r="Z44" s="365">
        <f t="shared" si="7"/>
        <v>37520482.688298136</v>
      </c>
    </row>
    <row r="45" spans="1:26">
      <c r="A45" s="351">
        <v>6</v>
      </c>
      <c r="B45" s="352">
        <f t="shared" si="19"/>
        <v>35</v>
      </c>
      <c r="C45" s="353" t="s">
        <v>184</v>
      </c>
      <c r="D45" s="349" t="s">
        <v>202</v>
      </c>
      <c r="E45" s="346">
        <f>+VLOOKUP(Tabla5[[#This Row],[Columna1]],$A$63:$D$70,4,0)</f>
        <v>2925000</v>
      </c>
      <c r="F45" s="347">
        <f>+IF(Tabla5[[#This Row],[Total Salario]]&lt;=($I$63*2),$I$64,0)</f>
        <v>0</v>
      </c>
      <c r="G45" s="350">
        <f t="shared" si="25"/>
        <v>0</v>
      </c>
      <c r="H45" s="348">
        <f t="shared" si="13"/>
        <v>351000</v>
      </c>
      <c r="I45" s="348">
        <f t="shared" si="14"/>
        <v>117000</v>
      </c>
      <c r="J45" s="350">
        <f t="shared" si="26"/>
        <v>0</v>
      </c>
      <c r="K45" s="350">
        <f t="shared" si="27"/>
        <v>0</v>
      </c>
      <c r="L45" s="350">
        <f t="shared" ref="L45:L59" si="28">+$L$10*E45</f>
        <v>42120</v>
      </c>
      <c r="M45" s="348">
        <f t="shared" si="15"/>
        <v>243652.5</v>
      </c>
      <c r="N45" s="348">
        <f t="shared" si="16"/>
        <v>29250</v>
      </c>
      <c r="O45" s="348">
        <f t="shared" si="17"/>
        <v>121972.5</v>
      </c>
      <c r="P45" s="348">
        <f t="shared" si="18"/>
        <v>243652.5</v>
      </c>
      <c r="Q45" s="346">
        <f>SUM(Tabla5[[#This Row],[Total Salario]:[Prima]])*12</f>
        <v>48883770</v>
      </c>
      <c r="R45" s="365">
        <f t="shared" si="21"/>
        <v>51816796.200000003</v>
      </c>
      <c r="S45" s="365">
        <f t="shared" si="22"/>
        <v>54199080.884105548</v>
      </c>
      <c r="T45" s="365">
        <f t="shared" si="23"/>
        <v>56758640.301507369</v>
      </c>
      <c r="U45" s="365">
        <f t="shared" si="24"/>
        <v>59510023.582198642</v>
      </c>
      <c r="V45" s="365">
        <f t="shared" si="3"/>
        <v>62469168.094011225</v>
      </c>
      <c r="W45" s="365">
        <f t="shared" si="4"/>
        <v>65653542.953889802</v>
      </c>
      <c r="X45" s="365">
        <f t="shared" si="5"/>
        <v>69082308.710549548</v>
      </c>
      <c r="Y45" s="365">
        <f t="shared" si="6"/>
        <v>72776495.139618918</v>
      </c>
      <c r="Z45" s="365">
        <f t="shared" si="7"/>
        <v>76759199.340095803</v>
      </c>
    </row>
    <row r="46" spans="1:26">
      <c r="A46" s="351">
        <v>6</v>
      </c>
      <c r="B46" s="352">
        <f t="shared" si="19"/>
        <v>36</v>
      </c>
      <c r="C46" s="353" t="s">
        <v>184</v>
      </c>
      <c r="D46" s="349" t="s">
        <v>203</v>
      </c>
      <c r="E46" s="346">
        <f>+VLOOKUP(Tabla5[[#This Row],[Columna1]],$A$63:$D$70,4,0)</f>
        <v>2925000</v>
      </c>
      <c r="F46" s="347">
        <f>+IF(Tabla5[[#This Row],[Total Salario]]&lt;=($I$63*2),$I$64,0)</f>
        <v>0</v>
      </c>
      <c r="G46" s="350">
        <f t="shared" si="25"/>
        <v>0</v>
      </c>
      <c r="H46" s="348">
        <f t="shared" si="13"/>
        <v>351000</v>
      </c>
      <c r="I46" s="348">
        <f t="shared" si="14"/>
        <v>117000</v>
      </c>
      <c r="J46" s="350">
        <f t="shared" si="26"/>
        <v>0</v>
      </c>
      <c r="K46" s="350">
        <f t="shared" si="27"/>
        <v>0</v>
      </c>
      <c r="L46" s="350">
        <f t="shared" si="28"/>
        <v>42120</v>
      </c>
      <c r="M46" s="348">
        <f t="shared" si="15"/>
        <v>243652.5</v>
      </c>
      <c r="N46" s="348">
        <f t="shared" si="16"/>
        <v>29250</v>
      </c>
      <c r="O46" s="348">
        <f t="shared" si="17"/>
        <v>121972.5</v>
      </c>
      <c r="P46" s="348">
        <f t="shared" si="18"/>
        <v>243652.5</v>
      </c>
      <c r="Q46" s="346">
        <f>SUM(Tabla5[[#This Row],[Total Salario]:[Prima]])*12</f>
        <v>48883770</v>
      </c>
      <c r="R46" s="365">
        <f t="shared" si="21"/>
        <v>51816796.200000003</v>
      </c>
      <c r="S46" s="365">
        <f t="shared" si="22"/>
        <v>54199080.884105548</v>
      </c>
      <c r="T46" s="365">
        <f t="shared" si="23"/>
        <v>56758640.301507369</v>
      </c>
      <c r="U46" s="365">
        <f t="shared" si="24"/>
        <v>59510023.582198642</v>
      </c>
      <c r="V46" s="365">
        <f t="shared" si="3"/>
        <v>62469168.094011225</v>
      </c>
      <c r="W46" s="365">
        <f t="shared" si="4"/>
        <v>65653542.953889802</v>
      </c>
      <c r="X46" s="365">
        <f t="shared" si="5"/>
        <v>69082308.710549548</v>
      </c>
      <c r="Y46" s="365">
        <f t="shared" si="6"/>
        <v>72776495.139618918</v>
      </c>
      <c r="Z46" s="365">
        <f t="shared" si="7"/>
        <v>76759199.340095803</v>
      </c>
    </row>
    <row r="47" spans="1:26">
      <c r="A47" s="351">
        <v>6</v>
      </c>
      <c r="B47" s="352">
        <f t="shared" si="19"/>
        <v>37</v>
      </c>
      <c r="C47" s="353" t="s">
        <v>184</v>
      </c>
      <c r="D47" s="349" t="s">
        <v>204</v>
      </c>
      <c r="E47" s="346">
        <f>+VLOOKUP(Tabla5[[#This Row],[Columna1]],$A$63:$D$70,4,0)</f>
        <v>2925000</v>
      </c>
      <c r="F47" s="347">
        <f>+IF(Tabla5[[#This Row],[Total Salario]]&lt;=($I$63*2),$I$64,0)</f>
        <v>0</v>
      </c>
      <c r="G47" s="350">
        <f t="shared" si="25"/>
        <v>0</v>
      </c>
      <c r="H47" s="348">
        <f t="shared" si="13"/>
        <v>351000</v>
      </c>
      <c r="I47" s="348">
        <f t="shared" si="14"/>
        <v>117000</v>
      </c>
      <c r="J47" s="350">
        <f t="shared" si="26"/>
        <v>0</v>
      </c>
      <c r="K47" s="350">
        <f t="shared" si="27"/>
        <v>0</v>
      </c>
      <c r="L47" s="350">
        <f t="shared" si="28"/>
        <v>42120</v>
      </c>
      <c r="M47" s="348">
        <f t="shared" si="15"/>
        <v>243652.5</v>
      </c>
      <c r="N47" s="348">
        <f t="shared" si="16"/>
        <v>29250</v>
      </c>
      <c r="O47" s="348">
        <f t="shared" si="17"/>
        <v>121972.5</v>
      </c>
      <c r="P47" s="348">
        <f t="shared" si="18"/>
        <v>243652.5</v>
      </c>
      <c r="Q47" s="346">
        <f>SUM(Tabla5[[#This Row],[Total Salario]:[Prima]])*12</f>
        <v>48883770</v>
      </c>
      <c r="R47" s="365">
        <f t="shared" si="21"/>
        <v>51816796.200000003</v>
      </c>
      <c r="S47" s="365">
        <f t="shared" si="22"/>
        <v>54199080.884105548</v>
      </c>
      <c r="T47" s="365">
        <f t="shared" si="23"/>
        <v>56758640.301507369</v>
      </c>
      <c r="U47" s="365">
        <f t="shared" si="24"/>
        <v>59510023.582198642</v>
      </c>
      <c r="V47" s="365">
        <f t="shared" si="3"/>
        <v>62469168.094011225</v>
      </c>
      <c r="W47" s="365">
        <f t="shared" si="4"/>
        <v>65653542.953889802</v>
      </c>
      <c r="X47" s="365">
        <f t="shared" si="5"/>
        <v>69082308.710549548</v>
      </c>
      <c r="Y47" s="365">
        <f t="shared" si="6"/>
        <v>72776495.139618918</v>
      </c>
      <c r="Z47" s="365">
        <f t="shared" si="7"/>
        <v>76759199.340095803</v>
      </c>
    </row>
    <row r="48" spans="1:26">
      <c r="A48" s="351">
        <v>6</v>
      </c>
      <c r="B48" s="352">
        <f t="shared" si="19"/>
        <v>38</v>
      </c>
      <c r="C48" s="353" t="s">
        <v>184</v>
      </c>
      <c r="D48" s="349" t="s">
        <v>205</v>
      </c>
      <c r="E48" s="346">
        <f>+VLOOKUP(Tabla5[[#This Row],[Columna1]],$A$63:$D$70,4,0)</f>
        <v>2925000</v>
      </c>
      <c r="F48" s="347">
        <f>+IF(Tabla5[[#This Row],[Total Salario]]&lt;=($I$63*2),$I$64,0)</f>
        <v>0</v>
      </c>
      <c r="G48" s="350">
        <f t="shared" si="25"/>
        <v>0</v>
      </c>
      <c r="H48" s="348">
        <f t="shared" si="13"/>
        <v>351000</v>
      </c>
      <c r="I48" s="348">
        <f t="shared" si="14"/>
        <v>117000</v>
      </c>
      <c r="J48" s="350">
        <f t="shared" si="26"/>
        <v>0</v>
      </c>
      <c r="K48" s="350">
        <f t="shared" si="27"/>
        <v>0</v>
      </c>
      <c r="L48" s="350">
        <f t="shared" si="28"/>
        <v>42120</v>
      </c>
      <c r="M48" s="348">
        <f t="shared" si="15"/>
        <v>243652.5</v>
      </c>
      <c r="N48" s="348">
        <f t="shared" si="16"/>
        <v>29250</v>
      </c>
      <c r="O48" s="348">
        <f t="shared" si="17"/>
        <v>121972.5</v>
      </c>
      <c r="P48" s="348">
        <f t="shared" si="18"/>
        <v>243652.5</v>
      </c>
      <c r="Q48" s="346">
        <f>SUM(Tabla5[[#This Row],[Total Salario]:[Prima]])*12</f>
        <v>48883770</v>
      </c>
      <c r="R48" s="365">
        <f t="shared" si="21"/>
        <v>51816796.200000003</v>
      </c>
      <c r="S48" s="365">
        <f t="shared" si="22"/>
        <v>54199080.884105548</v>
      </c>
      <c r="T48" s="365">
        <f t="shared" si="23"/>
        <v>56758640.301507369</v>
      </c>
      <c r="U48" s="365">
        <f t="shared" si="24"/>
        <v>59510023.582198642</v>
      </c>
      <c r="V48" s="365">
        <f t="shared" si="3"/>
        <v>62469168.094011225</v>
      </c>
      <c r="W48" s="365">
        <f t="shared" si="4"/>
        <v>65653542.953889802</v>
      </c>
      <c r="X48" s="365">
        <f t="shared" si="5"/>
        <v>69082308.710549548</v>
      </c>
      <c r="Y48" s="365">
        <f t="shared" si="6"/>
        <v>72776495.139618918</v>
      </c>
      <c r="Z48" s="365">
        <f t="shared" si="7"/>
        <v>76759199.340095803</v>
      </c>
    </row>
    <row r="49" spans="1:26">
      <c r="A49" s="351">
        <v>6</v>
      </c>
      <c r="B49" s="352">
        <f t="shared" si="19"/>
        <v>39</v>
      </c>
      <c r="C49" s="353" t="s">
        <v>184</v>
      </c>
      <c r="D49" s="349" t="s">
        <v>205</v>
      </c>
      <c r="E49" s="346">
        <f>+VLOOKUP(Tabla5[[#This Row],[Columna1]],$A$63:$D$70,4,0)</f>
        <v>2925000</v>
      </c>
      <c r="F49" s="347">
        <f>+IF(Tabla5[[#This Row],[Total Salario]]&lt;=($I$63*2),$I$64,0)</f>
        <v>0</v>
      </c>
      <c r="G49" s="350">
        <f t="shared" si="25"/>
        <v>0</v>
      </c>
      <c r="H49" s="348">
        <f t="shared" si="13"/>
        <v>351000</v>
      </c>
      <c r="I49" s="348">
        <f t="shared" si="14"/>
        <v>117000</v>
      </c>
      <c r="J49" s="350">
        <f t="shared" si="26"/>
        <v>0</v>
      </c>
      <c r="K49" s="350">
        <f t="shared" si="27"/>
        <v>0</v>
      </c>
      <c r="L49" s="350">
        <f t="shared" si="28"/>
        <v>42120</v>
      </c>
      <c r="M49" s="348">
        <f t="shared" si="15"/>
        <v>243652.5</v>
      </c>
      <c r="N49" s="348">
        <f t="shared" si="16"/>
        <v>29250</v>
      </c>
      <c r="O49" s="348">
        <f t="shared" si="17"/>
        <v>121972.5</v>
      </c>
      <c r="P49" s="348">
        <f t="shared" si="18"/>
        <v>243652.5</v>
      </c>
      <c r="Q49" s="346">
        <f>SUM(Tabla5[[#This Row],[Total Salario]:[Prima]])*12</f>
        <v>48883770</v>
      </c>
      <c r="R49" s="365">
        <f t="shared" si="21"/>
        <v>51816796.200000003</v>
      </c>
      <c r="S49" s="365">
        <f t="shared" si="22"/>
        <v>54199080.884105548</v>
      </c>
      <c r="T49" s="365">
        <f t="shared" si="23"/>
        <v>56758640.301507369</v>
      </c>
      <c r="U49" s="365">
        <f t="shared" si="24"/>
        <v>59510023.582198642</v>
      </c>
      <c r="V49" s="365">
        <f t="shared" si="3"/>
        <v>62469168.094011225</v>
      </c>
      <c r="W49" s="365">
        <f t="shared" si="4"/>
        <v>65653542.953889802</v>
      </c>
      <c r="X49" s="365">
        <f t="shared" si="5"/>
        <v>69082308.710549548</v>
      </c>
      <c r="Y49" s="365">
        <f t="shared" si="6"/>
        <v>72776495.139618918</v>
      </c>
      <c r="Z49" s="365">
        <f t="shared" si="7"/>
        <v>76759199.340095803</v>
      </c>
    </row>
    <row r="50" spans="1:26">
      <c r="A50" s="351">
        <v>6</v>
      </c>
      <c r="B50" s="352">
        <f t="shared" si="19"/>
        <v>40</v>
      </c>
      <c r="C50" s="353" t="s">
        <v>184</v>
      </c>
      <c r="D50" s="349" t="s">
        <v>206</v>
      </c>
      <c r="E50" s="346">
        <f>+VLOOKUP(Tabla5[[#This Row],[Columna1]],$A$63:$D$70,4,0)</f>
        <v>2925000</v>
      </c>
      <c r="F50" s="347">
        <f>+IF(Tabla5[[#This Row],[Total Salario]]&lt;=($I$63*2),$I$64,0)</f>
        <v>0</v>
      </c>
      <c r="G50" s="350">
        <f t="shared" si="25"/>
        <v>0</v>
      </c>
      <c r="H50" s="348">
        <f t="shared" si="13"/>
        <v>351000</v>
      </c>
      <c r="I50" s="348">
        <f t="shared" si="14"/>
        <v>117000</v>
      </c>
      <c r="J50" s="350">
        <f t="shared" si="26"/>
        <v>0</v>
      </c>
      <c r="K50" s="350">
        <f t="shared" si="27"/>
        <v>0</v>
      </c>
      <c r="L50" s="350">
        <f t="shared" si="28"/>
        <v>42120</v>
      </c>
      <c r="M50" s="348">
        <f t="shared" si="15"/>
        <v>243652.5</v>
      </c>
      <c r="N50" s="348">
        <f t="shared" si="16"/>
        <v>29250</v>
      </c>
      <c r="O50" s="348">
        <f t="shared" si="17"/>
        <v>121972.5</v>
      </c>
      <c r="P50" s="348">
        <f t="shared" si="18"/>
        <v>243652.5</v>
      </c>
      <c r="Q50" s="346">
        <f>SUM(Tabla5[[#This Row],[Total Salario]:[Prima]])*12</f>
        <v>48883770</v>
      </c>
      <c r="R50" s="365">
        <f t="shared" si="21"/>
        <v>51816796.200000003</v>
      </c>
      <c r="S50" s="365">
        <f t="shared" si="22"/>
        <v>54199080.884105548</v>
      </c>
      <c r="T50" s="365">
        <f t="shared" si="23"/>
        <v>56758640.301507369</v>
      </c>
      <c r="U50" s="365">
        <f t="shared" si="24"/>
        <v>59510023.582198642</v>
      </c>
      <c r="V50" s="365">
        <f t="shared" si="3"/>
        <v>62469168.094011225</v>
      </c>
      <c r="W50" s="365">
        <f t="shared" si="4"/>
        <v>65653542.953889802</v>
      </c>
      <c r="X50" s="365">
        <f t="shared" si="5"/>
        <v>69082308.710549548</v>
      </c>
      <c r="Y50" s="365">
        <f t="shared" si="6"/>
        <v>72776495.139618918</v>
      </c>
      <c r="Z50" s="365">
        <f t="shared" si="7"/>
        <v>76759199.340095803</v>
      </c>
    </row>
    <row r="51" spans="1:26">
      <c r="A51" s="351">
        <v>6</v>
      </c>
      <c r="B51" s="352">
        <f t="shared" si="19"/>
        <v>41</v>
      </c>
      <c r="C51" s="353" t="s">
        <v>184</v>
      </c>
      <c r="D51" s="349" t="s">
        <v>207</v>
      </c>
      <c r="E51" s="346">
        <f>+VLOOKUP(Tabla5[[#This Row],[Columna1]],$A$63:$D$70,4,0)</f>
        <v>2925000</v>
      </c>
      <c r="F51" s="347">
        <f>+IF(Tabla5[[#This Row],[Total Salario]]&lt;=($I$63*2),$I$64,0)</f>
        <v>0</v>
      </c>
      <c r="G51" s="350">
        <f t="shared" si="25"/>
        <v>0</v>
      </c>
      <c r="H51" s="348">
        <f t="shared" si="13"/>
        <v>351000</v>
      </c>
      <c r="I51" s="348">
        <f t="shared" si="14"/>
        <v>117000</v>
      </c>
      <c r="J51" s="350">
        <f t="shared" si="26"/>
        <v>0</v>
      </c>
      <c r="K51" s="350">
        <f t="shared" si="27"/>
        <v>0</v>
      </c>
      <c r="L51" s="350">
        <f t="shared" si="28"/>
        <v>42120</v>
      </c>
      <c r="M51" s="348">
        <f t="shared" si="15"/>
        <v>243652.5</v>
      </c>
      <c r="N51" s="348">
        <f t="shared" si="16"/>
        <v>29250</v>
      </c>
      <c r="O51" s="348">
        <f t="shared" si="17"/>
        <v>121972.5</v>
      </c>
      <c r="P51" s="348">
        <f t="shared" si="18"/>
        <v>243652.5</v>
      </c>
      <c r="Q51" s="346">
        <f>SUM(Tabla5[[#This Row],[Total Salario]:[Prima]])*12</f>
        <v>48883770</v>
      </c>
      <c r="R51" s="365">
        <f t="shared" si="21"/>
        <v>51816796.200000003</v>
      </c>
      <c r="S51" s="365">
        <f t="shared" si="22"/>
        <v>54199080.884105548</v>
      </c>
      <c r="T51" s="365">
        <f t="shared" si="23"/>
        <v>56758640.301507369</v>
      </c>
      <c r="U51" s="365">
        <f t="shared" si="24"/>
        <v>59510023.582198642</v>
      </c>
      <c r="V51" s="365">
        <f t="shared" si="3"/>
        <v>62469168.094011225</v>
      </c>
      <c r="W51" s="365">
        <f t="shared" si="4"/>
        <v>65653542.953889802</v>
      </c>
      <c r="X51" s="365">
        <f t="shared" si="5"/>
        <v>69082308.710549548</v>
      </c>
      <c r="Y51" s="365">
        <f t="shared" si="6"/>
        <v>72776495.139618918</v>
      </c>
      <c r="Z51" s="365">
        <f t="shared" si="7"/>
        <v>76759199.340095803</v>
      </c>
    </row>
    <row r="52" spans="1:26">
      <c r="A52" s="351">
        <v>6</v>
      </c>
      <c r="B52" s="352">
        <f t="shared" si="19"/>
        <v>42</v>
      </c>
      <c r="C52" s="353" t="s">
        <v>184</v>
      </c>
      <c r="D52" s="349" t="s">
        <v>208</v>
      </c>
      <c r="E52" s="346">
        <f>+VLOOKUP(Tabla5[[#This Row],[Columna1]],$A$63:$D$70,4,0)</f>
        <v>2925000</v>
      </c>
      <c r="F52" s="347">
        <f>+IF(Tabla5[[#This Row],[Total Salario]]&lt;=($I$63*2),$I$64,0)</f>
        <v>0</v>
      </c>
      <c r="G52" s="350">
        <f t="shared" si="25"/>
        <v>0</v>
      </c>
      <c r="H52" s="348">
        <f t="shared" si="13"/>
        <v>351000</v>
      </c>
      <c r="I52" s="348">
        <f t="shared" si="14"/>
        <v>117000</v>
      </c>
      <c r="J52" s="350">
        <f t="shared" si="26"/>
        <v>0</v>
      </c>
      <c r="K52" s="350">
        <f t="shared" si="27"/>
        <v>0</v>
      </c>
      <c r="L52" s="350">
        <f t="shared" si="28"/>
        <v>42120</v>
      </c>
      <c r="M52" s="348">
        <f t="shared" si="15"/>
        <v>243652.5</v>
      </c>
      <c r="N52" s="348">
        <f t="shared" si="16"/>
        <v>29250</v>
      </c>
      <c r="O52" s="348">
        <f t="shared" si="17"/>
        <v>121972.5</v>
      </c>
      <c r="P52" s="348">
        <f t="shared" si="18"/>
        <v>243652.5</v>
      </c>
      <c r="Q52" s="346">
        <f>SUM(Tabla5[[#This Row],[Total Salario]:[Prima]])*12</f>
        <v>48883770</v>
      </c>
      <c r="R52" s="365">
        <f t="shared" si="21"/>
        <v>51816796.200000003</v>
      </c>
      <c r="S52" s="365">
        <f t="shared" si="22"/>
        <v>54199080.884105548</v>
      </c>
      <c r="T52" s="365">
        <f t="shared" si="23"/>
        <v>56758640.301507369</v>
      </c>
      <c r="U52" s="365">
        <f t="shared" si="24"/>
        <v>59510023.582198642</v>
      </c>
      <c r="V52" s="365">
        <f t="shared" si="3"/>
        <v>62469168.094011225</v>
      </c>
      <c r="W52" s="365">
        <f t="shared" si="4"/>
        <v>65653542.953889802</v>
      </c>
      <c r="X52" s="365">
        <f t="shared" si="5"/>
        <v>69082308.710549548</v>
      </c>
      <c r="Y52" s="365">
        <f t="shared" si="6"/>
        <v>72776495.139618918</v>
      </c>
      <c r="Z52" s="365">
        <f t="shared" si="7"/>
        <v>76759199.340095803</v>
      </c>
    </row>
    <row r="53" spans="1:26">
      <c r="A53" s="351">
        <v>6</v>
      </c>
      <c r="B53" s="352">
        <f t="shared" si="19"/>
        <v>43</v>
      </c>
      <c r="C53" s="353" t="s">
        <v>184</v>
      </c>
      <c r="D53" s="349" t="s">
        <v>209</v>
      </c>
      <c r="E53" s="346">
        <f>+VLOOKUP(Tabla5[[#This Row],[Columna1]],$A$63:$D$70,4,0)</f>
        <v>2925000</v>
      </c>
      <c r="F53" s="347">
        <f>+IF(Tabla5[[#This Row],[Total Salario]]&lt;=($I$63*2),$I$64,0)</f>
        <v>0</v>
      </c>
      <c r="G53" s="350">
        <f t="shared" si="25"/>
        <v>0</v>
      </c>
      <c r="H53" s="348">
        <f t="shared" si="13"/>
        <v>351000</v>
      </c>
      <c r="I53" s="348">
        <f t="shared" si="14"/>
        <v>117000</v>
      </c>
      <c r="J53" s="350">
        <f t="shared" si="26"/>
        <v>0</v>
      </c>
      <c r="K53" s="350">
        <f t="shared" si="27"/>
        <v>0</v>
      </c>
      <c r="L53" s="350">
        <f t="shared" si="28"/>
        <v>42120</v>
      </c>
      <c r="M53" s="348">
        <f t="shared" si="15"/>
        <v>243652.5</v>
      </c>
      <c r="N53" s="348">
        <f t="shared" si="16"/>
        <v>29250</v>
      </c>
      <c r="O53" s="348">
        <f t="shared" si="17"/>
        <v>121972.5</v>
      </c>
      <c r="P53" s="348">
        <f t="shared" si="18"/>
        <v>243652.5</v>
      </c>
      <c r="Q53" s="346">
        <f>SUM(Tabla5[[#This Row],[Total Salario]:[Prima]])*12</f>
        <v>48883770</v>
      </c>
      <c r="R53" s="365">
        <f t="shared" si="21"/>
        <v>51816796.200000003</v>
      </c>
      <c r="S53" s="365">
        <f t="shared" si="22"/>
        <v>54199080.884105548</v>
      </c>
      <c r="T53" s="365">
        <f t="shared" si="23"/>
        <v>56758640.301507369</v>
      </c>
      <c r="U53" s="365">
        <f t="shared" si="24"/>
        <v>59510023.582198642</v>
      </c>
      <c r="V53" s="365">
        <f t="shared" si="3"/>
        <v>62469168.094011225</v>
      </c>
      <c r="W53" s="365">
        <f t="shared" si="4"/>
        <v>65653542.953889802</v>
      </c>
      <c r="X53" s="365">
        <f t="shared" si="5"/>
        <v>69082308.710549548</v>
      </c>
      <c r="Y53" s="365">
        <f t="shared" si="6"/>
        <v>72776495.139618918</v>
      </c>
      <c r="Z53" s="365">
        <f t="shared" si="7"/>
        <v>76759199.340095803</v>
      </c>
    </row>
    <row r="54" spans="1:26">
      <c r="A54" s="351">
        <v>6</v>
      </c>
      <c r="B54" s="352">
        <f t="shared" si="19"/>
        <v>44</v>
      </c>
      <c r="C54" s="353" t="s">
        <v>184</v>
      </c>
      <c r="D54" s="349" t="s">
        <v>210</v>
      </c>
      <c r="E54" s="346">
        <f>+VLOOKUP(Tabla5[[#This Row],[Columna1]],$A$63:$D$70,4,0)</f>
        <v>2925000</v>
      </c>
      <c r="F54" s="347">
        <f>+IF(Tabla5[[#This Row],[Total Salario]]&lt;=($I$63*2),$I$64,0)</f>
        <v>0</v>
      </c>
      <c r="G54" s="350">
        <f t="shared" si="25"/>
        <v>0</v>
      </c>
      <c r="H54" s="348">
        <f t="shared" si="13"/>
        <v>351000</v>
      </c>
      <c r="I54" s="348">
        <f t="shared" si="14"/>
        <v>117000</v>
      </c>
      <c r="J54" s="350">
        <f t="shared" si="26"/>
        <v>0</v>
      </c>
      <c r="K54" s="350">
        <f t="shared" si="27"/>
        <v>0</v>
      </c>
      <c r="L54" s="350">
        <f t="shared" si="28"/>
        <v>42120</v>
      </c>
      <c r="M54" s="348">
        <f t="shared" si="15"/>
        <v>243652.5</v>
      </c>
      <c r="N54" s="348">
        <f t="shared" si="16"/>
        <v>29250</v>
      </c>
      <c r="O54" s="348">
        <f t="shared" si="17"/>
        <v>121972.5</v>
      </c>
      <c r="P54" s="348">
        <f t="shared" si="18"/>
        <v>243652.5</v>
      </c>
      <c r="Q54" s="346">
        <f>SUM(Tabla5[[#This Row],[Total Salario]:[Prima]])*12</f>
        <v>48883770</v>
      </c>
      <c r="R54" s="365">
        <f t="shared" si="21"/>
        <v>51816796.200000003</v>
      </c>
      <c r="S54" s="365">
        <f t="shared" si="22"/>
        <v>54199080.884105548</v>
      </c>
      <c r="T54" s="365">
        <f t="shared" si="23"/>
        <v>56758640.301507369</v>
      </c>
      <c r="U54" s="365">
        <f t="shared" si="24"/>
        <v>59510023.582198642</v>
      </c>
      <c r="V54" s="365">
        <f t="shared" si="3"/>
        <v>62469168.094011225</v>
      </c>
      <c r="W54" s="365">
        <f t="shared" si="4"/>
        <v>65653542.953889802</v>
      </c>
      <c r="X54" s="365">
        <f t="shared" si="5"/>
        <v>69082308.710549548</v>
      </c>
      <c r="Y54" s="365">
        <f t="shared" si="6"/>
        <v>72776495.139618918</v>
      </c>
      <c r="Z54" s="365">
        <f t="shared" si="7"/>
        <v>76759199.340095803</v>
      </c>
    </row>
    <row r="55" spans="1:26">
      <c r="A55" s="351">
        <v>6</v>
      </c>
      <c r="B55" s="352">
        <f t="shared" si="19"/>
        <v>45</v>
      </c>
      <c r="C55" s="353" t="s">
        <v>184</v>
      </c>
      <c r="D55" s="349" t="s">
        <v>211</v>
      </c>
      <c r="E55" s="346">
        <f>+VLOOKUP(Tabla5[[#This Row],[Columna1]],$A$63:$D$70,4,0)</f>
        <v>2925000</v>
      </c>
      <c r="F55" s="347">
        <f>+IF(Tabla5[[#This Row],[Total Salario]]&lt;=($I$63*2),$I$64,0)</f>
        <v>0</v>
      </c>
      <c r="G55" s="350">
        <f t="shared" si="25"/>
        <v>0</v>
      </c>
      <c r="H55" s="348">
        <f t="shared" si="13"/>
        <v>351000</v>
      </c>
      <c r="I55" s="348">
        <f t="shared" si="14"/>
        <v>117000</v>
      </c>
      <c r="J55" s="350">
        <f t="shared" si="26"/>
        <v>0</v>
      </c>
      <c r="K55" s="350">
        <f t="shared" si="27"/>
        <v>0</v>
      </c>
      <c r="L55" s="350">
        <f t="shared" si="28"/>
        <v>42120</v>
      </c>
      <c r="M55" s="348">
        <f t="shared" si="15"/>
        <v>243652.5</v>
      </c>
      <c r="N55" s="348">
        <f t="shared" si="16"/>
        <v>29250</v>
      </c>
      <c r="O55" s="348">
        <f t="shared" si="17"/>
        <v>121972.5</v>
      </c>
      <c r="P55" s="348">
        <f t="shared" si="18"/>
        <v>243652.5</v>
      </c>
      <c r="Q55" s="346">
        <f>SUM(Tabla5[[#This Row],[Total Salario]:[Prima]])*12</f>
        <v>48883770</v>
      </c>
      <c r="R55" s="365">
        <f t="shared" si="21"/>
        <v>51816796.200000003</v>
      </c>
      <c r="S55" s="365">
        <f t="shared" si="22"/>
        <v>54199080.884105548</v>
      </c>
      <c r="T55" s="365">
        <f t="shared" si="23"/>
        <v>56758640.301507369</v>
      </c>
      <c r="U55" s="365">
        <f t="shared" si="24"/>
        <v>59510023.582198642</v>
      </c>
      <c r="V55" s="365">
        <f t="shared" si="3"/>
        <v>62469168.094011225</v>
      </c>
      <c r="W55" s="365">
        <f t="shared" si="4"/>
        <v>65653542.953889802</v>
      </c>
      <c r="X55" s="365">
        <f t="shared" si="5"/>
        <v>69082308.710549548</v>
      </c>
      <c r="Y55" s="365">
        <f t="shared" si="6"/>
        <v>72776495.139618918</v>
      </c>
      <c r="Z55" s="365">
        <f t="shared" si="7"/>
        <v>76759199.340095803</v>
      </c>
    </row>
    <row r="56" spans="1:26">
      <c r="A56" s="351">
        <v>7</v>
      </c>
      <c r="B56" s="352">
        <f t="shared" si="19"/>
        <v>46</v>
      </c>
      <c r="C56" s="353" t="s">
        <v>185</v>
      </c>
      <c r="D56" s="349" t="s">
        <v>212</v>
      </c>
      <c r="E56" s="346">
        <f>+VLOOKUP(Tabla5[[#This Row],[Columna1]],$A$63:$D$70,4,0)</f>
        <v>2081000</v>
      </c>
      <c r="F56" s="347">
        <f>+IF(Tabla5[[#This Row],[Total Salario]]&lt;=($I$63*2),$I$64,0)</f>
        <v>162000</v>
      </c>
      <c r="G56" s="350">
        <f t="shared" si="25"/>
        <v>0</v>
      </c>
      <c r="H56" s="348">
        <f t="shared" si="13"/>
        <v>249720</v>
      </c>
      <c r="I56" s="348">
        <f t="shared" si="14"/>
        <v>83240</v>
      </c>
      <c r="J56" s="350">
        <f t="shared" si="26"/>
        <v>0</v>
      </c>
      <c r="K56" s="350">
        <f t="shared" si="27"/>
        <v>0</v>
      </c>
      <c r="L56" s="350">
        <f t="shared" si="28"/>
        <v>29966.399999999998</v>
      </c>
      <c r="M56" s="348">
        <f t="shared" si="15"/>
        <v>173347.3</v>
      </c>
      <c r="N56" s="348">
        <f t="shared" si="16"/>
        <v>20810</v>
      </c>
      <c r="O56" s="348">
        <f t="shared" si="17"/>
        <v>86777.7</v>
      </c>
      <c r="P56" s="348">
        <f t="shared" si="18"/>
        <v>173347.3</v>
      </c>
      <c r="Q56" s="346">
        <f>SUM(Tabla5[[#This Row],[Total Salario]:[Prima]])*12</f>
        <v>36722504.399999999</v>
      </c>
      <c r="R56" s="365">
        <f t="shared" si="21"/>
        <v>38925854.663999997</v>
      </c>
      <c r="S56" s="365">
        <f t="shared" si="22"/>
        <v>40715476.450415373</v>
      </c>
      <c r="T56" s="365">
        <f t="shared" si="23"/>
        <v>42638270.702323519</v>
      </c>
      <c r="U56" s="365">
        <f t="shared" si="24"/>
        <v>44705167.028676249</v>
      </c>
      <c r="V56" s="365">
        <f t="shared" si="3"/>
        <v>46928137.911553599</v>
      </c>
      <c r="W56" s="365">
        <f t="shared" si="4"/>
        <v>49320306.514816821</v>
      </c>
      <c r="X56" s="365">
        <f t="shared" si="5"/>
        <v>51896066.641040862</v>
      </c>
      <c r="Y56" s="365">
        <f t="shared" si="6"/>
        <v>54671216.294922315</v>
      </c>
      <c r="Z56" s="365">
        <f t="shared" si="7"/>
        <v>57663106.497456022</v>
      </c>
    </row>
    <row r="57" spans="1:26">
      <c r="A57" s="351">
        <v>7</v>
      </c>
      <c r="B57" s="352">
        <f t="shared" si="19"/>
        <v>47</v>
      </c>
      <c r="C57" s="353" t="s">
        <v>185</v>
      </c>
      <c r="D57" s="349" t="s">
        <v>213</v>
      </c>
      <c r="E57" s="346">
        <f>+VLOOKUP(Tabla5[[#This Row],[Columna1]],$A$63:$D$70,4,0)</f>
        <v>2081000</v>
      </c>
      <c r="F57" s="347">
        <f>+IF(Tabla5[[#This Row],[Total Salario]]&lt;=($I$63*2),$I$64,0)</f>
        <v>162000</v>
      </c>
      <c r="G57" s="350">
        <f t="shared" si="25"/>
        <v>0</v>
      </c>
      <c r="H57" s="348">
        <f t="shared" si="13"/>
        <v>249720</v>
      </c>
      <c r="I57" s="348">
        <f t="shared" si="14"/>
        <v>83240</v>
      </c>
      <c r="J57" s="350">
        <f t="shared" si="26"/>
        <v>0</v>
      </c>
      <c r="K57" s="350">
        <f t="shared" si="27"/>
        <v>0</v>
      </c>
      <c r="L57" s="350">
        <f t="shared" si="28"/>
        <v>29966.399999999998</v>
      </c>
      <c r="M57" s="348">
        <f t="shared" si="15"/>
        <v>173347.3</v>
      </c>
      <c r="N57" s="348">
        <f t="shared" si="16"/>
        <v>20810</v>
      </c>
      <c r="O57" s="348">
        <f t="shared" si="17"/>
        <v>86777.7</v>
      </c>
      <c r="P57" s="348">
        <f t="shared" si="18"/>
        <v>173347.3</v>
      </c>
      <c r="Q57" s="346">
        <f>SUM(Tabla5[[#This Row],[Total Salario]:[Prima]])*12</f>
        <v>36722504.399999999</v>
      </c>
      <c r="R57" s="365">
        <f t="shared" si="21"/>
        <v>38925854.663999997</v>
      </c>
      <c r="S57" s="365">
        <f t="shared" si="22"/>
        <v>40715476.450415373</v>
      </c>
      <c r="T57" s="365">
        <f t="shared" si="23"/>
        <v>42638270.702323519</v>
      </c>
      <c r="U57" s="365">
        <f t="shared" si="24"/>
        <v>44705167.028676249</v>
      </c>
      <c r="V57" s="365">
        <f t="shared" si="3"/>
        <v>46928137.911553599</v>
      </c>
      <c r="W57" s="365">
        <f t="shared" si="4"/>
        <v>49320306.514816821</v>
      </c>
      <c r="X57" s="365">
        <f t="shared" si="5"/>
        <v>51896066.641040862</v>
      </c>
      <c r="Y57" s="365">
        <f t="shared" si="6"/>
        <v>54671216.294922315</v>
      </c>
      <c r="Z57" s="365">
        <f t="shared" si="7"/>
        <v>57663106.497456022</v>
      </c>
    </row>
    <row r="58" spans="1:26">
      <c r="A58" s="351">
        <v>7</v>
      </c>
      <c r="B58" s="352">
        <f t="shared" si="19"/>
        <v>48</v>
      </c>
      <c r="C58" s="353" t="s">
        <v>185</v>
      </c>
      <c r="D58" s="349" t="s">
        <v>205</v>
      </c>
      <c r="E58" s="346">
        <f>+VLOOKUP(Tabla5[[#This Row],[Columna1]],$A$63:$D$70,4,0)</f>
        <v>2081000</v>
      </c>
      <c r="F58" s="347">
        <f>+IF(Tabla5[[#This Row],[Total Salario]]&lt;=($I$63*2),$I$64,0)</f>
        <v>162000</v>
      </c>
      <c r="G58" s="350">
        <f t="shared" si="25"/>
        <v>0</v>
      </c>
      <c r="H58" s="348">
        <f t="shared" si="13"/>
        <v>249720</v>
      </c>
      <c r="I58" s="348">
        <f t="shared" si="14"/>
        <v>83240</v>
      </c>
      <c r="J58" s="350">
        <f t="shared" si="26"/>
        <v>0</v>
      </c>
      <c r="K58" s="350">
        <f t="shared" si="27"/>
        <v>0</v>
      </c>
      <c r="L58" s="350">
        <f t="shared" si="28"/>
        <v>29966.399999999998</v>
      </c>
      <c r="M58" s="348">
        <f t="shared" si="15"/>
        <v>173347.3</v>
      </c>
      <c r="N58" s="348">
        <f t="shared" si="16"/>
        <v>20810</v>
      </c>
      <c r="O58" s="348">
        <f t="shared" si="17"/>
        <v>86777.7</v>
      </c>
      <c r="P58" s="348">
        <f t="shared" si="18"/>
        <v>173347.3</v>
      </c>
      <c r="Q58" s="346">
        <f>SUM(Tabla5[[#This Row],[Total Salario]:[Prima]])*12</f>
        <v>36722504.399999999</v>
      </c>
      <c r="R58" s="365">
        <f t="shared" si="21"/>
        <v>38925854.663999997</v>
      </c>
      <c r="S58" s="365">
        <f t="shared" si="22"/>
        <v>40715476.450415373</v>
      </c>
      <c r="T58" s="365">
        <f t="shared" si="23"/>
        <v>42638270.702323519</v>
      </c>
      <c r="U58" s="365">
        <f t="shared" si="24"/>
        <v>44705167.028676249</v>
      </c>
      <c r="V58" s="365">
        <f t="shared" si="3"/>
        <v>46928137.911553599</v>
      </c>
      <c r="W58" s="365">
        <f t="shared" si="4"/>
        <v>49320306.514816821</v>
      </c>
      <c r="X58" s="365">
        <f t="shared" si="5"/>
        <v>51896066.641040862</v>
      </c>
      <c r="Y58" s="365">
        <f t="shared" si="6"/>
        <v>54671216.294922315</v>
      </c>
      <c r="Z58" s="365">
        <f t="shared" si="7"/>
        <v>57663106.497456022</v>
      </c>
    </row>
    <row r="59" spans="1:26">
      <c r="A59" s="351">
        <v>7</v>
      </c>
      <c r="B59" s="352">
        <f t="shared" si="19"/>
        <v>49</v>
      </c>
      <c r="C59" s="353" t="s">
        <v>185</v>
      </c>
      <c r="D59" s="349" t="s">
        <v>214</v>
      </c>
      <c r="E59" s="346">
        <f>+VLOOKUP(Tabla5[[#This Row],[Columna1]],$A$63:$D$70,4,0)</f>
        <v>2081000</v>
      </c>
      <c r="F59" s="347">
        <f>+IF(Tabla5[[#This Row],[Total Salario]]&lt;=($I$63*2),$I$64,0)</f>
        <v>162000</v>
      </c>
      <c r="G59" s="350">
        <f t="shared" si="25"/>
        <v>0</v>
      </c>
      <c r="H59" s="348">
        <f t="shared" si="13"/>
        <v>249720</v>
      </c>
      <c r="I59" s="348">
        <f t="shared" si="14"/>
        <v>83240</v>
      </c>
      <c r="J59" s="350">
        <f t="shared" si="26"/>
        <v>0</v>
      </c>
      <c r="K59" s="350">
        <f t="shared" si="27"/>
        <v>0</v>
      </c>
      <c r="L59" s="350">
        <f t="shared" si="28"/>
        <v>29966.399999999998</v>
      </c>
      <c r="M59" s="348">
        <f t="shared" si="15"/>
        <v>173347.3</v>
      </c>
      <c r="N59" s="348">
        <f t="shared" si="16"/>
        <v>20810</v>
      </c>
      <c r="O59" s="348">
        <f t="shared" si="17"/>
        <v>86777.7</v>
      </c>
      <c r="P59" s="348">
        <f t="shared" si="18"/>
        <v>173347.3</v>
      </c>
      <c r="Q59" s="346">
        <f>SUM(Tabla5[[#This Row],[Total Salario]:[Prima]])*12</f>
        <v>36722504.399999999</v>
      </c>
      <c r="R59" s="366">
        <f t="shared" si="21"/>
        <v>38925854.663999997</v>
      </c>
      <c r="S59" s="366">
        <f t="shared" si="22"/>
        <v>40715476.450415373</v>
      </c>
      <c r="T59" s="366">
        <f t="shared" si="23"/>
        <v>42638270.702323519</v>
      </c>
      <c r="U59" s="366">
        <f t="shared" si="24"/>
        <v>44705167.028676249</v>
      </c>
      <c r="V59" s="366">
        <f t="shared" si="3"/>
        <v>46928137.911553599</v>
      </c>
      <c r="W59" s="366">
        <f t="shared" si="4"/>
        <v>49320306.514816821</v>
      </c>
      <c r="X59" s="366">
        <f t="shared" si="5"/>
        <v>51896066.641040862</v>
      </c>
      <c r="Y59" s="366">
        <f t="shared" si="6"/>
        <v>54671216.294922315</v>
      </c>
      <c r="Z59" s="366">
        <f t="shared" si="7"/>
        <v>57663106.497456022</v>
      </c>
    </row>
    <row r="60" spans="1:26">
      <c r="A60" s="333"/>
      <c r="B60" s="333" t="s">
        <v>1</v>
      </c>
      <c r="C60" s="334"/>
      <c r="D60" s="334"/>
      <c r="E60" s="335">
        <f>SUBTOTAL(109,Tabla5[Total Salario])</f>
        <v>129822000</v>
      </c>
      <c r="F60" s="335"/>
      <c r="G60" s="335">
        <f>SUBTOTAL(109,Tabla5[Salud])</f>
        <v>0</v>
      </c>
      <c r="H60" s="335">
        <f>SUBTOTAL(109,Tabla5[Pension])</f>
        <v>15578640.120000001</v>
      </c>
      <c r="I60" s="335">
        <f>SUBTOTAL(109,Tabla5[Caja])</f>
        <v>5192880.04</v>
      </c>
      <c r="J60" s="335">
        <f>SUBTOTAL(109,Tabla5[Sena])</f>
        <v>0</v>
      </c>
      <c r="K60" s="335">
        <f>SUBTOTAL(109,Tabla5[Icbf])</f>
        <v>0</v>
      </c>
      <c r="L60" s="335">
        <f>SUBTOTAL(109,Tabla5[Riesgos])</f>
        <v>2000476.8144</v>
      </c>
      <c r="M60" s="335">
        <f>SUBTOTAL(109,Tabla5[Cesantias])</f>
        <v>10814172.6833</v>
      </c>
      <c r="N60" s="335">
        <f>SUBTOTAL(109,Tabla5[Interes])</f>
        <v>1298220.01</v>
      </c>
      <c r="O60" s="335">
        <f>SUBTOTAL(109,Tabla5[Vacaciones])</f>
        <v>5413577.4417000022</v>
      </c>
      <c r="P60" s="335">
        <f>SUBTOTAL(109,Tabla5[Prima])</f>
        <v>10814172.6833</v>
      </c>
      <c r="Q60" s="335">
        <f>SUBTOTAL(109,Tabla5[Total Empleado año 1])</f>
        <v>2204257672.8000002</v>
      </c>
      <c r="R60" s="335">
        <f>SUBTOTAL(109,Tabla5[Año 2])</f>
        <v>2336513133.1679997</v>
      </c>
      <c r="S60" s="335">
        <f>SUBTOTAL(109,Tabla5[Año 3])</f>
        <v>2443934661.6985054</v>
      </c>
      <c r="T60" s="335">
        <f>SUBTOTAL(109,Tabla5[Año 4])</f>
        <v>2559349828.834662</v>
      </c>
      <c r="U60" s="335">
        <f>SUBTOTAL(109,Tabla5[Año 5])</f>
        <v>2683414681.1829414</v>
      </c>
      <c r="V60" s="335">
        <f>SUBTOTAL(109,Tabla5[Año 6])</f>
        <v>2816847863.5067859</v>
      </c>
      <c r="W60" s="335">
        <f>SUBTOTAL(109,Tabla5[Año 7])</f>
        <v>2960437089.9097171</v>
      </c>
      <c r="X60" s="335">
        <f>SUBTOTAL(109,Tabla5[Año 8])</f>
        <v>3115046344.2154121</v>
      </c>
      <c r="Y60" s="335">
        <f>SUBTOTAL(109,Tabla5[Año 9])</f>
        <v>3281623897.0725226</v>
      </c>
      <c r="Z60" s="335">
        <f>SUBTOTAL(109,Tabla5[Año 10])</f>
        <v>3461211238.4824452</v>
      </c>
    </row>
    <row r="61" spans="1:26">
      <c r="K61" s="332"/>
      <c r="L61" s="332"/>
      <c r="M61" s="332"/>
      <c r="N61" s="332"/>
      <c r="O61" s="332"/>
      <c r="P61" s="332"/>
      <c r="Q61" s="332"/>
      <c r="R61" s="332"/>
      <c r="S61" s="332"/>
      <c r="T61" s="332"/>
      <c r="U61" s="332"/>
    </row>
    <row r="62" spans="1:26">
      <c r="B62" s="336" t="s">
        <v>552</v>
      </c>
      <c r="K62" s="332"/>
      <c r="L62" s="332"/>
      <c r="M62" s="332"/>
      <c r="N62" s="332"/>
      <c r="O62" s="332"/>
      <c r="P62" s="332"/>
      <c r="Q62" s="332"/>
      <c r="R62" s="332"/>
      <c r="S62" s="332"/>
      <c r="T62" s="332"/>
      <c r="U62" s="332"/>
    </row>
    <row r="63" spans="1:26">
      <c r="A63" s="355" t="s">
        <v>150</v>
      </c>
      <c r="B63" s="355" t="s">
        <v>186</v>
      </c>
      <c r="C63" s="355" t="s">
        <v>168</v>
      </c>
      <c r="D63" s="355" t="s">
        <v>553</v>
      </c>
      <c r="E63" s="194" t="s">
        <v>551</v>
      </c>
      <c r="F63" s="355" t="s">
        <v>554</v>
      </c>
      <c r="H63" s="359" t="s">
        <v>169</v>
      </c>
      <c r="I63" s="360">
        <v>1300000</v>
      </c>
    </row>
    <row r="64" spans="1:26">
      <c r="A64" s="356">
        <v>1</v>
      </c>
      <c r="B64" s="357" t="s">
        <v>170</v>
      </c>
      <c r="C64" s="357">
        <v>6.5</v>
      </c>
      <c r="D64" s="350">
        <f>+C64*I63</f>
        <v>8450000</v>
      </c>
      <c r="E64" s="357">
        <v>1</v>
      </c>
      <c r="F64" s="350">
        <f>+E64*D64</f>
        <v>8450000</v>
      </c>
      <c r="H64" s="359" t="s">
        <v>156</v>
      </c>
      <c r="I64" s="361">
        <v>162000</v>
      </c>
    </row>
    <row r="65" spans="1:8">
      <c r="A65" s="356">
        <v>2</v>
      </c>
      <c r="B65" s="357" t="s">
        <v>180</v>
      </c>
      <c r="C65" s="357">
        <v>3.1</v>
      </c>
      <c r="D65" s="350">
        <f>+C65*$I$63</f>
        <v>4030000</v>
      </c>
      <c r="E65" s="357">
        <v>7</v>
      </c>
      <c r="F65" s="350">
        <f t="shared" ref="F65:F70" si="29">+E65*D65</f>
        <v>28210000</v>
      </c>
    </row>
    <row r="66" spans="1:8">
      <c r="A66" s="356">
        <v>3</v>
      </c>
      <c r="B66" s="357" t="s">
        <v>181</v>
      </c>
      <c r="C66" s="357">
        <v>2</v>
      </c>
      <c r="D66" s="350">
        <f>+C66*$I$63+1000</f>
        <v>2601000</v>
      </c>
      <c r="E66" s="357">
        <v>13</v>
      </c>
      <c r="F66" s="350">
        <f t="shared" si="29"/>
        <v>33813000</v>
      </c>
    </row>
    <row r="67" spans="1:8">
      <c r="A67" s="356">
        <v>4</v>
      </c>
      <c r="B67" s="357" t="s">
        <v>182</v>
      </c>
      <c r="C67" s="357">
        <v>1.25</v>
      </c>
      <c r="D67" s="350">
        <f>+C67*$I$63</f>
        <v>1625000</v>
      </c>
      <c r="E67" s="357">
        <v>6</v>
      </c>
      <c r="F67" s="350">
        <f t="shared" si="29"/>
        <v>9750000</v>
      </c>
      <c r="H67" s="48"/>
    </row>
    <row r="68" spans="1:8">
      <c r="A68" s="356">
        <v>5</v>
      </c>
      <c r="B68" s="357" t="s">
        <v>183</v>
      </c>
      <c r="C68" s="357">
        <v>1</v>
      </c>
      <c r="D68" s="350">
        <f>+C68*$I$63</f>
        <v>1300000</v>
      </c>
      <c r="E68" s="357">
        <v>7</v>
      </c>
      <c r="F68" s="350">
        <f t="shared" si="29"/>
        <v>9100000</v>
      </c>
    </row>
    <row r="69" spans="1:8">
      <c r="A69" s="356">
        <v>6</v>
      </c>
      <c r="B69" s="357" t="s">
        <v>184</v>
      </c>
      <c r="C69" s="357">
        <v>2.25</v>
      </c>
      <c r="D69" s="350">
        <f>+C69*$I$63</f>
        <v>2925000</v>
      </c>
      <c r="E69" s="357">
        <v>11</v>
      </c>
      <c r="F69" s="350">
        <f t="shared" si="29"/>
        <v>32175000</v>
      </c>
    </row>
    <row r="70" spans="1:8">
      <c r="A70" s="356">
        <v>7</v>
      </c>
      <c r="B70" s="357" t="s">
        <v>185</v>
      </c>
      <c r="C70" s="357">
        <v>1.6</v>
      </c>
      <c r="D70" s="350">
        <f>+(C70*$I$63)+1000</f>
        <v>2081000</v>
      </c>
      <c r="E70" s="361">
        <v>4</v>
      </c>
      <c r="F70" s="350">
        <f t="shared" si="29"/>
        <v>8324000</v>
      </c>
    </row>
    <row r="71" spans="1:8">
      <c r="A71" s="357"/>
      <c r="B71" s="357"/>
      <c r="C71" s="357"/>
      <c r="D71" s="357"/>
      <c r="E71" s="357"/>
      <c r="F71" s="358">
        <f>SUM(F64:F70)</f>
        <v>129822000</v>
      </c>
    </row>
  </sheetData>
  <mergeCells count="1">
    <mergeCell ref="R7:U7"/>
  </mergeCells>
  <phoneticPr fontId="30" type="noConversion"/>
  <pageMargins left="0.7" right="0.7" top="0.75" bottom="0.75" header="0.3" footer="0.3"/>
  <ignoredErrors>
    <ignoredError sqref="E11:E59 L38:L44 Q11:Q59" calculatedColumn="1"/>
  </ignoredErrors>
  <drawing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O15"/>
  <sheetViews>
    <sheetView showGridLines="0" topLeftCell="E1" workbookViewId="0">
      <selection activeCell="O10" sqref="O10"/>
    </sheetView>
  </sheetViews>
  <sheetFormatPr baseColWidth="10" defaultRowHeight="12.75"/>
  <cols>
    <col min="3" max="3" width="15.28515625" bestFit="1" customWidth="1"/>
    <col min="4" max="4" width="14" bestFit="1" customWidth="1"/>
    <col min="5" max="5" width="15" bestFit="1" customWidth="1"/>
    <col min="6" max="9" width="14.85546875" bestFit="1" customWidth="1"/>
    <col min="10" max="14" width="14.85546875" customWidth="1"/>
    <col min="15" max="15" width="16.5703125" bestFit="1" customWidth="1"/>
  </cols>
  <sheetData>
    <row r="2" spans="2:15" ht="15">
      <c r="B2" s="893"/>
      <c r="C2" s="952"/>
      <c r="D2" s="894"/>
      <c r="E2" s="56" t="s">
        <v>226</v>
      </c>
      <c r="F2" s="56" t="s">
        <v>227</v>
      </c>
      <c r="G2" s="56" t="s">
        <v>228</v>
      </c>
      <c r="H2" s="56" t="s">
        <v>229</v>
      </c>
      <c r="I2" s="596" t="s">
        <v>230</v>
      </c>
      <c r="J2" s="56" t="s">
        <v>231</v>
      </c>
      <c r="K2" s="596" t="s">
        <v>232</v>
      </c>
      <c r="L2" s="56" t="s">
        <v>233</v>
      </c>
      <c r="M2" s="596" t="s">
        <v>3010</v>
      </c>
      <c r="N2" s="56" t="s">
        <v>3011</v>
      </c>
    </row>
    <row r="3" spans="2:15" ht="15">
      <c r="B3" s="953" t="s">
        <v>436</v>
      </c>
      <c r="C3" s="954"/>
      <c r="D3" s="955"/>
      <c r="E3" s="599">
        <v>0</v>
      </c>
      <c r="F3" s="599">
        <f>+'IPC - CAFÉ'!E24</f>
        <v>0.06</v>
      </c>
      <c r="G3" s="599">
        <f>+'IPC - CAFÉ'!F24</f>
        <v>4.5975144331782153E-2</v>
      </c>
      <c r="H3" s="599">
        <f>+'IPC - CAFÉ'!G24</f>
        <v>4.7225144331782154E-2</v>
      </c>
      <c r="I3" s="599">
        <f>+'IPC - CAFÉ'!H24</f>
        <v>4.8475144331782155E-2</v>
      </c>
      <c r="J3" s="599">
        <f>+'IPC - CAFÉ'!I24</f>
        <v>4.9725144331782156E-2</v>
      </c>
      <c r="K3" s="599">
        <f>+'IPC - CAFÉ'!J24</f>
        <v>5.0975144331782157E-2</v>
      </c>
      <c r="L3" s="599">
        <f>+'IPC - CAFÉ'!K24</f>
        <v>5.2225144331782158E-2</v>
      </c>
      <c r="M3" s="599">
        <f>+'IPC - CAFÉ'!L24</f>
        <v>5.347514433178216E-2</v>
      </c>
      <c r="N3" s="599">
        <f>+'IPC - CAFÉ'!M24</f>
        <v>5.4725144331782161E-2</v>
      </c>
    </row>
    <row r="5" spans="2:15" ht="15">
      <c r="B5" s="899" t="s">
        <v>2877</v>
      </c>
      <c r="C5" s="899"/>
      <c r="D5" s="899"/>
      <c r="E5" s="3">
        <v>3.75</v>
      </c>
      <c r="F5" s="746">
        <f>+E5*(1+F3)</f>
        <v>3.9750000000000001</v>
      </c>
      <c r="G5" s="746">
        <f t="shared" ref="G5:I5" si="0">+F5*(1+G3)</f>
        <v>4.1577511987188345</v>
      </c>
      <c r="H5" s="746">
        <f t="shared" si="0"/>
        <v>4.3541015991739718</v>
      </c>
      <c r="I5" s="746">
        <f t="shared" si="0"/>
        <v>4.565167302629173</v>
      </c>
      <c r="J5" s="746">
        <f t="shared" ref="J5" si="1">+I5*(1+J3)</f>
        <v>4.7921709056511412</v>
      </c>
      <c r="K5" s="746">
        <f t="shared" ref="K5" si="2">+J5*(1+K3)</f>
        <v>5.0364525092292753</v>
      </c>
      <c r="L5" s="746">
        <f t="shared" ref="L5" si="3">+K5*(1+L3)</f>
        <v>5.2994819684439403</v>
      </c>
      <c r="M5" s="746">
        <f t="shared" ref="M5" si="4">+L5*(1+M3)</f>
        <v>5.5828725315901577</v>
      </c>
      <c r="N5" s="746">
        <f t="shared" ref="N5" si="5">+M5*(1+N3)</f>
        <v>5.8883960366673715</v>
      </c>
    </row>
    <row r="8" spans="2:15" ht="15">
      <c r="B8" s="899"/>
      <c r="C8" s="899"/>
      <c r="D8" s="899"/>
      <c r="E8" s="56" t="s">
        <v>226</v>
      </c>
      <c r="F8" s="56" t="s">
        <v>227</v>
      </c>
      <c r="G8" s="56" t="s">
        <v>228</v>
      </c>
      <c r="H8" s="56" t="s">
        <v>229</v>
      </c>
      <c r="I8" s="56" t="s">
        <v>230</v>
      </c>
      <c r="J8" s="56" t="s">
        <v>231</v>
      </c>
      <c r="K8" s="56" t="s">
        <v>232</v>
      </c>
      <c r="L8" s="56" t="s">
        <v>233</v>
      </c>
      <c r="M8" s="56" t="s">
        <v>3010</v>
      </c>
      <c r="N8" s="56" t="s">
        <v>3011</v>
      </c>
      <c r="O8" s="620" t="s">
        <v>1</v>
      </c>
    </row>
    <row r="9" spans="2:15">
      <c r="B9" s="951" t="s">
        <v>2878</v>
      </c>
      <c r="C9" s="951"/>
      <c r="D9" s="951"/>
      <c r="E9" s="16">
        <f>+'I-C Café'!D31</f>
        <v>15000000</v>
      </c>
      <c r="F9" s="16">
        <f>+'I-C Café'!E31</f>
        <v>15750000</v>
      </c>
      <c r="G9" s="16">
        <f>+'I-C Café'!F31</f>
        <v>16537500</v>
      </c>
      <c r="H9" s="16">
        <f>+'I-C Café'!G31</f>
        <v>17364375</v>
      </c>
      <c r="I9" s="16">
        <f>+'I-C Café'!H31</f>
        <v>18232593.75</v>
      </c>
      <c r="J9" s="16">
        <f>+'I-C Café'!I31</f>
        <v>18414919.6875</v>
      </c>
      <c r="K9" s="16">
        <f>+'I-C Café'!J31</f>
        <v>18599068.884374999</v>
      </c>
      <c r="L9" s="16">
        <f>+'I-C Café'!K31</f>
        <v>18785059.573218748</v>
      </c>
      <c r="M9" s="16">
        <f>+'I-C Café'!L31</f>
        <v>18972910.168950934</v>
      </c>
      <c r="N9" s="16">
        <f>+'I-C Café'!M31</f>
        <v>19162639.270640444</v>
      </c>
      <c r="O9" s="16">
        <f>SUM(E9:N9)</f>
        <v>176819066.33468512</v>
      </c>
    </row>
    <row r="10" spans="2:15">
      <c r="B10" s="950" t="s">
        <v>1</v>
      </c>
      <c r="C10" s="950"/>
      <c r="D10" s="950"/>
      <c r="E10" s="621">
        <f t="shared" ref="E10:O10" si="6">SUM(E9:E9)</f>
        <v>15000000</v>
      </c>
      <c r="F10" s="621">
        <f t="shared" si="6"/>
        <v>15750000</v>
      </c>
      <c r="G10" s="621">
        <f t="shared" si="6"/>
        <v>16537500</v>
      </c>
      <c r="H10" s="621">
        <f t="shared" si="6"/>
        <v>17364375</v>
      </c>
      <c r="I10" s="621">
        <f t="shared" si="6"/>
        <v>18232593.75</v>
      </c>
      <c r="J10" s="621">
        <f t="shared" ref="J10" si="7">SUM(J9:J9)</f>
        <v>18414919.6875</v>
      </c>
      <c r="K10" s="621">
        <f t="shared" ref="K10" si="8">SUM(K9:K9)</f>
        <v>18599068.884374999</v>
      </c>
      <c r="L10" s="621">
        <f t="shared" ref="L10" si="9">SUM(L9:L9)</f>
        <v>18785059.573218748</v>
      </c>
      <c r="M10" s="621">
        <f t="shared" ref="M10" si="10">SUM(M9:M9)</f>
        <v>18972910.168950934</v>
      </c>
      <c r="N10" s="621">
        <f t="shared" ref="N10" si="11">SUM(N9:N9)</f>
        <v>19162639.270640444</v>
      </c>
      <c r="O10" s="621">
        <f t="shared" si="6"/>
        <v>176819066.33468512</v>
      </c>
    </row>
    <row r="11" spans="2:15">
      <c r="B11" s="51"/>
      <c r="C11" s="51"/>
      <c r="D11" s="51"/>
    </row>
    <row r="12" spans="2:15">
      <c r="B12" s="951" t="s">
        <v>2879</v>
      </c>
      <c r="C12" s="951"/>
      <c r="D12" s="951"/>
      <c r="E12" s="16">
        <f>+(E10*E5)/3*2</f>
        <v>37500000</v>
      </c>
      <c r="F12" s="16">
        <f t="shared" ref="F12:N12" si="12">+(F10*F5)/3*2</f>
        <v>41737500</v>
      </c>
      <c r="G12" s="16">
        <f t="shared" si="12"/>
        <v>45839206.965875149</v>
      </c>
      <c r="H12" s="16">
        <f t="shared" si="12"/>
        <v>50404168.637437694</v>
      </c>
      <c r="I12" s="16">
        <f t="shared" si="12"/>
        <v>55489893.886414014</v>
      </c>
      <c r="J12" s="16">
        <f t="shared" si="12"/>
        <v>58831628.237559937</v>
      </c>
      <c r="K12" s="16">
        <f t="shared" si="12"/>
        <v>62448884.768025734</v>
      </c>
      <c r="L12" s="16">
        <f t="shared" si="12"/>
        <v>66367389.656278647</v>
      </c>
      <c r="M12" s="16">
        <f t="shared" si="12"/>
        <v>70615559.351042494</v>
      </c>
      <c r="N12" s="16">
        <f t="shared" si="12"/>
        <v>75224806.088883817</v>
      </c>
      <c r="O12" s="16">
        <f>SUM(E12:N12)</f>
        <v>564459037.59151757</v>
      </c>
    </row>
    <row r="15" spans="2:15">
      <c r="B15" t="s">
        <v>2961</v>
      </c>
    </row>
  </sheetData>
  <mergeCells count="7">
    <mergeCell ref="B10:D10"/>
    <mergeCell ref="B12:D12"/>
    <mergeCell ref="B2:D2"/>
    <mergeCell ref="B3:D3"/>
    <mergeCell ref="B5:D5"/>
    <mergeCell ref="B8:D8"/>
    <mergeCell ref="B9:D9"/>
  </mergeCells>
  <phoneticPr fontId="30"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N16"/>
  <sheetViews>
    <sheetView showGridLines="0" topLeftCell="D1" workbookViewId="0">
      <selection activeCell="M18" sqref="M18"/>
    </sheetView>
  </sheetViews>
  <sheetFormatPr baseColWidth="10" defaultRowHeight="12.75"/>
  <cols>
    <col min="3" max="3" width="15.28515625" bestFit="1" customWidth="1"/>
    <col min="4" max="4" width="14" bestFit="1" customWidth="1"/>
    <col min="5" max="5" width="15" bestFit="1" customWidth="1"/>
    <col min="6" max="9" width="14.85546875" bestFit="1" customWidth="1"/>
    <col min="10" max="14" width="14.85546875" customWidth="1"/>
  </cols>
  <sheetData>
    <row r="2" spans="2:14" ht="15">
      <c r="B2" s="893"/>
      <c r="C2" s="952"/>
      <c r="D2" s="894"/>
      <c r="E2" s="56" t="s">
        <v>226</v>
      </c>
      <c r="F2" s="56" t="s">
        <v>227</v>
      </c>
      <c r="G2" s="56" t="s">
        <v>228</v>
      </c>
      <c r="H2" s="56" t="s">
        <v>229</v>
      </c>
      <c r="I2" s="596" t="s">
        <v>230</v>
      </c>
      <c r="J2" s="56" t="s">
        <v>231</v>
      </c>
      <c r="K2" s="56" t="s">
        <v>232</v>
      </c>
      <c r="L2" s="56" t="s">
        <v>233</v>
      </c>
      <c r="M2" s="56" t="s">
        <v>3010</v>
      </c>
      <c r="N2" s="596" t="s">
        <v>3011</v>
      </c>
    </row>
    <row r="3" spans="2:14" ht="15">
      <c r="B3" s="953" t="s">
        <v>436</v>
      </c>
      <c r="C3" s="954"/>
      <c r="D3" s="955"/>
      <c r="E3" s="599">
        <v>0</v>
      </c>
      <c r="F3" s="599">
        <f>+'IPC - CAFÉ'!E24</f>
        <v>0.06</v>
      </c>
      <c r="G3" s="599">
        <f>+'IPC - CAFÉ'!F24</f>
        <v>4.5975144331782153E-2</v>
      </c>
      <c r="H3" s="599">
        <f>+'IPC - CAFÉ'!G24</f>
        <v>4.7225144331782154E-2</v>
      </c>
      <c r="I3" s="599">
        <f>+'IPC - CAFÉ'!H24</f>
        <v>4.8475144331782155E-2</v>
      </c>
      <c r="J3" s="599">
        <v>1</v>
      </c>
      <c r="K3" s="599">
        <f>+'IPC - CAFÉ'!J24</f>
        <v>5.0975144331782157E-2</v>
      </c>
      <c r="L3" s="599">
        <f>+'IPC - CAFÉ'!K24</f>
        <v>5.2225144331782158E-2</v>
      </c>
      <c r="M3" s="599">
        <f>+'IPC - CAFÉ'!L24</f>
        <v>5.347514433178216E-2</v>
      </c>
      <c r="N3" s="599">
        <f>+'IPC - CAFÉ'!M24</f>
        <v>5.4725144331782161E-2</v>
      </c>
    </row>
    <row r="5" spans="2:14" ht="15">
      <c r="B5" s="899" t="s">
        <v>2877</v>
      </c>
      <c r="C5" s="899"/>
      <c r="D5" s="899"/>
      <c r="E5" s="3">
        <v>10</v>
      </c>
      <c r="F5" s="746">
        <f>+E5*(1+F3)</f>
        <v>10.600000000000001</v>
      </c>
      <c r="G5" s="746">
        <f t="shared" ref="G5:I5" si="0">+F5*(1+G3)</f>
        <v>11.087336529916893</v>
      </c>
      <c r="H5" s="746">
        <f t="shared" si="0"/>
        <v>11.610937597797259</v>
      </c>
      <c r="I5" s="746">
        <f t="shared" si="0"/>
        <v>12.173779473677797</v>
      </c>
      <c r="J5" s="746">
        <f t="shared" ref="J5" si="1">+I5*(1+J3)</f>
        <v>24.347558947355594</v>
      </c>
      <c r="K5" s="746">
        <f t="shared" ref="K5" si="2">+J5*(1+K3)</f>
        <v>25.588679278823619</v>
      </c>
      <c r="L5" s="746">
        <f t="shared" ref="L5" si="3">+K5*(1+L3)</f>
        <v>26.925051747419865</v>
      </c>
      <c r="M5" s="746">
        <f t="shared" ref="M5" si="4">+L5*(1+M3)</f>
        <v>28.364872775753849</v>
      </c>
      <c r="N5" s="746">
        <f t="shared" ref="N5" si="5">+M5*(1+N3)</f>
        <v>29.917144532359618</v>
      </c>
    </row>
    <row r="8" spans="2:14" ht="15">
      <c r="B8" s="899"/>
      <c r="C8" s="899"/>
      <c r="D8" s="899"/>
      <c r="E8" s="56" t="s">
        <v>226</v>
      </c>
      <c r="F8" s="56" t="s">
        <v>227</v>
      </c>
      <c r="G8" s="56" t="s">
        <v>228</v>
      </c>
      <c r="H8" s="56" t="s">
        <v>229</v>
      </c>
      <c r="I8" s="56" t="s">
        <v>230</v>
      </c>
      <c r="J8" s="56" t="s">
        <v>231</v>
      </c>
      <c r="K8" s="56" t="s">
        <v>232</v>
      </c>
      <c r="L8" s="56" t="s">
        <v>233</v>
      </c>
      <c r="M8" s="56" t="s">
        <v>3010</v>
      </c>
      <c r="N8" s="56" t="s">
        <v>3011</v>
      </c>
    </row>
    <row r="9" spans="2:14">
      <c r="B9" s="951" t="s">
        <v>140</v>
      </c>
      <c r="C9" s="951"/>
      <c r="D9" s="951"/>
      <c r="E9" s="16">
        <f>+'I-C Almacenes'!D18</f>
        <v>6500000</v>
      </c>
      <c r="F9" s="16">
        <f>+'I-C Almacenes'!E18</f>
        <v>6825000.0000000009</v>
      </c>
      <c r="G9" s="16">
        <f>+'I-C Almacenes'!F18</f>
        <v>7166250</v>
      </c>
      <c r="H9" s="16">
        <f>+'I-C Almacenes'!G18</f>
        <v>7524562.5000000009</v>
      </c>
      <c r="I9" s="16">
        <f>+'I-C Almacenes'!H18</f>
        <v>7900790.6250000019</v>
      </c>
      <c r="J9" s="16">
        <f>+'I-C Almacenes'!I18</f>
        <v>7979798.5312500009</v>
      </c>
      <c r="K9" s="16">
        <f>+'I-C Almacenes'!J18</f>
        <v>8059596.516562501</v>
      </c>
      <c r="L9" s="16">
        <f>+'I-C Almacenes'!K18</f>
        <v>8140192.4817281263</v>
      </c>
      <c r="M9" s="16">
        <f>+'I-C Almacenes'!L18</f>
        <v>8221594.4065454081</v>
      </c>
      <c r="N9" s="16">
        <f>+'I-C Almacenes'!M18</f>
        <v>8303810.3506108616</v>
      </c>
    </row>
    <row r="10" spans="2:14">
      <c r="B10" s="951" t="s">
        <v>2878</v>
      </c>
      <c r="C10" s="951"/>
      <c r="D10" s="951"/>
      <c r="E10" s="16">
        <f>+'I-C Café'!D31</f>
        <v>15000000</v>
      </c>
      <c r="F10" s="16">
        <f>+'I-C Café'!E31</f>
        <v>15750000</v>
      </c>
      <c r="G10" s="16">
        <f>+'I-C Café'!F31</f>
        <v>16537500</v>
      </c>
      <c r="H10" s="16">
        <f>+'I-C Café'!G31</f>
        <v>17364375</v>
      </c>
      <c r="I10" s="16">
        <f>+'I-C Café'!H31</f>
        <v>18232593.75</v>
      </c>
      <c r="J10" s="16">
        <f>+'I-C Café'!I31</f>
        <v>18414919.6875</v>
      </c>
      <c r="K10" s="16">
        <f>+'I-C Café'!J31</f>
        <v>18599068.884374999</v>
      </c>
      <c r="L10" s="16">
        <f>+'I-C Café'!K31</f>
        <v>18785059.573218748</v>
      </c>
      <c r="M10" s="16">
        <f>+'I-C Café'!L31</f>
        <v>18972910.168950934</v>
      </c>
      <c r="N10" s="16">
        <f>+'I-C Café'!M31</f>
        <v>19162639.270640444</v>
      </c>
    </row>
    <row r="11" spans="2:14">
      <c r="B11" s="950" t="s">
        <v>1</v>
      </c>
      <c r="C11" s="950"/>
      <c r="D11" s="950"/>
      <c r="E11" s="621">
        <f>SUM(E9:E10)</f>
        <v>21500000</v>
      </c>
      <c r="F11" s="621">
        <f>SUM(F9:F10)</f>
        <v>22575000</v>
      </c>
      <c r="G11" s="621">
        <f t="shared" ref="G11:M11" si="6">SUM(G9:G10)</f>
        <v>23703750</v>
      </c>
      <c r="H11" s="621">
        <f t="shared" si="6"/>
        <v>24888937.5</v>
      </c>
      <c r="I11" s="621">
        <f t="shared" si="6"/>
        <v>26133384.375</v>
      </c>
      <c r="J11" s="621">
        <f t="shared" si="6"/>
        <v>26394718.21875</v>
      </c>
      <c r="K11" s="621">
        <f t="shared" si="6"/>
        <v>26658665.400937498</v>
      </c>
      <c r="L11" s="621">
        <f t="shared" si="6"/>
        <v>26925252.054946873</v>
      </c>
      <c r="M11" s="621">
        <f t="shared" si="6"/>
        <v>27194504.575496342</v>
      </c>
      <c r="N11" s="621">
        <f>SUM(N9:N10)</f>
        <v>27466449.621251307</v>
      </c>
    </row>
    <row r="12" spans="2:14">
      <c r="B12" s="51"/>
      <c r="C12" s="51"/>
      <c r="D12" s="51"/>
    </row>
    <row r="13" spans="2:14">
      <c r="B13" s="956" t="s">
        <v>2879</v>
      </c>
      <c r="C13" s="956"/>
      <c r="D13" s="956"/>
      <c r="E13" s="747">
        <f>+(E11*E5)/3*2</f>
        <v>143333333.33333334</v>
      </c>
      <c r="F13" s="747">
        <f t="shared" ref="F13:H13" si="7">+(F11*F5)/3*2</f>
        <v>159530000.00000003</v>
      </c>
      <c r="G13" s="747">
        <f t="shared" si="7"/>
        <v>175207635.51401171</v>
      </c>
      <c r="H13" s="747">
        <f t="shared" si="7"/>
        <v>192655933.45865074</v>
      </c>
      <c r="I13" s="747">
        <f>+(I11*I5)/3*2</f>
        <v>212094705.52140471</v>
      </c>
      <c r="J13" s="747">
        <f t="shared" ref="J13:N13" si="8">+(J11*J5)/3*2</f>
        <v>428431305.15323752</v>
      </c>
      <c r="K13" s="747">
        <f t="shared" si="8"/>
        <v>454773359.29737431</v>
      </c>
      <c r="L13" s="747">
        <f t="shared" si="8"/>
        <v>483309203.26117843</v>
      </c>
      <c r="M13" s="747">
        <f t="shared" si="8"/>
        <v>514245774.9890731</v>
      </c>
      <c r="N13" s="747">
        <f t="shared" si="8"/>
        <v>547811828.739833</v>
      </c>
    </row>
    <row r="16" spans="2:14">
      <c r="B16" t="s">
        <v>2880</v>
      </c>
    </row>
  </sheetData>
  <mergeCells count="8">
    <mergeCell ref="B11:D11"/>
    <mergeCell ref="B13:D13"/>
    <mergeCell ref="B2:D2"/>
    <mergeCell ref="B3:D3"/>
    <mergeCell ref="B5:D5"/>
    <mergeCell ref="B8:D8"/>
    <mergeCell ref="B9:D9"/>
    <mergeCell ref="B10:D10"/>
  </mergeCells>
  <phoneticPr fontId="3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N16"/>
  <sheetViews>
    <sheetView showGridLines="0" topLeftCell="D1" workbookViewId="0">
      <selection activeCell="K21" sqref="K21"/>
    </sheetView>
  </sheetViews>
  <sheetFormatPr baseColWidth="10" defaultRowHeight="12.75"/>
  <cols>
    <col min="1" max="1" width="4.28515625" customWidth="1"/>
    <col min="3" max="3" width="15.28515625" bestFit="1" customWidth="1"/>
    <col min="4" max="4" width="14" bestFit="1" customWidth="1"/>
    <col min="5" max="14" width="13.85546875" bestFit="1" customWidth="1"/>
  </cols>
  <sheetData>
    <row r="2" spans="2:14" ht="15">
      <c r="B2" s="893"/>
      <c r="C2" s="952"/>
      <c r="D2" s="894"/>
      <c r="E2" s="56" t="s">
        <v>226</v>
      </c>
      <c r="F2" s="56" t="s">
        <v>227</v>
      </c>
      <c r="G2" s="56" t="s">
        <v>228</v>
      </c>
      <c r="H2" s="56" t="s">
        <v>229</v>
      </c>
      <c r="I2" s="596" t="s">
        <v>230</v>
      </c>
      <c r="J2" s="56" t="s">
        <v>231</v>
      </c>
      <c r="K2" s="56" t="s">
        <v>232</v>
      </c>
      <c r="L2" s="56" t="s">
        <v>233</v>
      </c>
      <c r="M2" s="56" t="s">
        <v>3010</v>
      </c>
      <c r="N2" s="596" t="s">
        <v>3011</v>
      </c>
    </row>
    <row r="3" spans="2:14" ht="15">
      <c r="B3" s="953" t="s">
        <v>436</v>
      </c>
      <c r="C3" s="954"/>
      <c r="D3" s="955"/>
      <c r="E3" s="599">
        <v>0</v>
      </c>
      <c r="F3" s="599">
        <f>+'IPC - CAFÉ'!E24</f>
        <v>0.06</v>
      </c>
      <c r="G3" s="599">
        <f>+'IPC - CAFÉ'!F24</f>
        <v>4.5975144331782153E-2</v>
      </c>
      <c r="H3" s="599">
        <f>+'IPC - CAFÉ'!G24</f>
        <v>4.7225144331782154E-2</v>
      </c>
      <c r="I3" s="599">
        <f>+'IPC - CAFÉ'!H24</f>
        <v>4.8475144331782155E-2</v>
      </c>
      <c r="J3" s="599">
        <f>+'IPC - CAFÉ'!I24</f>
        <v>4.9725144331782156E-2</v>
      </c>
      <c r="K3" s="599">
        <f>+'IPC - CAFÉ'!J24</f>
        <v>5.0975144331782157E-2</v>
      </c>
      <c r="L3" s="599">
        <f>+'IPC - CAFÉ'!K24</f>
        <v>5.2225144331782158E-2</v>
      </c>
      <c r="M3" s="599">
        <f>+'IPC - CAFÉ'!L24</f>
        <v>5.347514433178216E-2</v>
      </c>
      <c r="N3" s="599">
        <f>+'IPC - CAFÉ'!M24</f>
        <v>5.4725144331782161E-2</v>
      </c>
    </row>
    <row r="5" spans="2:14" ht="15">
      <c r="B5" s="901" t="s">
        <v>2956</v>
      </c>
      <c r="C5" s="901"/>
      <c r="D5" s="901"/>
      <c r="E5" s="16">
        <v>120</v>
      </c>
      <c r="F5" s="16">
        <f>+E5*(1+F$3)</f>
        <v>127.2</v>
      </c>
      <c r="G5" s="16">
        <f t="shared" ref="G5:I5" si="0">+F5*(1+G$3)</f>
        <v>133.0480383590027</v>
      </c>
      <c r="H5" s="16">
        <f t="shared" si="0"/>
        <v>139.3312511735671</v>
      </c>
      <c r="I5" s="16">
        <f t="shared" si="0"/>
        <v>146.08535368413354</v>
      </c>
      <c r="J5" s="16">
        <f t="shared" ref="J5:J6" si="1">+I5*(1+J$3)</f>
        <v>153.34946898083652</v>
      </c>
      <c r="K5" s="16">
        <f t="shared" ref="K5:K6" si="2">+J5*(1+K$3)</f>
        <v>161.16648029533681</v>
      </c>
      <c r="L5" s="16">
        <f t="shared" ref="L5:L6" si="3">+K5*(1+L$3)</f>
        <v>169.58342299020609</v>
      </c>
      <c r="M5" s="16">
        <f t="shared" ref="M5:M6" si="4">+L5*(1+M$3)</f>
        <v>178.65192101088505</v>
      </c>
      <c r="N5" s="16">
        <f t="shared" ref="N5:N6" si="5">+M5*(1+N$3)</f>
        <v>188.42867317335589</v>
      </c>
    </row>
    <row r="6" spans="2:14" ht="15">
      <c r="B6" s="901" t="s">
        <v>2955</v>
      </c>
      <c r="C6" s="901"/>
      <c r="D6" s="901"/>
      <c r="E6" s="16">
        <v>35</v>
      </c>
      <c r="F6" s="16">
        <f>+E6*(1+F$3)</f>
        <v>37.1</v>
      </c>
      <c r="G6" s="16">
        <f>+F6*(1+G$3)</f>
        <v>38.805677854709117</v>
      </c>
      <c r="H6" s="16">
        <f>+G6*(1+H$3)</f>
        <v>40.638281592290397</v>
      </c>
      <c r="I6" s="16">
        <f>+H6*(1+I$3)</f>
        <v>42.608228157872276</v>
      </c>
      <c r="J6" s="16">
        <f t="shared" si="1"/>
        <v>44.726928452743977</v>
      </c>
      <c r="K6" s="16">
        <f t="shared" si="2"/>
        <v>47.00689008613989</v>
      </c>
      <c r="L6" s="16">
        <f t="shared" si="3"/>
        <v>49.461831705476762</v>
      </c>
      <c r="M6" s="16">
        <f t="shared" si="4"/>
        <v>52.106810294841452</v>
      </c>
      <c r="N6" s="16">
        <f t="shared" si="5"/>
        <v>54.958363008895446</v>
      </c>
    </row>
    <row r="8" spans="2:14" ht="15">
      <c r="B8" s="899"/>
      <c r="C8" s="899"/>
      <c r="D8" s="899"/>
      <c r="E8" s="56" t="s">
        <v>226</v>
      </c>
      <c r="F8" s="56" t="s">
        <v>227</v>
      </c>
      <c r="G8" s="56" t="s">
        <v>228</v>
      </c>
      <c r="H8" s="56" t="s">
        <v>229</v>
      </c>
      <c r="I8" s="56" t="s">
        <v>230</v>
      </c>
      <c r="J8" s="56" t="s">
        <v>231</v>
      </c>
      <c r="K8" s="56" t="s">
        <v>232</v>
      </c>
      <c r="L8" s="56" t="s">
        <v>233</v>
      </c>
      <c r="M8" s="56" t="s">
        <v>3010</v>
      </c>
      <c r="N8" s="56" t="s">
        <v>3011</v>
      </c>
    </row>
    <row r="9" spans="2:14">
      <c r="B9" s="951" t="s">
        <v>140</v>
      </c>
      <c r="C9" s="951"/>
      <c r="D9" s="951"/>
      <c r="E9" s="16">
        <f>+'I-C Almacenes'!D18</f>
        <v>6500000</v>
      </c>
      <c r="F9" s="16">
        <f>+'I-C Almacenes'!E18</f>
        <v>6825000.0000000009</v>
      </c>
      <c r="G9" s="16">
        <f>+'I-C Almacenes'!F18</f>
        <v>7166250</v>
      </c>
      <c r="H9" s="16">
        <f>+'I-C Almacenes'!G18</f>
        <v>7524562.5000000009</v>
      </c>
      <c r="I9" s="16">
        <f>+'I-C Almacenes'!H18</f>
        <v>7900790.6250000019</v>
      </c>
      <c r="J9" s="16">
        <f>+'I-C Almacenes'!I18</f>
        <v>7979798.5312500009</v>
      </c>
      <c r="K9" s="16">
        <f>+'I-C Almacenes'!J18</f>
        <v>8059596.516562501</v>
      </c>
      <c r="L9" s="16">
        <f>+'I-C Almacenes'!K18</f>
        <v>8140192.4817281263</v>
      </c>
      <c r="M9" s="16">
        <f>+'I-C Almacenes'!L18</f>
        <v>8221594.4065454081</v>
      </c>
      <c r="N9" s="16">
        <f>+'I-C Almacenes'!M18</f>
        <v>8303810.3506108616</v>
      </c>
    </row>
    <row r="10" spans="2:14">
      <c r="B10" s="951" t="s">
        <v>2878</v>
      </c>
      <c r="C10" s="951"/>
      <c r="D10" s="951"/>
      <c r="E10" s="16">
        <f>+'I-C Café'!D31</f>
        <v>15000000</v>
      </c>
      <c r="F10" s="16">
        <f>+'I-C Café'!E31</f>
        <v>15750000</v>
      </c>
      <c r="G10" s="16">
        <f>+'I-C Café'!F31</f>
        <v>16537500</v>
      </c>
      <c r="H10" s="16">
        <f>+'I-C Café'!G31</f>
        <v>17364375</v>
      </c>
      <c r="I10" s="16">
        <f>+'I-C Café'!H31</f>
        <v>18232593.75</v>
      </c>
      <c r="J10" s="16">
        <f>+'I-C Café'!I31</f>
        <v>18414919.6875</v>
      </c>
      <c r="K10" s="16">
        <f>+'I-C Café'!J31</f>
        <v>18599068.884374999</v>
      </c>
      <c r="L10" s="16">
        <f>+'I-C Café'!K31</f>
        <v>18785059.573218748</v>
      </c>
      <c r="M10" s="16">
        <f>+'I-C Café'!L31</f>
        <v>18972910.168950934</v>
      </c>
      <c r="N10" s="16">
        <f>+'I-C Café'!M31</f>
        <v>19162639.270640444</v>
      </c>
    </row>
    <row r="11" spans="2:14">
      <c r="B11" s="950" t="s">
        <v>1</v>
      </c>
      <c r="C11" s="950"/>
      <c r="D11" s="950"/>
      <c r="E11" s="621">
        <f>SUM(E9:E10)</f>
        <v>21500000</v>
      </c>
      <c r="F11" s="621">
        <f t="shared" ref="F11:I11" si="6">SUM(F9:F10)</f>
        <v>22575000</v>
      </c>
      <c r="G11" s="621">
        <f t="shared" si="6"/>
        <v>23703750</v>
      </c>
      <c r="H11" s="621">
        <f t="shared" si="6"/>
        <v>24888937.5</v>
      </c>
      <c r="I11" s="621">
        <f t="shared" si="6"/>
        <v>26133384.375</v>
      </c>
      <c r="J11" s="621">
        <f t="shared" ref="J11:N11" si="7">SUM(J9:J10)</f>
        <v>26394718.21875</v>
      </c>
      <c r="K11" s="621">
        <f t="shared" si="7"/>
        <v>26658665.400937498</v>
      </c>
      <c r="L11" s="621">
        <f t="shared" si="7"/>
        <v>26925252.054946873</v>
      </c>
      <c r="M11" s="621">
        <f t="shared" si="7"/>
        <v>27194504.575496342</v>
      </c>
      <c r="N11" s="621">
        <f t="shared" si="7"/>
        <v>27466449.621251307</v>
      </c>
    </row>
    <row r="12" spans="2:14">
      <c r="B12" s="51"/>
      <c r="C12" s="51"/>
      <c r="D12" s="51"/>
    </row>
    <row r="13" spans="2:14" ht="15">
      <c r="B13" s="899"/>
      <c r="C13" s="899"/>
      <c r="D13" s="899"/>
      <c r="E13" s="56" t="s">
        <v>226</v>
      </c>
      <c r="F13" s="56" t="s">
        <v>227</v>
      </c>
      <c r="G13" s="56" t="s">
        <v>228</v>
      </c>
      <c r="H13" s="56" t="s">
        <v>229</v>
      </c>
      <c r="I13" s="56" t="s">
        <v>230</v>
      </c>
      <c r="J13" s="56" t="s">
        <v>231</v>
      </c>
      <c r="K13" s="56" t="s">
        <v>232</v>
      </c>
      <c r="L13" s="56" t="s">
        <v>233</v>
      </c>
      <c r="M13" s="56" t="s">
        <v>3010</v>
      </c>
      <c r="N13" s="56" t="s">
        <v>3011</v>
      </c>
    </row>
    <row r="14" spans="2:14">
      <c r="B14" s="951" t="s">
        <v>140</v>
      </c>
      <c r="C14" s="951"/>
      <c r="D14" s="951"/>
      <c r="E14" s="16">
        <f>+E9*E5</f>
        <v>780000000</v>
      </c>
      <c r="F14" s="16">
        <f t="shared" ref="F14:I15" si="8">+F9*F5</f>
        <v>868140000.00000012</v>
      </c>
      <c r="G14" s="16">
        <f t="shared" si="8"/>
        <v>953455504.89020312</v>
      </c>
      <c r="H14" s="16">
        <f t="shared" si="8"/>
        <v>1048406707.658704</v>
      </c>
      <c r="I14" s="16">
        <f t="shared" si="8"/>
        <v>1154189792.8374116</v>
      </c>
      <c r="J14" s="16">
        <f t="shared" ref="J14:N14" si="9">+J9*J5</f>
        <v>1223697867.3412468</v>
      </c>
      <c r="K14" s="16">
        <f t="shared" si="9"/>
        <v>1298936803.1749356</v>
      </c>
      <c r="L14" s="16">
        <f t="shared" si="9"/>
        <v>1380441704.8505962</v>
      </c>
      <c r="M14" s="16">
        <f t="shared" si="9"/>
        <v>1468803634.5016847</v>
      </c>
      <c r="N14" s="16">
        <f t="shared" si="9"/>
        <v>1564675966.6487839</v>
      </c>
    </row>
    <row r="15" spans="2:14">
      <c r="B15" s="951" t="s">
        <v>2878</v>
      </c>
      <c r="C15" s="951"/>
      <c r="D15" s="951"/>
      <c r="E15" s="16">
        <f>+E10*E6</f>
        <v>525000000</v>
      </c>
      <c r="F15" s="16">
        <f t="shared" si="8"/>
        <v>584325000</v>
      </c>
      <c r="G15" s="16">
        <f t="shared" si="8"/>
        <v>641748897.52225196</v>
      </c>
      <c r="H15" s="16">
        <f t="shared" si="8"/>
        <v>705658360.92412758</v>
      </c>
      <c r="I15" s="16">
        <f t="shared" si="8"/>
        <v>776858514.40979612</v>
      </c>
      <c r="J15" s="16">
        <f t="shared" ref="J15:N15" si="10">+J10*J6</f>
        <v>823642795.32583892</v>
      </c>
      <c r="K15" s="16">
        <f t="shared" si="10"/>
        <v>874284386.75235999</v>
      </c>
      <c r="L15" s="16">
        <f t="shared" si="10"/>
        <v>929143455.18790078</v>
      </c>
      <c r="M15" s="16">
        <f t="shared" si="10"/>
        <v>988617830.91459465</v>
      </c>
      <c r="N15" s="16">
        <f t="shared" si="10"/>
        <v>1053147285.244373</v>
      </c>
    </row>
    <row r="16" spans="2:14">
      <c r="B16" s="950" t="s">
        <v>1</v>
      </c>
      <c r="C16" s="950"/>
      <c r="D16" s="950"/>
      <c r="E16" s="621">
        <f>SUM(E14:E15)</f>
        <v>1305000000</v>
      </c>
      <c r="F16" s="621">
        <f t="shared" ref="F16:I16" si="11">SUM(F14:F15)</f>
        <v>1452465000</v>
      </c>
      <c r="G16" s="621">
        <f t="shared" si="11"/>
        <v>1595204402.4124551</v>
      </c>
      <c r="H16" s="621">
        <f t="shared" si="11"/>
        <v>1754065068.5828316</v>
      </c>
      <c r="I16" s="621">
        <f t="shared" si="11"/>
        <v>1931048307.2472076</v>
      </c>
      <c r="J16" s="621">
        <f t="shared" ref="J16:N16" si="12">SUM(J14:J15)</f>
        <v>2047340662.6670856</v>
      </c>
      <c r="K16" s="621">
        <f t="shared" si="12"/>
        <v>2173221189.9272957</v>
      </c>
      <c r="L16" s="621">
        <f t="shared" si="12"/>
        <v>2309585160.038497</v>
      </c>
      <c r="M16" s="621">
        <f t="shared" si="12"/>
        <v>2457421465.4162793</v>
      </c>
      <c r="N16" s="621">
        <f t="shared" si="12"/>
        <v>2617823251.893157</v>
      </c>
    </row>
  </sheetData>
  <mergeCells count="12">
    <mergeCell ref="B16:D16"/>
    <mergeCell ref="B11:D11"/>
    <mergeCell ref="B13:D13"/>
    <mergeCell ref="B5:D5"/>
    <mergeCell ref="B14:D14"/>
    <mergeCell ref="B15:D15"/>
    <mergeCell ref="B10:D10"/>
    <mergeCell ref="B2:D2"/>
    <mergeCell ref="B3:D3"/>
    <mergeCell ref="B6:D6"/>
    <mergeCell ref="B8:D8"/>
    <mergeCell ref="B9:D9"/>
  </mergeCells>
  <phoneticPr fontId="3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92"/>
  <sheetViews>
    <sheetView showGridLines="0" tabSelected="1" zoomScale="90" zoomScaleNormal="90" workbookViewId="0"/>
  </sheetViews>
  <sheetFormatPr baseColWidth="10" defaultRowHeight="12"/>
  <cols>
    <col min="1" max="1" width="3" style="514" customWidth="1"/>
    <col min="2" max="2" width="55.7109375" style="514" customWidth="1"/>
    <col min="3" max="3" width="14.85546875" style="514" bestFit="1" customWidth="1"/>
    <col min="4" max="4" width="11.5703125" style="514" bestFit="1" customWidth="1"/>
    <col min="5" max="5" width="14.140625" style="514" bestFit="1" customWidth="1"/>
    <col min="6" max="6" width="15" style="514" customWidth="1"/>
    <col min="7" max="7" width="13" style="514" bestFit="1" customWidth="1"/>
    <col min="8" max="12" width="13" style="514" customWidth="1"/>
    <col min="13" max="13" width="3.5703125" style="514" bestFit="1" customWidth="1"/>
    <col min="14" max="14" width="41" style="514" bestFit="1" customWidth="1"/>
    <col min="15" max="15" width="14" style="514" bestFit="1" customWidth="1"/>
    <col min="16" max="16384" width="11.42578125" style="514"/>
  </cols>
  <sheetData>
    <row r="1" spans="1:13">
      <c r="A1" s="513"/>
      <c r="B1" s="513"/>
      <c r="C1" s="513"/>
      <c r="D1" s="513"/>
      <c r="G1" s="513"/>
      <c r="H1" s="513"/>
      <c r="I1" s="513"/>
      <c r="J1" s="513"/>
      <c r="K1" s="513"/>
      <c r="L1" s="513"/>
      <c r="M1" s="513"/>
    </row>
    <row r="2" spans="1:13">
      <c r="F2" s="740" t="s">
        <v>505</v>
      </c>
      <c r="G2" s="740" t="s">
        <v>328</v>
      </c>
      <c r="H2" s="751"/>
      <c r="I2" s="751"/>
      <c r="J2" s="751"/>
      <c r="K2" s="751"/>
      <c r="L2" s="751"/>
    </row>
    <row r="3" spans="1:13" ht="12.75">
      <c r="A3" s="513"/>
      <c r="B3" s="533" t="s">
        <v>2251</v>
      </c>
      <c r="C3" s="515"/>
      <c r="D3" s="515"/>
      <c r="F3" s="737" t="s">
        <v>3025</v>
      </c>
      <c r="G3" s="739">
        <v>15000000</v>
      </c>
      <c r="H3" s="752"/>
      <c r="I3" s="752"/>
      <c r="J3" s="752"/>
      <c r="K3" s="752"/>
      <c r="L3" s="752"/>
      <c r="M3" s="513"/>
    </row>
    <row r="4" spans="1:13">
      <c r="A4" s="513"/>
      <c r="B4" s="516"/>
      <c r="C4" s="517"/>
      <c r="D4" s="517"/>
      <c r="E4" s="517"/>
      <c r="F4" s="738" t="s">
        <v>3026</v>
      </c>
      <c r="G4" s="741">
        <v>6500000</v>
      </c>
      <c r="H4" s="753"/>
      <c r="I4" s="753"/>
      <c r="J4" s="753"/>
      <c r="K4" s="753"/>
      <c r="L4" s="753"/>
      <c r="M4" s="513"/>
    </row>
    <row r="5" spans="1:13">
      <c r="A5" s="513"/>
      <c r="B5" s="518" t="s">
        <v>2252</v>
      </c>
      <c r="C5" s="517"/>
      <c r="D5" s="517"/>
      <c r="E5" s="517"/>
      <c r="F5" s="517"/>
      <c r="G5" s="517"/>
      <c r="H5" s="517"/>
      <c r="I5" s="517"/>
      <c r="J5" s="517"/>
      <c r="K5" s="517"/>
      <c r="L5" s="517"/>
      <c r="M5" s="513"/>
    </row>
    <row r="6" spans="1:13">
      <c r="A6" s="513"/>
      <c r="C6" s="513"/>
      <c r="D6" s="519"/>
      <c r="E6" s="519"/>
      <c r="F6" s="519"/>
      <c r="G6" s="519"/>
      <c r="H6" s="519"/>
      <c r="I6" s="519"/>
      <c r="J6" s="519"/>
      <c r="K6" s="519"/>
      <c r="L6" s="519"/>
      <c r="M6" s="513"/>
    </row>
    <row r="7" spans="1:13" ht="6" customHeight="1">
      <c r="A7" s="513"/>
      <c r="B7" s="513"/>
      <c r="C7" s="513"/>
      <c r="D7" s="519"/>
      <c r="E7" s="519"/>
      <c r="F7" s="519"/>
      <c r="G7" s="519"/>
      <c r="H7" s="519"/>
      <c r="I7" s="519"/>
      <c r="J7" s="519"/>
      <c r="K7" s="519"/>
      <c r="L7" s="519"/>
      <c r="M7" s="513"/>
    </row>
    <row r="8" spans="1:13" ht="12.75" thickBot="1">
      <c r="A8" s="513"/>
      <c r="B8" s="518" t="s">
        <v>2253</v>
      </c>
      <c r="C8" s="535">
        <v>50876707.836999997</v>
      </c>
      <c r="D8" s="519"/>
      <c r="E8" s="519"/>
      <c r="F8" s="519"/>
      <c r="G8" s="519"/>
      <c r="H8" s="519"/>
      <c r="I8" s="519"/>
      <c r="J8" s="519"/>
      <c r="K8" s="519"/>
      <c r="L8" s="519"/>
      <c r="M8" s="513"/>
    </row>
    <row r="9" spans="1:13" ht="15" customHeight="1" thickTop="1">
      <c r="A9" s="513"/>
      <c r="C9" s="534"/>
      <c r="D9" s="519"/>
      <c r="E9" s="519"/>
      <c r="F9" s="519"/>
      <c r="G9" s="519"/>
      <c r="H9" s="519"/>
      <c r="I9" s="519"/>
      <c r="J9" s="519"/>
      <c r="K9" s="519"/>
      <c r="L9" s="519"/>
      <c r="M9" s="513"/>
    </row>
    <row r="10" spans="1:13" ht="12.75" thickBot="1">
      <c r="A10" s="513"/>
      <c r="B10" s="520"/>
      <c r="C10" s="536" t="s">
        <v>226</v>
      </c>
      <c r="D10" s="536" t="s">
        <v>227</v>
      </c>
      <c r="E10" s="536" t="s">
        <v>228</v>
      </c>
      <c r="F10" s="536" t="s">
        <v>229</v>
      </c>
      <c r="G10" s="536" t="s">
        <v>230</v>
      </c>
      <c r="H10" s="536" t="s">
        <v>231</v>
      </c>
      <c r="I10" s="536" t="s">
        <v>232</v>
      </c>
      <c r="J10" s="536" t="s">
        <v>233</v>
      </c>
      <c r="K10" s="536" t="s">
        <v>3010</v>
      </c>
      <c r="L10" s="536" t="s">
        <v>3011</v>
      </c>
      <c r="M10" s="513"/>
    </row>
    <row r="11" spans="1:13" ht="12.75" thickBot="1">
      <c r="A11" s="521"/>
      <c r="B11" s="537" t="s">
        <v>2881</v>
      </c>
      <c r="C11" s="538">
        <f>+C8+C24-C60+C71-C78</f>
        <v>33763241.758588597</v>
      </c>
      <c r="D11" s="538">
        <f>+C11+D24-D60+D71-D78</f>
        <v>20823992.332570955</v>
      </c>
      <c r="E11" s="538">
        <f>+D11+E24-E60+E71-E78</f>
        <v>17712575.233746193</v>
      </c>
      <c r="F11" s="538">
        <f>+E11+F24-F60+F71-F78</f>
        <v>14109437.543855671</v>
      </c>
      <c r="G11" s="538">
        <f>+F11+G24-G60+G71-G78</f>
        <v>11176213.56815869</v>
      </c>
      <c r="H11" s="538">
        <f t="shared" ref="H11:L11" si="0">+G11+H24-H60+H71-H78</f>
        <v>14049588.103444517</v>
      </c>
      <c r="I11" s="538">
        <f t="shared" si="0"/>
        <v>17111778.294562936</v>
      </c>
      <c r="J11" s="538">
        <f t="shared" si="0"/>
        <v>20410254.398437321</v>
      </c>
      <c r="K11" s="538">
        <f t="shared" si="0"/>
        <v>23933577.623268723</v>
      </c>
      <c r="L11" s="538">
        <f t="shared" si="0"/>
        <v>27734625.763250768</v>
      </c>
      <c r="M11" s="521"/>
    </row>
    <row r="12" spans="1:13" ht="13.5" thickTop="1" thickBot="1">
      <c r="A12" s="521"/>
      <c r="B12" s="651"/>
      <c r="C12" s="652"/>
      <c r="D12" s="652"/>
      <c r="E12" s="652"/>
      <c r="F12" s="652"/>
      <c r="G12" s="652"/>
      <c r="H12" s="652"/>
      <c r="I12" s="652"/>
      <c r="J12" s="652"/>
      <c r="K12" s="652"/>
      <c r="L12" s="652"/>
      <c r="M12" s="521"/>
    </row>
    <row r="13" spans="1:13" ht="12.75" thickBot="1">
      <c r="A13" s="521"/>
      <c r="B13" s="537" t="s">
        <v>3029</v>
      </c>
      <c r="C13" s="538">
        <f>+C24-C22-C60+C29</f>
        <v>313231.38869743422</v>
      </c>
      <c r="D13" s="538">
        <f t="shared" ref="D13:K13" si="1">+D24-D22-D60+D29</f>
        <v>2076850.8350100573</v>
      </c>
      <c r="E13" s="538">
        <f t="shared" si="1"/>
        <v>2664807.1130521148</v>
      </c>
      <c r="F13" s="538">
        <f t="shared" si="1"/>
        <v>3174189.3822263777</v>
      </c>
      <c r="G13" s="538">
        <f t="shared" si="1"/>
        <v>3725231.0964198671</v>
      </c>
      <c r="H13" s="538">
        <f t="shared" si="1"/>
        <v>3783133.4555225074</v>
      </c>
      <c r="I13" s="538">
        <f t="shared" si="1"/>
        <v>3971949.1113550924</v>
      </c>
      <c r="J13" s="538">
        <f t="shared" si="1"/>
        <v>4208235.0241110884</v>
      </c>
      <c r="K13" s="538">
        <f t="shared" si="1"/>
        <v>4433082.1450680569</v>
      </c>
      <c r="L13" s="538">
        <f>+L24-L22-L60+L29</f>
        <v>4710807.0602187216</v>
      </c>
      <c r="M13" s="521"/>
    </row>
    <row r="14" spans="1:13" ht="13.5" thickTop="1" thickBot="1">
      <c r="A14" s="521"/>
      <c r="B14" s="651"/>
      <c r="C14" s="652"/>
      <c r="D14" s="652"/>
      <c r="E14" s="652"/>
      <c r="F14" s="652"/>
      <c r="G14" s="652"/>
      <c r="H14" s="652"/>
      <c r="I14" s="652"/>
      <c r="J14" s="652"/>
      <c r="K14" s="652"/>
      <c r="L14" s="652"/>
      <c r="M14" s="521"/>
    </row>
    <row r="15" spans="1:13" ht="12.75" thickBot="1">
      <c r="A15" s="521"/>
      <c r="B15" s="537" t="s">
        <v>3028</v>
      </c>
      <c r="C15" s="538">
        <f>+C24-C60+C71-C78</f>
        <v>-17113466.078411419</v>
      </c>
      <c r="D15" s="538">
        <f t="shared" ref="D15:L15" si="2">+D24-D60+D71-D78</f>
        <v>-12939249.426017623</v>
      </c>
      <c r="E15" s="538">
        <f t="shared" si="2"/>
        <v>-3111417.0988247502</v>
      </c>
      <c r="F15" s="538">
        <f t="shared" si="2"/>
        <v>-3603137.6898905011</v>
      </c>
      <c r="G15" s="538">
        <f t="shared" si="2"/>
        <v>-2933223.9756969782</v>
      </c>
      <c r="H15" s="538">
        <f t="shared" si="2"/>
        <v>2873374.5352858305</v>
      </c>
      <c r="I15" s="538">
        <f t="shared" si="2"/>
        <v>3062190.1911184192</v>
      </c>
      <c r="J15" s="538">
        <f t="shared" si="2"/>
        <v>3298476.1038743854</v>
      </c>
      <c r="K15" s="538">
        <f t="shared" si="2"/>
        <v>3523323.2248314023</v>
      </c>
      <c r="L15" s="538">
        <f t="shared" si="2"/>
        <v>3801048.1399820447</v>
      </c>
      <c r="M15" s="521"/>
    </row>
    <row r="16" spans="1:13" ht="12.75" thickTop="1">
      <c r="A16" s="513"/>
      <c r="B16" s="518"/>
      <c r="C16" s="532"/>
      <c r="D16" s="522"/>
      <c r="E16" s="522"/>
      <c r="F16" s="522"/>
      <c r="G16" s="522"/>
      <c r="H16" s="522"/>
      <c r="I16" s="522"/>
      <c r="J16" s="522"/>
      <c r="K16" s="522"/>
      <c r="L16" s="522"/>
      <c r="M16" s="513"/>
    </row>
    <row r="17" spans="1:18" ht="12.75" thickBot="1">
      <c r="A17" s="513"/>
      <c r="B17" s="539" t="s">
        <v>2965</v>
      </c>
      <c r="C17" s="540" t="s">
        <v>226</v>
      </c>
      <c r="D17" s="540" t="s">
        <v>227</v>
      </c>
      <c r="E17" s="540" t="s">
        <v>228</v>
      </c>
      <c r="F17" s="540" t="s">
        <v>229</v>
      </c>
      <c r="G17" s="540" t="s">
        <v>230</v>
      </c>
      <c r="H17" s="540" t="s">
        <v>231</v>
      </c>
      <c r="I17" s="540" t="s">
        <v>232</v>
      </c>
      <c r="J17" s="540" t="s">
        <v>233</v>
      </c>
      <c r="K17" s="540" t="s">
        <v>3010</v>
      </c>
      <c r="L17" s="540" t="s">
        <v>3011</v>
      </c>
      <c r="M17" s="513"/>
      <c r="N17" s="720"/>
    </row>
    <row r="18" spans="1:18" ht="12.75">
      <c r="A18" s="513"/>
      <c r="B18" s="623" t="s">
        <v>71</v>
      </c>
      <c r="C18" s="524">
        <f>+'I-C Café'!D70/1000</f>
        <v>185069999.99999997</v>
      </c>
      <c r="D18" s="524">
        <f>+'I-C Café'!E70/1000</f>
        <v>206968709.99999997</v>
      </c>
      <c r="E18" s="524">
        <f>+'I-C Café'!F70/1000</f>
        <v>227308332.63013345</v>
      </c>
      <c r="F18" s="524">
        <f>+'I-C Café'!G70/1000</f>
        <v>249945151.51872864</v>
      </c>
      <c r="G18" s="524">
        <f>+'I-C Café'!H70/1000</f>
        <v>275164342.75430959</v>
      </c>
      <c r="H18" s="524">
        <f>+'I-C Café'!I70/1000</f>
        <v>291790430.27235389</v>
      </c>
      <c r="I18" s="524">
        <f>+'I-C Café'!J70/1000</f>
        <v>309731134.46582097</v>
      </c>
      <c r="J18" s="524">
        <f>+'I-C Café'!K70/1000</f>
        <v>329165956.54401857</v>
      </c>
      <c r="K18" s="524">
        <f>+'I-C Café'!L70/1000</f>
        <v>350235835.11511225</v>
      </c>
      <c r="L18" s="524">
        <f>+'I-C Café'!M70/1000</f>
        <v>373096567.15936857</v>
      </c>
      <c r="M18" s="513"/>
    </row>
    <row r="19" spans="1:18" ht="12.75">
      <c r="A19" s="513"/>
      <c r="B19" s="622" t="s">
        <v>72</v>
      </c>
      <c r="C19" s="525">
        <f>+'I-C Almacenes'!D32/1000</f>
        <v>18200000</v>
      </c>
      <c r="D19" s="525">
        <f>+'I-C Almacenes'!E32/1000</f>
        <v>20256600</v>
      </c>
      <c r="E19" s="525">
        <f>+'I-C Almacenes'!F32/1000</f>
        <v>22247295.11410474</v>
      </c>
      <c r="F19" s="525">
        <f>+'I-C Almacenes'!G32/1000</f>
        <v>24462823.178703099</v>
      </c>
      <c r="G19" s="525">
        <f>+'I-C Almacenes'!H32/1000</f>
        <v>26931095.16620627</v>
      </c>
      <c r="H19" s="525">
        <f>+'I-C Almacenes'!I32/1000</f>
        <v>27200406.117868334</v>
      </c>
      <c r="I19" s="525">
        <f>+'I-C Almacenes'!J32/1000</f>
        <v>27472410.179047018</v>
      </c>
      <c r="J19" s="525">
        <f>+'I-C Almacenes'!K32/1000</f>
        <v>27747134.280837491</v>
      </c>
      <c r="K19" s="525">
        <f>+'I-C Almacenes'!L32/1000</f>
        <v>28024605.623645868</v>
      </c>
      <c r="L19" s="525">
        <f>+'I-C Almacenes'!M32/1000</f>
        <v>28304851.679882325</v>
      </c>
      <c r="M19" s="513"/>
    </row>
    <row r="20" spans="1:18" ht="12.75">
      <c r="A20" s="513"/>
      <c r="B20" s="622" t="s">
        <v>2882</v>
      </c>
      <c r="C20" s="525">
        <f>+'I. Arrendamientos'!O35/1000</f>
        <v>1388331.4920000001</v>
      </c>
      <c r="D20" s="525">
        <f>+'I. Arrendamientos'!P35/1000</f>
        <v>1471631.3815200003</v>
      </c>
      <c r="E20" s="525">
        <f>+'I. Arrendamientos'!Q35/1000</f>
        <v>1539289.8466885621</v>
      </c>
      <c r="F20" s="525">
        <f>+'I. Arrendamientos'!R35/1000</f>
        <v>1611983.0318668757</v>
      </c>
      <c r="G20" s="525">
        <f>+'I. Arrendamientos'!S35/1000</f>
        <v>1690124.1419970065</v>
      </c>
      <c r="H20" s="525">
        <f>+'I. Arrendamientos'!T35/1000</f>
        <v>1774165.8088964378</v>
      </c>
      <c r="I20" s="525">
        <f>+'I. Arrendamientos'!U35/1000</f>
        <v>1864604.1670734461</v>
      </c>
      <c r="J20" s="525">
        <f>+'I. Arrendamientos'!V35/1000</f>
        <v>1961983.3888204989</v>
      </c>
      <c r="K20" s="525">
        <f>+'I. Arrendamientos'!W35/1000</f>
        <v>2066900.7337142348</v>
      </c>
      <c r="L20" s="525">
        <f>+'I. Arrendamientos'!X35/1000</f>
        <v>2180012.1746862121</v>
      </c>
      <c r="M20" s="513"/>
    </row>
    <row r="21" spans="1:18" ht="12.75">
      <c r="A21" s="513"/>
      <c r="B21" s="622" t="s">
        <v>2910</v>
      </c>
      <c r="C21" s="525">
        <f>+'I. Solidaridad'!C14/1000</f>
        <v>179999.99999999997</v>
      </c>
      <c r="D21" s="525">
        <f>+'I. Solidaridad'!D14/1000</f>
        <v>300510</v>
      </c>
      <c r="E21" s="525">
        <f>+'I. Solidaridad'!E14/1000</f>
        <v>440056.38687240146</v>
      </c>
      <c r="F21" s="525">
        <f>+'I. Solidaridad'!F14/1000</f>
        <v>483880.0189194018</v>
      </c>
      <c r="G21" s="525">
        <f>+'I. Solidaridad'!G14/1000</f>
        <v>532702.98130957445</v>
      </c>
      <c r="H21" s="525">
        <f>+'I. Solidaridad'!H14/1000</f>
        <v>564783.63108057552</v>
      </c>
      <c r="I21" s="525">
        <f>+'I. Solidaridad'!I14/1000</f>
        <v>599509.29377304693</v>
      </c>
      <c r="J21" s="525">
        <f>+'I. Solidaridad'!J14/1000</f>
        <v>637126.94070027501</v>
      </c>
      <c r="K21" s="525">
        <f>+'I. Solidaridad'!K14/1000</f>
        <v>677909.36977000802</v>
      </c>
      <c r="L21" s="525">
        <f>+'I. Solidaridad'!L14/1000</f>
        <v>722158.13845328451</v>
      </c>
      <c r="M21" s="513"/>
    </row>
    <row r="22" spans="1:18" ht="12.75">
      <c r="A22" s="513"/>
      <c r="B22" s="730" t="s">
        <v>3019</v>
      </c>
      <c r="C22" s="525">
        <f>+'I-C Café Futuros'!C31/1000</f>
        <v>13456700.490583172</v>
      </c>
      <c r="D22" s="525">
        <f>+'I-C Café Futuros'!D31/1000</f>
        <v>14478315.382019261</v>
      </c>
      <c r="E22" s="525">
        <f>+'I-C Café Futuros'!E31/1000</f>
        <v>15380741.869454462</v>
      </c>
      <c r="F22" s="525">
        <f>+'I-C Café Futuros'!F31/1000</f>
        <v>16328289.681261426</v>
      </c>
      <c r="G22" s="525">
        <f>+'I-C Café Futuros'!G31/1000</f>
        <v>17323214.883658737</v>
      </c>
      <c r="H22" s="525">
        <f>+'I-C Café Futuros'!H31/1000</f>
        <v>18367886.346175916</v>
      </c>
      <c r="I22" s="525">
        <f>+'I-C Café Futuros'!I31/1000</f>
        <v>19464791.38181895</v>
      </c>
      <c r="J22" s="525">
        <f>+'I-C Café Futuros'!J31/1000</f>
        <v>20616541.669244137</v>
      </c>
      <c r="K22" s="525">
        <f>+'I-C Café Futuros'!K31/1000</f>
        <v>21825879.471040588</v>
      </c>
      <c r="L22" s="525">
        <f>+'I-C Café Futuros'!L31/1000</f>
        <v>23095684.162926856</v>
      </c>
      <c r="M22" s="513"/>
    </row>
    <row r="23" spans="1:18">
      <c r="A23" s="513"/>
      <c r="C23" s="525"/>
      <c r="D23" s="525"/>
      <c r="E23" s="525"/>
      <c r="F23" s="525"/>
      <c r="G23" s="525"/>
      <c r="H23" s="525"/>
      <c r="I23" s="525"/>
      <c r="J23" s="525"/>
      <c r="K23" s="525"/>
      <c r="L23" s="525"/>
      <c r="M23" s="513"/>
    </row>
    <row r="24" spans="1:18" ht="12.75" thickBot="1">
      <c r="A24" s="521"/>
      <c r="B24" s="541" t="s">
        <v>107</v>
      </c>
      <c r="C24" s="542">
        <f>SUM(C18:C23)</f>
        <v>218295031.98258317</v>
      </c>
      <c r="D24" s="542">
        <f>SUM(D18:D23)</f>
        <v>243475766.76353922</v>
      </c>
      <c r="E24" s="542">
        <f>SUM(E18:E23)</f>
        <v>266915715.84725365</v>
      </c>
      <c r="F24" s="542">
        <f>SUM(F18:F23)</f>
        <v>292832127.42947942</v>
      </c>
      <c r="G24" s="542">
        <f>SUM(G18:G23)</f>
        <v>321641479.92748117</v>
      </c>
      <c r="H24" s="542">
        <f t="shared" ref="H24:L24" si="3">SUM(H18:H23)</f>
        <v>339697672.17637509</v>
      </c>
      <c r="I24" s="542">
        <f t="shared" si="3"/>
        <v>359132449.48753345</v>
      </c>
      <c r="J24" s="542">
        <f t="shared" si="3"/>
        <v>380128742.82362092</v>
      </c>
      <c r="K24" s="542">
        <f t="shared" si="3"/>
        <v>402831130.31328291</v>
      </c>
      <c r="L24" s="542">
        <f t="shared" si="3"/>
        <v>427399273.31531727</v>
      </c>
      <c r="M24" s="513"/>
    </row>
    <row r="25" spans="1:18" ht="12.75" thickTop="1">
      <c r="A25" s="513"/>
      <c r="B25" s="526"/>
      <c r="C25" s="527"/>
      <c r="D25" s="527"/>
      <c r="E25" s="527"/>
      <c r="F25" s="527"/>
      <c r="G25" s="527"/>
      <c r="H25" s="527"/>
      <c r="I25" s="527"/>
      <c r="J25" s="527"/>
      <c r="K25" s="527"/>
      <c r="L25" s="527"/>
      <c r="M25" s="513"/>
      <c r="N25" s="720"/>
    </row>
    <row r="26" spans="1:18" ht="12.75" thickBot="1">
      <c r="A26" s="513"/>
      <c r="B26" s="539" t="s">
        <v>2983</v>
      </c>
      <c r="C26" s="540" t="s">
        <v>226</v>
      </c>
      <c r="D26" s="540" t="s">
        <v>227</v>
      </c>
      <c r="E26" s="540" t="s">
        <v>228</v>
      </c>
      <c r="F26" s="540" t="s">
        <v>229</v>
      </c>
      <c r="G26" s="540" t="s">
        <v>230</v>
      </c>
      <c r="H26" s="540" t="s">
        <v>231</v>
      </c>
      <c r="I26" s="540" t="s">
        <v>232</v>
      </c>
      <c r="J26" s="540" t="s">
        <v>233</v>
      </c>
      <c r="K26" s="540" t="s">
        <v>3010</v>
      </c>
      <c r="L26" s="540" t="s">
        <v>3011</v>
      </c>
      <c r="M26" s="513"/>
    </row>
    <row r="27" spans="1:18" ht="12.75">
      <c r="A27" s="513"/>
      <c r="B27" s="807" t="s">
        <v>2883</v>
      </c>
      <c r="C27" s="523">
        <f>+'I-C Café'!D89/1000</f>
        <v>179999999.99999997</v>
      </c>
      <c r="D27" s="523">
        <f>+'I-C Café'!E89/1000</f>
        <v>200340000</v>
      </c>
      <c r="E27" s="523">
        <f>+'I-C Café'!F89/1000</f>
        <v>220028193.43620074</v>
      </c>
      <c r="F27" s="523">
        <f>+'I-C Café'!G89/1000</f>
        <v>241940009.45970088</v>
      </c>
      <c r="G27" s="523">
        <f>+'I-C Café'!H89/1000</f>
        <v>266351490.65478724</v>
      </c>
      <c r="H27" s="523">
        <f>+'I-C Café'!I89/1000</f>
        <v>282391815.54028773</v>
      </c>
      <c r="I27" s="523">
        <f>+'I-C Café'!J89/1000</f>
        <v>299754646.88652349</v>
      </c>
      <c r="J27" s="523">
        <f>+'I-C Café'!K89/1000</f>
        <v>318563470.35013753</v>
      </c>
      <c r="K27" s="523">
        <f>+'I-C Café'!L89/1000</f>
        <v>338954684.88500398</v>
      </c>
      <c r="L27" s="523">
        <f>+'I-C Café'!M89/1000</f>
        <v>361079069.22664225</v>
      </c>
      <c r="M27" s="513"/>
    </row>
    <row r="28" spans="1:18" ht="12.75">
      <c r="A28" s="513"/>
      <c r="B28" s="805" t="s">
        <v>2884</v>
      </c>
      <c r="C28" s="525">
        <f>+'I-C Almacenes'!D43/1000</f>
        <v>16744000</v>
      </c>
      <c r="D28" s="525">
        <f>+'I-C Almacenes'!E43/1000</f>
        <v>18636072.000000004</v>
      </c>
      <c r="E28" s="525">
        <f>+'I-C Almacenes'!F43/1000</f>
        <v>20467511.504976366</v>
      </c>
      <c r="F28" s="525">
        <f>+'I-C Almacenes'!G43/1000</f>
        <v>22505797.324406847</v>
      </c>
      <c r="G28" s="525">
        <f>+'I-C Almacenes'!H43/1000</f>
        <v>24776607.552909777</v>
      </c>
      <c r="H28" s="525">
        <f>+'I-C Almacenes'!I43/1000</f>
        <v>25024373.628438868</v>
      </c>
      <c r="I28" s="525">
        <f>+'I-C Almacenes'!J43/1000</f>
        <v>25274617.364723258</v>
      </c>
      <c r="J28" s="525">
        <f>+'I-C Almacenes'!K43/1000</f>
        <v>25527363.53837049</v>
      </c>
      <c r="K28" s="525">
        <f>+'I-C Almacenes'!L43/1000</f>
        <v>25782637.173754197</v>
      </c>
      <c r="L28" s="525">
        <f>+'I-C Almacenes'!M43/1000</f>
        <v>26040463.54549174</v>
      </c>
      <c r="M28" s="513"/>
      <c r="N28" s="720"/>
      <c r="O28" s="720"/>
      <c r="P28" s="720"/>
      <c r="Q28" s="720"/>
      <c r="R28" s="720"/>
    </row>
    <row r="29" spans="1:18" ht="12.75">
      <c r="A29" s="513"/>
      <c r="B29" s="805" t="s">
        <v>3020</v>
      </c>
      <c r="C29" s="525">
        <f>+'I-C Café Futuros'!C37/1000</f>
        <v>14366459.410819847</v>
      </c>
      <c r="D29" s="525">
        <f>+'I-C Café Futuros'!D37/1000</f>
        <v>15388074.302255934</v>
      </c>
      <c r="E29" s="525">
        <f>+'I-C Café Futuros'!E37/1000</f>
        <v>16290500.789691135</v>
      </c>
      <c r="F29" s="525">
        <f>+'I-C Café Futuros'!F37/1000</f>
        <v>17238048.601498097</v>
      </c>
      <c r="G29" s="525">
        <f>+'I-C Café Futuros'!G37/1000</f>
        <v>18232973.80389541</v>
      </c>
      <c r="H29" s="525">
        <f>+'I-C Café Futuros'!H37/1000</f>
        <v>19277645.266412586</v>
      </c>
      <c r="I29" s="525">
        <f>+'I-C Café Futuros'!I37/1000</f>
        <v>20374550.302055623</v>
      </c>
      <c r="J29" s="525">
        <f>+'I-C Café Futuros'!J37/1000</f>
        <v>21526300.589480814</v>
      </c>
      <c r="K29" s="525">
        <f>+'I-C Café Futuros'!K37/1000</f>
        <v>22735638.391277261</v>
      </c>
      <c r="L29" s="525">
        <f>+'I-C Café Futuros'!L37/1000</f>
        <v>24005443.08316353</v>
      </c>
      <c r="M29" s="513"/>
      <c r="N29" s="720"/>
      <c r="O29" s="720"/>
      <c r="P29" s="720"/>
      <c r="Q29" s="720"/>
      <c r="R29" s="720"/>
    </row>
    <row r="30" spans="1:18" ht="12.75">
      <c r="A30" s="513"/>
      <c r="B30" s="805" t="s">
        <v>2885</v>
      </c>
      <c r="C30" s="525">
        <f>+'G Hon Interv - rev fisc'!D18/1000</f>
        <v>468000</v>
      </c>
      <c r="D30" s="525">
        <f>+'G Hon Interv - rev fisc'!E18/1000</f>
        <v>496080</v>
      </c>
      <c r="E30" s="525">
        <f>+'G Hon Interv - rev fisc'!F18/1000</f>
        <v>518887.34960011055</v>
      </c>
      <c r="F30" s="525">
        <f>+'G Hon Interv - rev fisc'!G18/1000</f>
        <v>543391.87957691157</v>
      </c>
      <c r="G30" s="525">
        <f>+'G Hon Interv - rev fisc'!H18/1000</f>
        <v>569732.8793681208</v>
      </c>
      <c r="H30" s="525">
        <f>+'G Hon Interv - rev fisc'!I18/1000</f>
        <v>598062.92902526248</v>
      </c>
      <c r="I30" s="525">
        <f>+'G Hon Interv - rev fisc'!J18/1000</f>
        <v>628549.27315181354</v>
      </c>
      <c r="J30" s="525">
        <f>+'G Hon Interv - rev fisc'!K18/1000</f>
        <v>661375.34966180369</v>
      </c>
      <c r="K30" s="525">
        <f>+'G Hon Interv - rev fisc'!L18/1000</f>
        <v>696742.49194245145</v>
      </c>
      <c r="L30" s="525">
        <f>+'G Hon Interv - rev fisc'!M18/1000</f>
        <v>734871.82537608768</v>
      </c>
      <c r="M30" s="513"/>
    </row>
    <row r="31" spans="1:18" ht="12.75">
      <c r="A31" s="513"/>
      <c r="B31" s="805" t="s">
        <v>2886</v>
      </c>
      <c r="C31" s="525">
        <f>+'G. Otros honorarios'!G13/1000</f>
        <v>34510.294120999999</v>
      </c>
      <c r="D31" s="525">
        <f>+'G. Otros honorarios'!H13/1000</f>
        <v>36580.911768260004</v>
      </c>
      <c r="E31" s="525">
        <f>+'G. Otros honorarios'!I13/1000</f>
        <v>38262.724466593951</v>
      </c>
      <c r="F31" s="525">
        <f>+'G. Otros honorarios'!J13/1000</f>
        <v>40069.687152056053</v>
      </c>
      <c r="G31" s="525">
        <f>+'G. Otros honorarios'!K13/1000</f>
        <v>42012.071020081334</v>
      </c>
      <c r="H31" s="525">
        <f>+'G. Otros honorarios'!L13/1000</f>
        <v>44101.127315231955</v>
      </c>
      <c r="I31" s="525">
        <f>+'G. Otros honorarios'!M13/1000</f>
        <v>46349.188645320202</v>
      </c>
      <c r="J31" s="525">
        <f>+'G. Otros honorarios'!N13/1000</f>
        <v>48769.781711983043</v>
      </c>
      <c r="K31" s="525">
        <f>+'G. Otros honorarios'!O13/1000</f>
        <v>51377.752828060846</v>
      </c>
      <c r="L31" s="525">
        <f>+'G. Otros honorarios'!P13/1000</f>
        <v>54189.407767019111</v>
      </c>
      <c r="M31" s="513"/>
    </row>
    <row r="32" spans="1:18" ht="12.75">
      <c r="A32" s="513"/>
      <c r="B32" s="805" t="s">
        <v>2911</v>
      </c>
      <c r="C32" s="525">
        <f>+SUM(C27:C31,C33:C35,C37:C55,C57)*0.004</f>
        <v>869750.01178754109</v>
      </c>
      <c r="D32" s="525">
        <f t="shared" ref="D32:G32" si="4">+SUM(D27:D31,D33:D35,D37:D55,D57)*0.004</f>
        <v>962887.86852479237</v>
      </c>
      <c r="E32" s="525">
        <f t="shared" si="4"/>
        <v>1053833.0910011244</v>
      </c>
      <c r="F32" s="525">
        <f t="shared" si="4"/>
        <v>1154920.4368755098</v>
      </c>
      <c r="G32" s="525">
        <f t="shared" si="4"/>
        <v>1267373.4192379774</v>
      </c>
      <c r="H32" s="525">
        <f t="shared" ref="H32:L32" si="5">+SUM(H27:H31,H33:H35,H37:H55,H57)*0.004</f>
        <v>1338918.1008873698</v>
      </c>
      <c r="I32" s="525">
        <f t="shared" si="5"/>
        <v>1415459.3195901564</v>
      </c>
      <c r="J32" s="525">
        <f t="shared" si="5"/>
        <v>1498022.448220514</v>
      </c>
      <c r="K32" s="525">
        <f t="shared" si="5"/>
        <v>1587417.3229600142</v>
      </c>
      <c r="L32" s="525">
        <f t="shared" si="5"/>
        <v>1684022.8482988828</v>
      </c>
      <c r="M32" s="513"/>
    </row>
    <row r="33" spans="1:13" ht="12.75">
      <c r="A33" s="513"/>
      <c r="B33" s="805" t="s">
        <v>2887</v>
      </c>
      <c r="C33" s="525">
        <f>+'G. Honorarios Juridicos'!G15/1000</f>
        <v>68000.5</v>
      </c>
      <c r="D33" s="525">
        <f>+'G. Honorarios Juridicos'!H15/1000</f>
        <v>72080.53</v>
      </c>
      <c r="E33" s="525">
        <f>+'G. Honorarios Juridicos'!I15/1000</f>
        <v>75394.442770261361</v>
      </c>
      <c r="F33" s="525">
        <f>+'G. Honorarios Juridicos'!J15/1000</f>
        <v>78954.956211901241</v>
      </c>
      <c r="G33" s="525">
        <f>+'G. Honorarios Juridicos'!K15/1000</f>
        <v>82782.3091099827</v>
      </c>
      <c r="H33" s="525">
        <f>+'G. Honorarios Juridicos'!L15/1000</f>
        <v>86898.67137859478</v>
      </c>
      <c r="I33" s="525">
        <f>+'G. Honorarios Juridicos'!M15/1000</f>
        <v>91328.343694358773</v>
      </c>
      <c r="J33" s="525">
        <f>+'G. Honorarios Juridicos'!N15/1000</f>
        <v>96097.979625379245</v>
      </c>
      <c r="K33" s="525">
        <f>+'G. Honorarios Juridicos'!O15/1000</f>
        <v>101236.83295583907</v>
      </c>
      <c r="L33" s="525">
        <f>+'G. Honorarios Juridicos'!P15/1000</f>
        <v>106777.03325103989</v>
      </c>
      <c r="M33" s="513"/>
    </row>
    <row r="34" spans="1:13" ht="12.75">
      <c r="A34" s="513"/>
      <c r="B34" s="805" t="s">
        <v>2888</v>
      </c>
      <c r="C34" s="525">
        <f>+'G. Mantenimiento'!C107/1000</f>
        <v>81490</v>
      </c>
      <c r="D34" s="525">
        <f>+'G. Mantenimiento'!D107/1000</f>
        <v>80369.399999999994</v>
      </c>
      <c r="E34" s="525">
        <f>+'G. Mantenimiento'!E107/1000</f>
        <v>74640.158714429359</v>
      </c>
      <c r="F34" s="525">
        <f>+'G. Mantenimiento'!F107/1000</f>
        <v>78165.050982665416</v>
      </c>
      <c r="G34" s="525">
        <f>+'G. Mantenimiento'!G107/1000</f>
        <v>81954.113110751248</v>
      </c>
      <c r="H34" s="525">
        <f>+'G. Mantenimiento'!H107/1000</f>
        <v>85926.851572378131</v>
      </c>
      <c r="I34" s="525">
        <f>+'G. Mantenimiento'!I107/1000</f>
        <v>90092.16905584959</v>
      </c>
      <c r="J34" s="525">
        <f>+'G. Mantenimiento'!J107/1000</f>
        <v>94459.400857044966</v>
      </c>
      <c r="K34" s="525">
        <f>+'G. Mantenimiento'!K107/1000</f>
        <v>99038.33480165842</v>
      </c>
      <c r="L34" s="525">
        <f>+'G. Mantenimiento'!L107/1000</f>
        <v>103839.23318164764</v>
      </c>
      <c r="M34"/>
    </row>
    <row r="35" spans="1:13" ht="12.75">
      <c r="A35" s="513"/>
      <c r="B35" s="805" t="s">
        <v>2889</v>
      </c>
      <c r="C35" s="525">
        <f>+'G. Sostenim veh.'!C18/1000</f>
        <v>31260</v>
      </c>
      <c r="D35" s="525">
        <f>+'G. Sostenim veh.'!D18/1000</f>
        <v>17474</v>
      </c>
      <c r="E35" s="525">
        <f>+'G. Sostenim veh.'!E18/1000</f>
        <v>30447.3</v>
      </c>
      <c r="F35" s="525">
        <f>+'G. Sostenim veh.'!F18/1000</f>
        <v>19258.584999999999</v>
      </c>
      <c r="G35" s="525">
        <f>+'G. Sostenim veh.'!G18/1000</f>
        <v>33531.074249999998</v>
      </c>
      <c r="H35" s="525">
        <f>+'G. Sostenim veh.'!H18/1000</f>
        <v>21076.921269048991</v>
      </c>
      <c r="I35" s="525">
        <f>+'G. Sostenim veh.'!I18/1000</f>
        <v>36992.655876227262</v>
      </c>
      <c r="J35" s="525">
        <f>+'G. Sostenim veh.'!J18/1000</f>
        <v>23147.145542244554</v>
      </c>
      <c r="K35" s="525">
        <f>+'G. Sostenim veh.'!K18/1000</f>
        <v>40015.967105356605</v>
      </c>
      <c r="L35" s="525">
        <f>+'G. Sostenim veh.'!L18/1000</f>
        <v>25541.239119057183</v>
      </c>
      <c r="M35"/>
    </row>
    <row r="36" spans="1:13" ht="12.75">
      <c r="A36" s="513"/>
      <c r="B36" s="805" t="s">
        <v>2890</v>
      </c>
      <c r="C36" s="525">
        <f>+'G. Aseo y cafetería'!I8/1000</f>
        <v>23278.792000000001</v>
      </c>
      <c r="D36" s="525">
        <f>+'G. Aseo y cafetería'!J8/1000</f>
        <v>24675.519519999998</v>
      </c>
      <c r="E36" s="525">
        <f>+'G. Aseo y cafetería'!K8/1000</f>
        <v>25809.980091393711</v>
      </c>
      <c r="F36" s="525">
        <f>+'G. Aseo y cafetería'!L8/1000</f>
        <v>27028.8601264102</v>
      </c>
      <c r="G36" s="525">
        <f>+'G. Aseo y cafetería'!M8/1000</f>
        <v>28339.088022161486</v>
      </c>
      <c r="H36" s="525">
        <f>+'G. Aseo y cafetería'!N8/1000</f>
        <v>29748.253264294544</v>
      </c>
      <c r="I36" s="525">
        <f>+'G. Aseo y cafetería'!O8/1000</f>
        <v>31264.674768060366</v>
      </c>
      <c r="J36" s="525">
        <f>+'G. Aseo y cafetería'!P8/1000</f>
        <v>32897.476920308545</v>
      </c>
      <c r="K36" s="525">
        <f>+'G. Aseo y cafetería'!Q8/1000</f>
        <v>34656.674246773517</v>
      </c>
      <c r="L36" s="525">
        <f>+'G. Aseo y cafetería'!R8/1000</f>
        <v>36553.265746987759</v>
      </c>
      <c r="M36"/>
    </row>
    <row r="37" spans="1:13" ht="12.75">
      <c r="A37" s="513"/>
      <c r="B37" s="805" t="s">
        <v>2891</v>
      </c>
      <c r="C37" s="525">
        <f>+'G. Seguros'!M7/1000</f>
        <v>182497.391</v>
      </c>
      <c r="D37" s="525">
        <f>+'G. Seguros'!N7/1000</f>
        <v>192628.04292091649</v>
      </c>
      <c r="E37" s="525">
        <f>+'G. Seguros'!O7/1000</f>
        <v>201560.51423063051</v>
      </c>
      <c r="F37" s="525">
        <f>+'G. Seguros'!P7/1000</f>
        <v>210749.90113986694</v>
      </c>
      <c r="G37" s="525">
        <f>+'G. Seguros'!Q7/1000</f>
        <v>221049.88563529286</v>
      </c>
      <c r="H37" s="525">
        <f>+'G. Seguros'!R7/1000</f>
        <v>225497.97403960186</v>
      </c>
      <c r="I37" s="525">
        <f>+'G. Seguros'!S7/1000</f>
        <v>236849.18379295032</v>
      </c>
      <c r="J37" s="525">
        <f>+'G. Seguros'!T7/1000</f>
        <v>248944.18324471379</v>
      </c>
      <c r="K37" s="525">
        <f>+'G. Seguros'!U7/1000</f>
        <v>261838.52852450305</v>
      </c>
      <c r="L37" s="525">
        <f>+'G. Seguros'!V7/1000</f>
        <v>275592.67947037925</v>
      </c>
      <c r="M37"/>
    </row>
    <row r="38" spans="1:13" ht="12.75">
      <c r="A38" s="513"/>
      <c r="B38" s="805" t="s">
        <v>2892</v>
      </c>
      <c r="C38" s="525">
        <f>+'G. Sistematización'!C77/1000</f>
        <v>166085.03</v>
      </c>
      <c r="D38" s="525">
        <f>+'G. Sistematización'!D77/1000</f>
        <v>30463.211800000001</v>
      </c>
      <c r="E38" s="525">
        <f>+'G. Sistematización'!E77/1000</f>
        <v>31863.762359314667</v>
      </c>
      <c r="F38" s="525">
        <f>+'G. Sistematización'!F77/1000</f>
        <v>33368.533135686899</v>
      </c>
      <c r="G38" s="525">
        <f>+'G. Sistematización'!G77/1000</f>
        <v>34986.077595579191</v>
      </c>
      <c r="H38" s="525">
        <f>+'G. Sistematización'!H77/1000</f>
        <v>36682.057756627837</v>
      </c>
      <c r="I38" s="525">
        <f>+'G. Sistematización'!I77/1000</f>
        <v>38460.249588888473</v>
      </c>
      <c r="J38" s="525">
        <f>+'G. Sistematización'!J77/1000</f>
        <v>40324.638314989024</v>
      </c>
      <c r="K38" s="525">
        <f>+'G. Sistematización'!K77/1000</f>
        <v>42279.402341799228</v>
      </c>
      <c r="L38" s="525">
        <f>+'G. Sistematización'!L77/1000</f>
        <v>44328.922625064923</v>
      </c>
      <c r="M38"/>
    </row>
    <row r="39" spans="1:13" ht="12.75">
      <c r="A39" s="513"/>
      <c r="B39" s="805" t="s">
        <v>2893</v>
      </c>
      <c r="C39" s="525">
        <f>+'G. Legales'!O7/1000</f>
        <v>121470.12367967001</v>
      </c>
      <c r="D39" s="525">
        <f>+'G. Legales'!P7/1000</f>
        <v>54896.220887881296</v>
      </c>
      <c r="E39" s="525">
        <f>+'G. Legales'!Q7/1000</f>
        <v>11924.116645382317</v>
      </c>
      <c r="F39" s="525">
        <f>+'G. Legales'!R7/1000</f>
        <v>12487.234774989502</v>
      </c>
      <c r="G39" s="525">
        <f>+'G. Legales'!S7/1000</f>
        <v>13092.555283011967</v>
      </c>
      <c r="H39" s="525">
        <f>+'G. Legales'!T7/1000</f>
        <v>13743.584484131572</v>
      </c>
      <c r="I39" s="525">
        <f>+'G. Legales'!U7/1000</f>
        <v>14444.165686846221</v>
      </c>
      <c r="J39" s="525">
        <f>+'G. Legales'!V7/1000</f>
        <v>15198.514324593938</v>
      </c>
      <c r="K39" s="525">
        <f>+'G. Legales'!W7/1000</f>
        <v>16011.257071730261</v>
      </c>
      <c r="L39" s="525">
        <f>+'G. Legales'!X7/1000</f>
        <v>16887.475425913966</v>
      </c>
      <c r="M39"/>
    </row>
    <row r="40" spans="1:13" ht="12.75">
      <c r="A40" s="513"/>
      <c r="B40" s="805" t="s">
        <v>2894</v>
      </c>
      <c r="C40" s="525">
        <f>+'S. Acueducto'!I8/1000</f>
        <v>23540.331028851</v>
      </c>
      <c r="D40" s="525">
        <f>+'S. Acueducto'!J8/1000</f>
        <v>24952.750890582058</v>
      </c>
      <c r="E40" s="525">
        <f>+'S. Acueducto'!K8/1000</f>
        <v>26099.957214251575</v>
      </c>
      <c r="F40" s="525">
        <f>+'S. Acueducto'!L8/1000</f>
        <v>27332.531460747941</v>
      </c>
      <c r="G40" s="525">
        <f>+'S. Acueducto'!M8/1000</f>
        <v>28657.479868260674</v>
      </c>
      <c r="H40" s="525">
        <f>+'S. Acueducto'!N8/1000</f>
        <v>30082.477190895075</v>
      </c>
      <c r="I40" s="525">
        <f>+'S. Acueducto'!O8/1000</f>
        <v>31615.935807558497</v>
      </c>
      <c r="J40" s="525">
        <f>+'S. Acueducto'!P8/1000</f>
        <v>33267.082618292596</v>
      </c>
      <c r="K40" s="525">
        <f>+'S. Acueducto'!Q8/1000</f>
        <v>35046.044662803113</v>
      </c>
      <c r="L40" s="525">
        <f>+'S. Acueducto'!R8/1000</f>
        <v>36963.944515233103</v>
      </c>
      <c r="M40" s="513"/>
    </row>
    <row r="41" spans="1:13" ht="12.75">
      <c r="A41" s="513"/>
      <c r="B41" s="805" t="s">
        <v>2895</v>
      </c>
      <c r="C41" s="525">
        <f>+G.Energia!I7/1000</f>
        <v>159651.40153142699</v>
      </c>
      <c r="D41" s="525">
        <f>+G.Energia!J7/1000</f>
        <v>169230.48562331262</v>
      </c>
      <c r="E41" s="525">
        <f>+G.Energia!K7/1000</f>
        <v>177010.881625182</v>
      </c>
      <c r="F41" s="525">
        <f>+G.Energia!L7/1000</f>
        <v>185370.24605822723</v>
      </c>
      <c r="G41" s="525">
        <f>+G.Energia!M7/1000</f>
        <v>194356.09549071777</v>
      </c>
      <c r="H41" s="525">
        <f>+G.Energia!N7/1000</f>
        <v>204020.48039075531</v>
      </c>
      <c r="I41" s="525">
        <f>+G.Energia!O7/1000</f>
        <v>214420.4538253136</v>
      </c>
      <c r="J41" s="525">
        <f>+G.Energia!P7/1000</f>
        <v>225618.5929740268</v>
      </c>
      <c r="K41" s="525">
        <f>+G.Energia!Q7/1000</f>
        <v>237683.57979724652</v>
      </c>
      <c r="L41" s="525">
        <f>+G.Energia!R7/1000</f>
        <v>250690.84800694551</v>
      </c>
      <c r="M41" s="513"/>
    </row>
    <row r="42" spans="1:13" ht="12.75">
      <c r="A42" s="513"/>
      <c r="B42" s="805" t="s">
        <v>2896</v>
      </c>
      <c r="C42" s="525">
        <f>+G.Internet!I7/1000</f>
        <v>23039.039311469998</v>
      </c>
      <c r="D42" s="525">
        <f>+G.Internet!J7/1000</f>
        <v>24421.3816701582</v>
      </c>
      <c r="E42" s="525">
        <f>+G.Internet!K7/1000</f>
        <v>25544.158217225264</v>
      </c>
      <c r="F42" s="525">
        <f>+G.Internet!L7/1000</f>
        <v>26750.484775867608</v>
      </c>
      <c r="G42" s="525">
        <f>+G.Internet!M7/1000</f>
        <v>28047.218386322929</v>
      </c>
      <c r="H42" s="525">
        <f>+G.Internet!N7/1000</f>
        <v>29441.870368687851</v>
      </c>
      <c r="I42" s="525">
        <f>+G.Internet!O7/1000</f>
        <v>30942.67396012933</v>
      </c>
      <c r="J42" s="525">
        <f>+G.Internet!P7/1000</f>
        <v>32558.659573708359</v>
      </c>
      <c r="K42" s="525">
        <f>+G.Internet!Q7/1000</f>
        <v>34299.738593661779</v>
      </c>
      <c r="L42" s="525">
        <f>+G.Internet!R7/1000</f>
        <v>36176.79673874232</v>
      </c>
      <c r="M42" s="513"/>
    </row>
    <row r="43" spans="1:13" ht="12.75">
      <c r="A43" s="513"/>
      <c r="B43" s="805" t="s">
        <v>2897</v>
      </c>
      <c r="C43" s="525">
        <f>+G.teléfono!J8/1000</f>
        <v>21391.460298000002</v>
      </c>
      <c r="D43" s="525">
        <f>+G.teléfono!K8/1000</f>
        <v>22674.947915880002</v>
      </c>
      <c r="E43" s="525">
        <f>+G.teléfono!L8/1000</f>
        <v>23717.431919028229</v>
      </c>
      <c r="F43" s="525">
        <f>+G.teléfono!M8/1000</f>
        <v>24837.491064583555</v>
      </c>
      <c r="G43" s="525">
        <f>+G.teléfono!N8/1000</f>
        <v>26041.49202877859</v>
      </c>
      <c r="H43" s="525">
        <f>+G.teléfono!O8/1000</f>
        <v>27336.40897852456</v>
      </c>
      <c r="I43" s="525">
        <f>+G.teléfono!P8/1000</f>
        <v>28729.886371717472</v>
      </c>
      <c r="J43" s="525">
        <f>+G.teléfono!Q8/1000</f>
        <v>30230.308834116116</v>
      </c>
      <c r="K43" s="525">
        <f>+G.teléfono!R8/1000</f>
        <v>31846.878962214829</v>
      </c>
      <c r="L43" s="525">
        <f>+G.teléfono!S8/1000</f>
        <v>33589.70400993884</v>
      </c>
      <c r="M43" s="513"/>
    </row>
    <row r="44" spans="1:13" ht="12.75">
      <c r="A44" s="513"/>
      <c r="B44" s="805" t="s">
        <v>2898</v>
      </c>
      <c r="C44" s="525">
        <f>+Tabla5[[#Totals],[Total Empleado año 1]]/1000</f>
        <v>2204257.6728000003</v>
      </c>
      <c r="D44" s="525">
        <f>+Tabla5[[#Totals],[Año 2]]/1000</f>
        <v>2336513.1331679998</v>
      </c>
      <c r="E44" s="525">
        <f>+Tabla5[[#Totals],[Año 3]]/1000</f>
        <v>2443934.6616985053</v>
      </c>
      <c r="F44" s="525">
        <f>+Tabla5[[#Totals],[Año 4]]/1000</f>
        <v>2559349.8288346617</v>
      </c>
      <c r="G44" s="525">
        <f>+Tabla5[[#Totals],[Año 5]]/1000</f>
        <v>2683414.6811829414</v>
      </c>
      <c r="H44" s="525">
        <f>+Tabla5[[#Totals],[Año 6]]/1000</f>
        <v>2816847.8635067861</v>
      </c>
      <c r="I44" s="525">
        <f>+Tabla5[[#Totals],[Año 7]]/1000</f>
        <v>2960437.089909717</v>
      </c>
      <c r="J44" s="525">
        <f>+Tabla5[[#Totals],[Año 8]]/1000</f>
        <v>3115046.3442154122</v>
      </c>
      <c r="K44" s="525">
        <f>+Tabla5[[#Totals],[Año 9]]/1000</f>
        <v>3281623.8970725224</v>
      </c>
      <c r="L44" s="525">
        <f>+Tabla5[[#Totals],[Año 10]]/1000</f>
        <v>3461211.238482445</v>
      </c>
      <c r="M44" s="513"/>
    </row>
    <row r="45" spans="1:13" ht="12.75">
      <c r="A45" s="513"/>
      <c r="B45" s="805" t="s">
        <v>2899</v>
      </c>
      <c r="C45" s="525">
        <f>+G.Publicidad!J7/1000</f>
        <v>30563.123</v>
      </c>
      <c r="D45" s="525">
        <f>+G.Publicidad!K7/1000</f>
        <v>32396.910380000001</v>
      </c>
      <c r="E45" s="525">
        <f>+G.Publicidad!L7/1000</f>
        <v>33886.363010624314</v>
      </c>
      <c r="F45" s="525">
        <f>+G.Publicidad!M7/1000</f>
        <v>35486.651394680208</v>
      </c>
      <c r="G45" s="525">
        <f>+G.Publicidad!N7/1000</f>
        <v>37206.871942888967</v>
      </c>
      <c r="H45" s="525">
        <f>+G.Publicidad!O7/1000</f>
        <v>39056.989020383255</v>
      </c>
      <c r="I45" s="525">
        <f>+G.Publicidad!P7/1000</f>
        <v>41047.924672862122</v>
      </c>
      <c r="J45" s="525">
        <f>+G.Publicidad!Q7/1000</f>
        <v>43191.658463422464</v>
      </c>
      <c r="K45" s="525">
        <f>+G.Publicidad!R7/1000</f>
        <v>45501.338633683023</v>
      </c>
      <c r="L45" s="525">
        <f>+G.Publicidad!S7/1000</f>
        <v>47991.405957700626</v>
      </c>
      <c r="M45" s="513"/>
    </row>
    <row r="46" spans="1:13" ht="12.75">
      <c r="A46" s="513"/>
      <c r="B46" s="805" t="s">
        <v>2900</v>
      </c>
      <c r="C46" s="525">
        <f>+'G. Vigilancia'!C56/1000</f>
        <v>284600</v>
      </c>
      <c r="D46" s="525">
        <f>+'G. Vigilancia'!D56/1000</f>
        <v>147466.4</v>
      </c>
      <c r="E46" s="525">
        <f>+'G. Vigilancia'!E56/1000</f>
        <v>154246.18902408841</v>
      </c>
      <c r="F46" s="525">
        <f>+'G. Vigilancia'!F56/1000</f>
        <v>161530.48756337832</v>
      </c>
      <c r="G46" s="525">
        <f>+'G. Vigilancia'!G56/1000</f>
        <v>169360.70126199609</v>
      </c>
      <c r="H46" s="525">
        <f>+'G. Vigilancia'!H56/1000</f>
        <v>177570.48969980326</v>
      </c>
      <c r="I46" s="525">
        <f>+'G. Vigilancia'!I56/1000</f>
        <v>186178.2486231658</v>
      </c>
      <c r="J46" s="525">
        <f>+'G. Vigilancia'!J56/1000</f>
        <v>195203.26970881096</v>
      </c>
      <c r="K46" s="525">
        <f>+'G. Vigilancia'!K56/1000</f>
        <v>204665.77980027965</v>
      </c>
      <c r="L46" s="525">
        <f>+'G. Vigilancia'!L56/1000</f>
        <v>214586.98624027282</v>
      </c>
      <c r="M46" s="513"/>
    </row>
    <row r="47" spans="1:13" ht="12.75">
      <c r="A47" s="513"/>
      <c r="B47" s="805" t="s">
        <v>2901</v>
      </c>
      <c r="C47" s="525">
        <f>+'G.Gasto de viaje'!O10/1000</f>
        <v>37084.403370000015</v>
      </c>
      <c r="D47" s="525">
        <f>+'G.Gasto de viaje'!P10/1000</f>
        <v>37084.403370000015</v>
      </c>
      <c r="E47" s="525">
        <f>+'G.Gasto de viaje'!Q10/1000</f>
        <v>39309.467572200017</v>
      </c>
      <c r="F47" s="525">
        <f>+'G.Gasto de viaje'!R10/1000</f>
        <v>41116.726017437424</v>
      </c>
      <c r="G47" s="525">
        <f>+'G.Gasto de viaje'!S10/1000</f>
        <v>43058.469338061244</v>
      </c>
      <c r="H47" s="525">
        <f>+'G.Gasto de viaje'!T10/1000</f>
        <v>45145.734853929382</v>
      </c>
      <c r="I47" s="525">
        <f>+'G.Gasto de viaje'!U10/1000</f>
        <v>47390.613035505383</v>
      </c>
      <c r="J47" s="525">
        <f>+'G.Gasto de viaje'!V10/1000</f>
        <v>49806.356374961906</v>
      </c>
      <c r="K47" s="525">
        <f>+'G.Gasto de viaje'!W10/1000</f>
        <v>52407.500525284464</v>
      </c>
      <c r="L47" s="525">
        <f>+'G.Gasto de viaje'!X10/1000</f>
        <v>55209.999179942002</v>
      </c>
      <c r="M47" s="513"/>
    </row>
    <row r="48" spans="1:13" ht="12.75">
      <c r="A48" s="513"/>
      <c r="B48" s="805" t="s">
        <v>2902</v>
      </c>
      <c r="C48" s="525">
        <f>+G.Arrendamiento!E8/1000</f>
        <v>54392.342016000002</v>
      </c>
      <c r="D48" s="525">
        <f>+G.Arrendamiento!F8/1000</f>
        <v>57655.882536960009</v>
      </c>
      <c r="E48" s="525">
        <f>+G.Arrendamiento!G8/1000</f>
        <v>60306.620058173023</v>
      </c>
      <c r="F48" s="525">
        <f>+G.Arrendamiento!H8/1000</f>
        <v>63154.60889458219</v>
      </c>
      <c r="G48" s="525">
        <f>+G.Arrendamiento!I8/1000</f>
        <v>66216.037675964311</v>
      </c>
      <c r="H48" s="525">
        <f>+G.Arrendamiento!J8/1000</f>
        <v>69508.63970648036</v>
      </c>
      <c r="I48" s="525">
        <f>+G.Arrendamiento!K8/1000</f>
        <v>73051.852647824038</v>
      </c>
      <c r="J48" s="525">
        <f>+G.Arrendamiento!L8/1000</f>
        <v>76866.996196060718</v>
      </c>
      <c r="K48" s="525">
        <f>+G.Arrendamiento!M8/1000</f>
        <v>80977.46991199562</v>
      </c>
      <c r="L48" s="525">
        <f>+G.Arrendamiento!N8/1000</f>
        <v>85408.97364055214</v>
      </c>
      <c r="M48" s="513"/>
    </row>
    <row r="49" spans="1:13" ht="12.75">
      <c r="A49" s="513"/>
      <c r="B49" s="805" t="s">
        <v>2903</v>
      </c>
      <c r="C49" s="525">
        <f>+'G. Arrume y empacada'!E12/1000</f>
        <v>37500</v>
      </c>
      <c r="D49" s="525">
        <f>+'G. Arrume y empacada'!F12/1000</f>
        <v>41737.5</v>
      </c>
      <c r="E49" s="525">
        <f>+'G. Arrume y empacada'!G12/1000</f>
        <v>45839.20696587515</v>
      </c>
      <c r="F49" s="525">
        <f>+'G. Arrume y empacada'!H12/1000</f>
        <v>50404.168637437695</v>
      </c>
      <c r="G49" s="525">
        <f>+'G. Arrume y empacada'!I12/1000</f>
        <v>55489.893886414015</v>
      </c>
      <c r="H49" s="525">
        <f>+'G. Arrume y empacada'!J12/1000</f>
        <v>58831.62823755994</v>
      </c>
      <c r="I49" s="525">
        <f>+'G. Arrume y empacada'!K12/1000</f>
        <v>62448.884768025731</v>
      </c>
      <c r="J49" s="525">
        <f>+'G. Arrume y empacada'!L12/1000</f>
        <v>66367.389656278654</v>
      </c>
      <c r="K49" s="525">
        <f>+'G. Arrume y empacada'!M12/1000</f>
        <v>70615.559351042495</v>
      </c>
      <c r="L49" s="525">
        <f>+'G. Arrume y empacada'!N12/1000</f>
        <v>75224.806088883823</v>
      </c>
      <c r="M49" s="513"/>
    </row>
    <row r="50" spans="1:13" ht="12.75">
      <c r="A50" s="513"/>
      <c r="B50" s="805" t="s">
        <v>2879</v>
      </c>
      <c r="C50" s="525">
        <f>+'G. Coteo'!E13/1000</f>
        <v>143333.33333333334</v>
      </c>
      <c r="D50" s="525">
        <f>+'G. Coteo'!F13/1000</f>
        <v>159530.00000000003</v>
      </c>
      <c r="E50" s="525">
        <f>+'G. Coteo'!G13/1000</f>
        <v>175207.63551401172</v>
      </c>
      <c r="F50" s="525">
        <f>+'G. Coteo'!H13/1000</f>
        <v>192655.93345865075</v>
      </c>
      <c r="G50" s="525">
        <f>+'G. Coteo'!I13/1000</f>
        <v>212094.70552140471</v>
      </c>
      <c r="H50" s="525">
        <f>+'G. Coteo'!J13/1000</f>
        <v>428431.30515323754</v>
      </c>
      <c r="I50" s="525">
        <f>+'G. Coteo'!K13/1000</f>
        <v>454773.35929737432</v>
      </c>
      <c r="J50" s="525">
        <f>+'G. Coteo'!L13/1000</f>
        <v>483309.20326117845</v>
      </c>
      <c r="K50" s="525">
        <f>+'G. Coteo'!M13/1000</f>
        <v>514245.77498907311</v>
      </c>
      <c r="L50" s="525">
        <f>+'G. Coteo'!N13/1000</f>
        <v>547811.82873983297</v>
      </c>
      <c r="M50" s="513"/>
    </row>
    <row r="51" spans="1:13" ht="12.75">
      <c r="A51" s="513"/>
      <c r="B51" s="805" t="s">
        <v>2904</v>
      </c>
      <c r="C51" s="525">
        <f>+'G. Fletes'!E16/1000</f>
        <v>1305000</v>
      </c>
      <c r="D51" s="525">
        <f>+'G. Fletes'!F16/1000</f>
        <v>1452465</v>
      </c>
      <c r="E51" s="525">
        <f>+'G. Fletes'!G16/1000</f>
        <v>1595204.4024124551</v>
      </c>
      <c r="F51" s="525">
        <f>+'G. Fletes'!H16/1000</f>
        <v>1754065.0685828316</v>
      </c>
      <c r="G51" s="525">
        <f>+'G. Fletes'!I16/1000</f>
        <v>1931048.3072472077</v>
      </c>
      <c r="H51" s="525">
        <f>+'G. Fletes'!J16/1000</f>
        <v>2047340.6626670856</v>
      </c>
      <c r="I51" s="525">
        <f>+'G. Fletes'!K16/1000</f>
        <v>2173221.1899272958</v>
      </c>
      <c r="J51" s="525">
        <f>+'G. Fletes'!L16/1000</f>
        <v>2309585.1600384968</v>
      </c>
      <c r="K51" s="525">
        <f>+'G. Fletes'!M16/1000</f>
        <v>2457421.4654162792</v>
      </c>
      <c r="L51" s="525">
        <f>+'G. Fletes'!N16/1000</f>
        <v>2617823.2518931571</v>
      </c>
      <c r="M51" s="513"/>
    </row>
    <row r="52" spans="1:13" ht="12.75">
      <c r="A52" s="513"/>
      <c r="B52" s="805" t="s">
        <v>2905</v>
      </c>
      <c r="C52" s="525">
        <f>+'G. Empaques'!E10/1000</f>
        <v>70000</v>
      </c>
      <c r="D52" s="525">
        <f>+'G. Empaques'!F10/1000</f>
        <v>74200</v>
      </c>
      <c r="E52" s="525">
        <f>+'G. Empaques'!G10/1000</f>
        <v>77611.355709418232</v>
      </c>
      <c r="F52" s="525">
        <f>+'G. Empaques'!H10/1000</f>
        <v>81276.563184580809</v>
      </c>
      <c r="G52" s="525">
        <f>+'G. Empaques'!I10/1000</f>
        <v>85216.456315744566</v>
      </c>
      <c r="H52" s="525">
        <f>+'G. Empaques'!J10/1000</f>
        <v>89453.856905487963</v>
      </c>
      <c r="I52" s="525">
        <f>+'G. Empaques'!K10/1000</f>
        <v>94013.780172279803</v>
      </c>
      <c r="J52" s="525">
        <f>+'G. Empaques'!L10/1000</f>
        <v>98923.663410953537</v>
      </c>
      <c r="K52" s="525">
        <f>+'G. Empaques'!M10/1000</f>
        <v>104213.62058968292</v>
      </c>
      <c r="L52" s="525">
        <f>+'G. Empaques'!N10/1000</f>
        <v>109916.72601779092</v>
      </c>
      <c r="M52" s="513"/>
    </row>
    <row r="53" spans="1:13" ht="12.75">
      <c r="A53" s="513"/>
      <c r="B53" s="805" t="s">
        <v>2906</v>
      </c>
      <c r="C53" s="525">
        <f>+'G. Papelería'!I8/1000</f>
        <v>16685.034521999998</v>
      </c>
      <c r="D53" s="525">
        <f>+'G. Papelería'!J8/1000</f>
        <v>17686.13659332</v>
      </c>
      <c r="E53" s="525">
        <f>+'G. Papelería'!K8/1000</f>
        <v>18499.259275869503</v>
      </c>
      <c r="F53" s="525">
        <f>+'G. Papelería'!L8/1000</f>
        <v>19372.889465203501</v>
      </c>
      <c r="G53" s="525">
        <f>+'G. Papelería'!M8/1000</f>
        <v>20311.993078152904</v>
      </c>
      <c r="H53" s="525">
        <f>+'G. Papelería'!N8/1000</f>
        <v>21322.009865630214</v>
      </c>
      <c r="I53" s="525">
        <f>+'G. Papelería'!O8/1000</f>
        <v>22408.902395974394</v>
      </c>
      <c r="J53" s="525">
        <f>+'G. Papelería'!P8/1000</f>
        <v>23579.210557920975</v>
      </c>
      <c r="K53" s="525">
        <f>+'G. Papelería'!Q8/1000</f>
        <v>24840.112245735279</v>
      </c>
      <c r="L53" s="525">
        <f>+'G. Papelería'!R8/1000</f>
        <v>26199.490973600816</v>
      </c>
      <c r="M53" s="513"/>
    </row>
    <row r="54" spans="1:13" ht="12.75">
      <c r="A54" s="513"/>
      <c r="B54" s="805" t="s">
        <v>2907</v>
      </c>
      <c r="C54" s="525">
        <f>+'G. Impuesto Predial'!N7/1000</f>
        <v>261892.05605367818</v>
      </c>
      <c r="D54" s="525">
        <f>+'G. Impuesto Predial'!O7/1000</f>
        <v>277605.57941689889</v>
      </c>
      <c r="E54" s="525">
        <f>+'G. Impuesto Predial'!P7/1000</f>
        <v>290368.5359978989</v>
      </c>
      <c r="F54" s="525">
        <f>+'G. Impuesto Predial'!Q7/1000</f>
        <v>304081.23201980791</v>
      </c>
      <c r="G54" s="525">
        <f>+'G. Impuesto Predial'!R7/1000</f>
        <v>318821.61363055423</v>
      </c>
      <c r="H54" s="525">
        <f>+'G. Impuesto Predial'!S7/1000</f>
        <v>334675.06438442523</v>
      </c>
      <c r="I54" s="525">
        <f>+'G. Impuesto Predial'!T7/1000</f>
        <v>351735.17409566976</v>
      </c>
      <c r="J54" s="525">
        <f>+'G. Impuesto Predial'!U7/1000</f>
        <v>370104.59432938055</v>
      </c>
      <c r="K54" s="525">
        <f>+'G. Impuesto Predial'!V7/1000</f>
        <v>389895.99092899991</v>
      </c>
      <c r="L54" s="525">
        <f>+'G. Impuesto Predial'!W7/1000</f>
        <v>411233.10530697269</v>
      </c>
      <c r="M54" s="513"/>
    </row>
    <row r="55" spans="1:13" ht="12.75">
      <c r="A55" s="513"/>
      <c r="B55" s="805" t="s">
        <v>2908</v>
      </c>
      <c r="C55" s="525">
        <f>+'G. Combustible'!C10/1000</f>
        <v>13800</v>
      </c>
      <c r="D55" s="525">
        <f>+'G. Combustible'!D10/1000</f>
        <v>14628</v>
      </c>
      <c r="E55" s="525">
        <f>+'G. Combustible'!E10/1000</f>
        <v>15300.524411285311</v>
      </c>
      <c r="F55" s="525">
        <f>+'G. Combustible'!F10/1000</f>
        <v>16023.093884960215</v>
      </c>
      <c r="G55" s="525">
        <f>+'G. Combustible'!G10/1000</f>
        <v>16799.815673675359</v>
      </c>
      <c r="H55" s="525">
        <f>+'G. Combustible'!H10/1000</f>
        <v>17635.188932796198</v>
      </c>
      <c r="I55" s="525">
        <f>+'G. Combustible'!I10/1000</f>
        <v>18534.145233963733</v>
      </c>
      <c r="J55" s="525">
        <f>+'G. Combustible'!J10/1000</f>
        <v>19502.093643873701</v>
      </c>
      <c r="K55" s="525">
        <f>+'G. Combustible'!K10/1000</f>
        <v>20544.970916251776</v>
      </c>
      <c r="L55" s="525">
        <f>+'G. Combustible'!L10/1000</f>
        <v>21669.297414935922</v>
      </c>
      <c r="M55" s="513"/>
    </row>
    <row r="56" spans="1:13" ht="12.75">
      <c r="A56" s="513"/>
      <c r="B56" s="805" t="s">
        <v>2909</v>
      </c>
      <c r="C56" s="525">
        <f>+'G. Industria y comercio'!E12/1000</f>
        <v>0</v>
      </c>
      <c r="D56" s="525">
        <f>+'G. Industria y comercio'!F12/1000</f>
        <v>72800</v>
      </c>
      <c r="E56" s="525">
        <f>+'G. Industria y comercio'!G12/1000</f>
        <v>81026.399999999994</v>
      </c>
      <c r="F56" s="525">
        <f>+'G. Industria y comercio'!H12/1000</f>
        <v>88989.180456418966</v>
      </c>
      <c r="G56" s="525">
        <f>+'G. Industria y comercio'!I12/1000</f>
        <v>97851.2927148124</v>
      </c>
      <c r="H56" s="525">
        <f>+'G. Industria y comercio'!J12/1000</f>
        <v>107724.38066482509</v>
      </c>
      <c r="I56" s="525">
        <f>+'G. Industria y comercio'!K12/1000</f>
        <v>108801.62447147335</v>
      </c>
      <c r="J56" s="525">
        <f>+'G. Industria y comercio'!L12/1000</f>
        <v>109889.64071618809</v>
      </c>
      <c r="K56" s="525">
        <f>+'G. Industria y comercio'!M12/1000</f>
        <v>110988.53712334996</v>
      </c>
      <c r="L56" s="525">
        <f>+'G. Industria y comercio'!N12/1000</f>
        <v>112098.42249458347</v>
      </c>
      <c r="M56" s="513"/>
    </row>
    <row r="57" spans="1:13" ht="12.75">
      <c r="A57" s="513"/>
      <c r="B57" s="805" t="s">
        <v>2910</v>
      </c>
      <c r="C57" s="525">
        <f>+'G. Solidaridad'!$D$9/1000</f>
        <v>487000</v>
      </c>
      <c r="D57" s="525">
        <f>+'G. Solidaridad'!$D$9/1000</f>
        <v>487000</v>
      </c>
      <c r="E57" s="525">
        <f>+'G. Solidaridad'!$D$9/1000</f>
        <v>487000</v>
      </c>
      <c r="F57" s="525">
        <f>+'G. Solidaridad'!$D$9/1000</f>
        <v>487000</v>
      </c>
      <c r="G57" s="525">
        <f>+'G. Solidaridad'!$D$9/1000</f>
        <v>487000</v>
      </c>
      <c r="H57" s="525">
        <f>+'G. Solidaridad'!$D$9/1000</f>
        <v>487000</v>
      </c>
      <c r="I57" s="525">
        <f>+'G. Solidaridad'!$D$9/1000</f>
        <v>487000</v>
      </c>
      <c r="J57" s="525">
        <f>+'G. Solidaridad'!$D$9/1000</f>
        <v>487000</v>
      </c>
      <c r="K57" s="525">
        <f>+'G. Solidaridad'!$D$9/1000</f>
        <v>487000</v>
      </c>
      <c r="L57" s="525">
        <f>+'G. Solidaridad'!$D$9/1000</f>
        <v>487000</v>
      </c>
      <c r="M57" s="513"/>
    </row>
    <row r="58" spans="1:13" ht="12.75">
      <c r="A58" s="513"/>
      <c r="B58" s="805" t="s">
        <v>2977</v>
      </c>
      <c r="C58" s="525">
        <f>+'G. Contribuciones y afiliacione'!K2/1000</f>
        <v>162339.04399999999</v>
      </c>
      <c r="D58" s="525">
        <f>+'G. Contribuciones y afiliacione'!L2/1000</f>
        <v>103734.2869064</v>
      </c>
      <c r="E58" s="525">
        <f>+'G. Contribuciones y afiliacione'!M2/1000</f>
        <v>99685.832742588958</v>
      </c>
      <c r="F58" s="525">
        <f>+'G. Contribuciones y afiliacione'!N2/1000</f>
        <v>103734.2869064</v>
      </c>
      <c r="G58" s="525">
        <f>+'G. Contribuciones y afiliacione'!O2/1000</f>
        <v>103734.2869064</v>
      </c>
      <c r="H58" s="525">
        <f>+'G. Contribuciones y afiliacione'!P2/1000</f>
        <v>108892.48929497524</v>
      </c>
      <c r="I58" s="525">
        <f>+'G. Contribuciones y afiliacione'!Q2/1000</f>
        <v>114443.29965343364</v>
      </c>
      <c r="J58" s="525">
        <f>+'G. Contribuciones y afiliacione'!R2/1000</f>
        <v>120420.1174956396</v>
      </c>
      <c r="K58" s="525">
        <f>+'G. Contribuciones y afiliacione'!S2/1000</f>
        <v>126859.6006591691</v>
      </c>
      <c r="L58" s="525">
        <f>+'G. Contribuciones y afiliacione'!T2/1000</f>
        <v>133802.01061511438</v>
      </c>
      <c r="M58" s="513"/>
    </row>
    <row r="59" spans="1:13" ht="12.75">
      <c r="A59" s="513"/>
      <c r="B59" s="808" t="s">
        <v>3050</v>
      </c>
      <c r="C59" s="804">
        <f>+'G. Mesada Pensional'!G8/1000</f>
        <v>398688.71944959997</v>
      </c>
      <c r="D59" s="804">
        <f>+'G. Mesada Pensional'!H8/1000</f>
        <v>422610.04261657601</v>
      </c>
      <c r="E59" s="804">
        <f>+'G. Mesada Pensional'!I8/1000</f>
        <v>442039.60032193374</v>
      </c>
      <c r="F59" s="804">
        <f>+'G. Mesada Pensional'!J8/1000</f>
        <v>462914.98424750037</v>
      </c>
      <c r="G59" s="804">
        <f>+'G. Mesada Pensional'!K8/1000</f>
        <v>485354.85492224258</v>
      </c>
      <c r="H59" s="804">
        <f>+'G. Mesada Pensional'!L8/1000</f>
        <v>509489.19513538224</v>
      </c>
      <c r="I59" s="804">
        <f>+'G. Mesada Pensional'!M8/1000</f>
        <v>535460.4803928918</v>
      </c>
      <c r="J59" s="804">
        <f>+'G. Mesada Pensional'!N8/1000</f>
        <v>563424.98126537597</v>
      </c>
      <c r="K59" s="804">
        <f>+'G. Mesada Pensional'!O8/1000</f>
        <v>593554.21345867368</v>
      </c>
      <c r="L59" s="804">
        <f>+'G. Mesada Pensional'!P8/1000</f>
        <v>626036.55345893709</v>
      </c>
      <c r="M59" s="513"/>
    </row>
    <row r="60" spans="1:13" ht="12.75" thickBot="1">
      <c r="A60" s="521"/>
      <c r="B60" s="541" t="s">
        <v>3005</v>
      </c>
      <c r="C60" s="542">
        <f>SUM(C27:C59)</f>
        <v>218891559.5141224</v>
      </c>
      <c r="D60" s="542">
        <f t="shared" ref="D60:L60" si="6">SUM(D27:D59)</f>
        <v>242308674.84876585</v>
      </c>
      <c r="E60" s="542">
        <f t="shared" si="6"/>
        <v>265160667.6544382</v>
      </c>
      <c r="F60" s="542">
        <f t="shared" si="6"/>
        <v>290567696.96748972</v>
      </c>
      <c r="G60" s="542">
        <f t="shared" si="6"/>
        <v>318826007.75129795</v>
      </c>
      <c r="H60" s="542">
        <f t="shared" si="6"/>
        <v>336824297.64108926</v>
      </c>
      <c r="I60" s="542">
        <f t="shared" si="6"/>
        <v>356070259.29641503</v>
      </c>
      <c r="J60" s="542">
        <f t="shared" si="6"/>
        <v>376830266.71974653</v>
      </c>
      <c r="K60" s="542">
        <f t="shared" si="6"/>
        <v>399307807.0884515</v>
      </c>
      <c r="L60" s="542">
        <f t="shared" si="6"/>
        <v>423598225.17533523</v>
      </c>
      <c r="M60" s="521"/>
    </row>
    <row r="61" spans="1:13" ht="12.75" thickTop="1">
      <c r="A61" s="513"/>
      <c r="B61" s="528"/>
      <c r="C61" s="526"/>
      <c r="D61" s="526"/>
      <c r="E61" s="526"/>
      <c r="F61" s="526"/>
      <c r="G61" s="526"/>
      <c r="H61" s="526"/>
      <c r="I61" s="526"/>
      <c r="J61" s="526"/>
      <c r="K61" s="526"/>
      <c r="L61" s="526"/>
      <c r="M61" s="513"/>
    </row>
    <row r="62" spans="1:13">
      <c r="A62" s="513"/>
      <c r="B62" s="528"/>
      <c r="C62" s="526"/>
      <c r="D62" s="526"/>
      <c r="E62" s="526"/>
      <c r="F62" s="526"/>
      <c r="G62" s="526"/>
      <c r="H62" s="526"/>
      <c r="I62" s="526"/>
      <c r="J62" s="526"/>
      <c r="K62" s="526"/>
      <c r="L62" s="526"/>
      <c r="M62" s="513"/>
    </row>
    <row r="63" spans="1:13" ht="12.75" thickBot="1">
      <c r="A63" s="513"/>
      <c r="B63" s="650" t="s">
        <v>2962</v>
      </c>
      <c r="C63" s="540"/>
      <c r="D63" s="540"/>
      <c r="E63" s="540"/>
      <c r="F63" s="540"/>
      <c r="G63" s="540"/>
      <c r="H63" s="540"/>
      <c r="I63" s="540"/>
      <c r="J63" s="540"/>
      <c r="K63" s="540"/>
      <c r="L63" s="540"/>
      <c r="M63" s="513"/>
    </row>
    <row r="64" spans="1:13">
      <c r="A64" s="513"/>
      <c r="B64" s="651"/>
      <c r="C64" s="652"/>
      <c r="D64" s="652"/>
      <c r="E64" s="652"/>
      <c r="F64" s="652"/>
      <c r="G64" s="652"/>
      <c r="H64" s="652"/>
      <c r="I64" s="652"/>
      <c r="J64" s="652"/>
      <c r="K64" s="652"/>
      <c r="L64" s="652"/>
      <c r="M64" s="513"/>
    </row>
    <row r="65" spans="1:13" ht="12.75" thickBot="1">
      <c r="A65" s="513"/>
      <c r="B65" s="539" t="s">
        <v>2964</v>
      </c>
      <c r="C65" s="540" t="s">
        <v>226</v>
      </c>
      <c r="D65" s="540" t="s">
        <v>227</v>
      </c>
      <c r="E65" s="540" t="s">
        <v>228</v>
      </c>
      <c r="F65" s="540" t="s">
        <v>229</v>
      </c>
      <c r="G65" s="540" t="s">
        <v>230</v>
      </c>
      <c r="H65" s="540" t="s">
        <v>231</v>
      </c>
      <c r="I65" s="540" t="s">
        <v>232</v>
      </c>
      <c r="J65" s="540" t="s">
        <v>233</v>
      </c>
      <c r="K65" s="540" t="s">
        <v>3010</v>
      </c>
      <c r="L65" s="540" t="s">
        <v>3011</v>
      </c>
      <c r="M65" s="513"/>
    </row>
    <row r="66" spans="1:13" ht="12.75">
      <c r="A66" s="513"/>
      <c r="B66" s="622" t="s">
        <v>2912</v>
      </c>
      <c r="C66" s="525">
        <f>+'I. Rend fros'!AB32/1000</f>
        <v>5052242.8748378148</v>
      </c>
      <c r="D66" s="525">
        <v>0</v>
      </c>
      <c r="E66" s="525">
        <v>0</v>
      </c>
      <c r="F66" s="525">
        <v>0</v>
      </c>
      <c r="G66" s="525">
        <v>0</v>
      </c>
      <c r="H66" s="525">
        <v>0</v>
      </c>
      <c r="I66" s="525">
        <v>0</v>
      </c>
      <c r="J66" s="525">
        <v>0</v>
      </c>
      <c r="K66" s="525">
        <v>0</v>
      </c>
      <c r="L66" s="525">
        <v>0</v>
      </c>
      <c r="M66" s="513"/>
    </row>
    <row r="67" spans="1:13" ht="12.75">
      <c r="A67" s="513"/>
      <c r="B67" s="805" t="s">
        <v>2951</v>
      </c>
      <c r="C67" s="525">
        <f>+'I. Activos'!M64/1000</f>
        <v>14304821.257099999</v>
      </c>
      <c r="D67" s="525">
        <f>+'I. Activos'!N64/1000</f>
        <v>17218379.855569001</v>
      </c>
      <c r="E67" s="525">
        <f>+'I. Activos'!O64/1000</f>
        <v>1101009</v>
      </c>
      <c r="F67" s="525">
        <f>+'I. Activos'!P64/1000</f>
        <v>0</v>
      </c>
      <c r="G67" s="525">
        <f>+'I. Activos'!Q64/1000</f>
        <v>0</v>
      </c>
      <c r="H67" s="525">
        <f>+'I. Activos'!R64/1000</f>
        <v>0</v>
      </c>
      <c r="I67" s="525">
        <f>+'I. Activos'!S64/1000</f>
        <v>0</v>
      </c>
      <c r="J67" s="525">
        <f>+'I. Activos'!T64/1000</f>
        <v>0</v>
      </c>
      <c r="K67" s="525">
        <f>+'I. Activos'!U64/1000</f>
        <v>0</v>
      </c>
      <c r="L67" s="525">
        <f>+'I. Activos'!V64/1000</f>
        <v>0</v>
      </c>
      <c r="M67" s="513"/>
    </row>
    <row r="68" spans="1:13" ht="12.75">
      <c r="A68" s="513"/>
      <c r="B68" s="805" t="s">
        <v>2952</v>
      </c>
      <c r="C68" s="525">
        <f>+'I. Mcia consig.'!G17/1000</f>
        <v>50824.474999999999</v>
      </c>
      <c r="D68" s="525">
        <f>+'I. Mcia consig.'!K17/1000</f>
        <v>51853.510949999996</v>
      </c>
      <c r="E68" s="525">
        <f>+'I. Mcia consig.'!N17</f>
        <v>293837.01405</v>
      </c>
      <c r="F68" s="525">
        <v>0</v>
      </c>
      <c r="G68" s="525">
        <v>0</v>
      </c>
      <c r="H68" s="525">
        <v>0</v>
      </c>
      <c r="I68" s="525">
        <v>0</v>
      </c>
      <c r="J68" s="525">
        <v>0</v>
      </c>
      <c r="K68" s="525">
        <v>0</v>
      </c>
      <c r="L68" s="525">
        <v>0</v>
      </c>
      <c r="M68" s="513"/>
    </row>
    <row r="69" spans="1:13" ht="12.75">
      <c r="A69" s="513"/>
      <c r="B69" s="806" t="s">
        <v>2966</v>
      </c>
      <c r="C69" s="694">
        <f>+'R. Cartera ordinaria'!BA32/1000</f>
        <v>106256.84618999991</v>
      </c>
      <c r="D69" s="694">
        <f>+'R. Cartera ordinaria'!BB32/1000</f>
        <v>106256.84618999991</v>
      </c>
      <c r="E69" s="694">
        <f>+'R. Cartera ordinaria'!BC32/1000</f>
        <v>106256.84618999991</v>
      </c>
      <c r="F69" s="694">
        <f>+'R. Cartera ordinaria'!BD32/1000</f>
        <v>0</v>
      </c>
      <c r="G69" s="694">
        <f>+'R. Cartera ordinaria'!BE32/1000</f>
        <v>0</v>
      </c>
      <c r="H69" s="694">
        <f>+'R. Cartera ordinaria'!BF32/1000</f>
        <v>0</v>
      </c>
      <c r="I69" s="694">
        <f>+'R. Cartera ordinaria'!BG32/1000</f>
        <v>0</v>
      </c>
      <c r="J69" s="694">
        <f>+'R. Cartera ordinaria'!BH32/1000</f>
        <v>0</v>
      </c>
      <c r="K69" s="694">
        <f>+'R. Cartera ordinaria'!BI32/1000</f>
        <v>0</v>
      </c>
      <c r="L69" s="694">
        <f>+'R. Cartera ordinaria'!BJ32/1000</f>
        <v>0</v>
      </c>
      <c r="M69" s="513"/>
    </row>
    <row r="70" spans="1:13">
      <c r="A70" s="513"/>
      <c r="B70" s="651"/>
      <c r="C70" s="652"/>
      <c r="D70" s="652"/>
      <c r="E70" s="652"/>
      <c r="F70" s="652"/>
      <c r="G70" s="652"/>
      <c r="H70" s="652"/>
      <c r="I70" s="652"/>
      <c r="J70" s="652"/>
      <c r="K70" s="652"/>
      <c r="L70" s="652"/>
      <c r="M70" s="513"/>
    </row>
    <row r="71" spans="1:13" ht="12.75" thickBot="1">
      <c r="A71" s="513"/>
      <c r="B71" s="541" t="s">
        <v>107</v>
      </c>
      <c r="C71" s="542">
        <f>SUM(C66:C70)</f>
        <v>19514145.453127813</v>
      </c>
      <c r="D71" s="542">
        <f>SUM(D66:D70)</f>
        <v>17376490.212708998</v>
      </c>
      <c r="E71" s="542">
        <f>SUM(E66:E70)</f>
        <v>1501102.8602399998</v>
      </c>
      <c r="F71" s="542">
        <f>SUM(F66:F70)</f>
        <v>0</v>
      </c>
      <c r="G71" s="542">
        <f>SUM(G66:G70)</f>
        <v>0</v>
      </c>
      <c r="H71" s="542"/>
      <c r="I71" s="542"/>
      <c r="J71" s="542"/>
      <c r="K71" s="542"/>
      <c r="L71" s="542"/>
      <c r="M71" s="513"/>
    </row>
    <row r="72" spans="1:13" ht="12.75" thickTop="1">
      <c r="A72" s="513"/>
      <c r="B72" s="651"/>
      <c r="C72" s="652"/>
      <c r="D72" s="652"/>
      <c r="E72" s="652"/>
      <c r="F72" s="652"/>
      <c r="G72" s="652"/>
      <c r="H72" s="652"/>
      <c r="I72" s="652"/>
      <c r="J72" s="652"/>
      <c r="K72" s="652"/>
      <c r="L72" s="652"/>
      <c r="M72" s="513"/>
    </row>
    <row r="73" spans="1:13">
      <c r="A73" s="513"/>
      <c r="B73" s="651"/>
      <c r="C73" s="652"/>
      <c r="D73" s="652"/>
      <c r="E73" s="652"/>
      <c r="F73" s="652"/>
      <c r="G73" s="652"/>
      <c r="H73" s="652"/>
      <c r="I73" s="652"/>
      <c r="J73" s="652"/>
      <c r="K73" s="652"/>
      <c r="L73" s="652"/>
      <c r="M73" s="513"/>
    </row>
    <row r="74" spans="1:13" ht="12.75" thickBot="1">
      <c r="A74" s="513"/>
      <c r="B74" s="539" t="s">
        <v>3006</v>
      </c>
      <c r="C74" s="540" t="s">
        <v>226</v>
      </c>
      <c r="D74" s="540" t="s">
        <v>227</v>
      </c>
      <c r="E74" s="540" t="s">
        <v>228</v>
      </c>
      <c r="F74" s="540" t="s">
        <v>229</v>
      </c>
      <c r="G74" s="540" t="s">
        <v>230</v>
      </c>
      <c r="H74" s="540" t="s">
        <v>231</v>
      </c>
      <c r="I74" s="540" t="s">
        <v>232</v>
      </c>
      <c r="J74" s="540" t="s">
        <v>233</v>
      </c>
      <c r="K74" s="540" t="s">
        <v>3010</v>
      </c>
      <c r="L74" s="540" t="s">
        <v>3011</v>
      </c>
      <c r="M74" s="513"/>
    </row>
    <row r="75" spans="1:13" ht="12.75">
      <c r="A75" s="513"/>
      <c r="B75" s="693" t="s">
        <v>2963</v>
      </c>
      <c r="C75" s="525">
        <f>+Tabla136[[#Totals],[Año 1]]/1000</f>
        <v>29999999.999999996</v>
      </c>
      <c r="D75" s="525">
        <f>+Tabla136[[#Totals],[Año 2]]/1000</f>
        <v>29999999.999999996</v>
      </c>
      <c r="E75" s="525">
        <f>+Tabla136[[#Totals],[Año 3]]/1000</f>
        <v>5367568.1518802028</v>
      </c>
      <c r="F75" s="525">
        <f>+Tabla136[[#Totals],[Año 4]]/1000</f>
        <v>5367568.1518802019</v>
      </c>
      <c r="G75" s="525">
        <f>+Tabla136[[#Totals],[Año 5]]/1000</f>
        <v>5367568.1518802019</v>
      </c>
      <c r="H75" s="525">
        <f>+Tabla136[[#Totals],[Pago 2029]]/1000</f>
        <v>0</v>
      </c>
      <c r="I75" s="525">
        <f>+Tabla136[[#Totals],[Pago 20292]]/1000</f>
        <v>0</v>
      </c>
      <c r="J75" s="525">
        <f>+Tabla136[[#Totals],[Pago 2030]]/1000</f>
        <v>0</v>
      </c>
      <c r="K75" s="525">
        <f>+Tabla136[[#Totals],[Pago 2031]]/1000</f>
        <v>0</v>
      </c>
      <c r="L75" s="525">
        <f>+Tabla136[[#Totals],[Saldo]]/1000</f>
        <v>0</v>
      </c>
      <c r="M75" s="513"/>
    </row>
    <row r="76" spans="1:13" ht="12.75">
      <c r="A76" s="513"/>
      <c r="B76" s="693" t="s">
        <v>3002</v>
      </c>
      <c r="C76" s="525">
        <f>+'G. Bonos pensionales'!B193/1000</f>
        <v>6031084</v>
      </c>
      <c r="D76" s="525">
        <f>+'G. Bonos pensionales'!C193/1000</f>
        <v>982831.55350000004</v>
      </c>
      <c r="E76" s="525">
        <f>+'G. Bonos pensionales'!D193/1000</f>
        <v>500000</v>
      </c>
      <c r="F76" s="525">
        <v>0</v>
      </c>
      <c r="G76" s="525">
        <v>0</v>
      </c>
      <c r="H76" s="525">
        <v>0</v>
      </c>
      <c r="I76" s="525">
        <v>0</v>
      </c>
      <c r="J76" s="525">
        <f>+'G. Bonos pensionales'!I193/1000</f>
        <v>0</v>
      </c>
      <c r="K76" s="525">
        <f>+'G. Bonos pensionales'!J193/1000</f>
        <v>0</v>
      </c>
      <c r="L76" s="525">
        <f>+'G. Bonos pensionales'!K193/1000</f>
        <v>0</v>
      </c>
      <c r="M76" s="513"/>
    </row>
    <row r="77" spans="1:13" ht="12.75">
      <c r="A77" s="513"/>
      <c r="B77" s="693" t="s">
        <v>3003</v>
      </c>
      <c r="C77" s="525">
        <v>0</v>
      </c>
      <c r="D77" s="525">
        <v>500000</v>
      </c>
      <c r="E77" s="525">
        <v>500000</v>
      </c>
      <c r="F77" s="525">
        <v>500000</v>
      </c>
      <c r="G77" s="525">
        <v>381128</v>
      </c>
      <c r="H77" s="525">
        <v>0</v>
      </c>
      <c r="I77" s="525">
        <v>0</v>
      </c>
      <c r="J77" s="525">
        <v>0</v>
      </c>
      <c r="K77" s="525">
        <v>0</v>
      </c>
      <c r="L77" s="525">
        <v>0</v>
      </c>
      <c r="M77" s="513"/>
    </row>
    <row r="78" spans="1:13" ht="12.75" thickBot="1">
      <c r="A78" s="513"/>
      <c r="B78" s="541" t="s">
        <v>3004</v>
      </c>
      <c r="C78" s="542">
        <f>SUM(C75:C77)</f>
        <v>36031084</v>
      </c>
      <c r="D78" s="542">
        <f t="shared" ref="D78:G78" si="7">SUM(D75:D77)</f>
        <v>31482831.553499997</v>
      </c>
      <c r="E78" s="542">
        <f t="shared" si="7"/>
        <v>6367568.1518802028</v>
      </c>
      <c r="F78" s="542">
        <f t="shared" si="7"/>
        <v>5867568.1518802019</v>
      </c>
      <c r="G78" s="542">
        <f t="shared" si="7"/>
        <v>5748696.1518802019</v>
      </c>
      <c r="H78" s="542"/>
      <c r="I78" s="542"/>
      <c r="J78" s="542"/>
      <c r="K78" s="542"/>
      <c r="L78" s="542"/>
      <c r="M78" s="513"/>
    </row>
    <row r="79" spans="1:13" ht="12.75" thickTop="1">
      <c r="A79" s="513"/>
      <c r="B79" s="528"/>
      <c r="C79" s="526"/>
      <c r="D79" s="526"/>
      <c r="E79" s="526"/>
      <c r="F79" s="526"/>
      <c r="G79" s="526"/>
      <c r="H79" s="526"/>
      <c r="I79" s="526"/>
      <c r="J79" s="526"/>
      <c r="K79" s="526"/>
      <c r="L79" s="526"/>
      <c r="M79" s="513"/>
    </row>
    <row r="80" spans="1:13">
      <c r="A80" s="513"/>
      <c r="B80" s="528"/>
      <c r="C80" s="526"/>
      <c r="D80" s="526"/>
      <c r="E80" s="526"/>
      <c r="F80" s="526"/>
      <c r="G80" s="526"/>
      <c r="H80" s="526"/>
      <c r="I80" s="526"/>
      <c r="J80" s="526"/>
      <c r="K80" s="526"/>
      <c r="L80" s="526"/>
      <c r="M80" s="513"/>
    </row>
    <row r="81" spans="1:16">
      <c r="A81" s="513"/>
      <c r="B81" s="528"/>
      <c r="C81" s="526"/>
      <c r="D81" s="526"/>
      <c r="E81" s="526"/>
      <c r="F81" s="526"/>
      <c r="G81" s="526"/>
      <c r="H81" s="526"/>
      <c r="I81" s="526"/>
      <c r="J81" s="526"/>
      <c r="K81" s="526"/>
      <c r="L81" s="526"/>
      <c r="M81" s="513"/>
    </row>
    <row r="82" spans="1:16">
      <c r="A82" s="513"/>
      <c r="B82" s="528"/>
      <c r="C82" s="526"/>
      <c r="D82" s="526"/>
      <c r="E82" s="526"/>
      <c r="F82" s="526"/>
      <c r="G82" s="526"/>
      <c r="H82" s="526"/>
      <c r="I82" s="526"/>
      <c r="J82" s="526"/>
      <c r="K82" s="526"/>
      <c r="L82" s="526"/>
      <c r="M82" s="513"/>
    </row>
    <row r="83" spans="1:16">
      <c r="A83" s="513"/>
      <c r="B83" s="528"/>
      <c r="C83" s="526"/>
      <c r="D83" s="526"/>
      <c r="E83" s="526"/>
      <c r="F83" s="526"/>
      <c r="G83" s="526"/>
      <c r="H83" s="526"/>
      <c r="I83" s="526"/>
      <c r="J83" s="526"/>
      <c r="K83" s="526"/>
      <c r="L83" s="526"/>
      <c r="M83" s="513"/>
    </row>
    <row r="84" spans="1:16">
      <c r="A84" s="513"/>
      <c r="B84" s="528"/>
      <c r="C84" s="526"/>
      <c r="D84" s="526"/>
      <c r="E84" s="526"/>
      <c r="F84" s="526"/>
      <c r="G84" s="526"/>
      <c r="H84" s="526"/>
      <c r="I84" s="526"/>
      <c r="J84" s="526"/>
      <c r="K84" s="526"/>
      <c r="L84" s="526"/>
      <c r="M84" s="513"/>
    </row>
    <row r="85" spans="1:16">
      <c r="A85" s="513"/>
      <c r="B85" s="528"/>
      <c r="C85" s="526"/>
      <c r="D85" s="526"/>
      <c r="E85" s="526"/>
      <c r="F85" s="526"/>
      <c r="G85" s="526"/>
      <c r="H85" s="526"/>
      <c r="I85" s="526"/>
      <c r="J85" s="526"/>
      <c r="K85" s="526"/>
      <c r="L85" s="526"/>
      <c r="M85" s="513"/>
    </row>
    <row r="86" spans="1:16">
      <c r="A86" s="513"/>
      <c r="B86" s="528"/>
      <c r="C86" s="526"/>
      <c r="D86" s="526"/>
      <c r="E86" s="526"/>
      <c r="F86" s="526"/>
      <c r="G86" s="526"/>
      <c r="H86" s="526"/>
      <c r="I86" s="526"/>
      <c r="J86" s="526"/>
      <c r="K86" s="526"/>
      <c r="L86" s="526"/>
      <c r="M86" s="513"/>
    </row>
    <row r="87" spans="1:16">
      <c r="A87" s="513"/>
      <c r="B87" s="528"/>
      <c r="C87" s="526"/>
      <c r="D87" s="526"/>
      <c r="E87" s="526"/>
      <c r="F87" s="526"/>
      <c r="G87" s="526"/>
      <c r="H87" s="526"/>
      <c r="I87" s="526"/>
      <c r="J87" s="526"/>
      <c r="K87" s="526"/>
      <c r="L87" s="526"/>
      <c r="M87" s="513"/>
    </row>
    <row r="88" spans="1:16">
      <c r="A88" s="513"/>
      <c r="B88" s="528"/>
      <c r="C88" s="526"/>
      <c r="D88" s="526"/>
      <c r="E88" s="526"/>
      <c r="F88" s="526"/>
      <c r="G88" s="526"/>
      <c r="H88" s="526"/>
      <c r="I88" s="526"/>
      <c r="J88" s="526"/>
      <c r="K88" s="526"/>
      <c r="L88" s="526"/>
      <c r="M88" s="513"/>
    </row>
    <row r="89" spans="1:16">
      <c r="A89" s="513"/>
      <c r="B89" s="529"/>
      <c r="C89" s="529"/>
      <c r="D89" s="529"/>
      <c r="E89" s="529"/>
      <c r="F89" s="529"/>
      <c r="G89" s="529"/>
      <c r="H89" s="529"/>
      <c r="I89" s="529"/>
      <c r="J89" s="529"/>
      <c r="K89" s="529"/>
      <c r="L89" s="529"/>
      <c r="M89" s="513"/>
    </row>
    <row r="90" spans="1:16">
      <c r="A90" s="513"/>
      <c r="B90" s="513"/>
      <c r="C90" s="529"/>
      <c r="D90" s="529"/>
      <c r="E90" s="529"/>
      <c r="F90" s="529"/>
      <c r="G90" s="529"/>
      <c r="H90" s="529"/>
      <c r="I90" s="529"/>
      <c r="J90" s="529"/>
      <c r="K90" s="529"/>
      <c r="L90" s="529"/>
      <c r="M90" s="513"/>
    </row>
    <row r="91" spans="1:16" s="530" customFormat="1">
      <c r="B91" s="530" t="s">
        <v>2254</v>
      </c>
      <c r="C91" s="531">
        <f>+C8+C24-C60</f>
        <v>50280180.305460781</v>
      </c>
      <c r="D91" s="531">
        <f>+C91+D24-D60</f>
        <v>51447272.220234156</v>
      </c>
      <c r="E91" s="531">
        <f>+D91+E24-E60</f>
        <v>53202320.413049638</v>
      </c>
      <c r="F91" s="531">
        <f>+E91+F24-F60</f>
        <v>55466750.875039339</v>
      </c>
      <c r="G91" s="531">
        <f>+F91+G24-G60</f>
        <v>58282223.051222563</v>
      </c>
      <c r="H91" s="531"/>
      <c r="I91" s="531"/>
      <c r="J91" s="531"/>
      <c r="K91" s="531"/>
      <c r="L91" s="531"/>
      <c r="N91" s="514"/>
      <c r="O91" s="514"/>
      <c r="P91" s="514"/>
    </row>
    <row r="92" spans="1:16" s="530" customFormat="1">
      <c r="B92" s="530" t="s">
        <v>2255</v>
      </c>
      <c r="C92" s="531">
        <f>+C11-C91</f>
        <v>-16516938.546872184</v>
      </c>
      <c r="D92" s="531">
        <f>+D11-D91</f>
        <v>-30623279.8876632</v>
      </c>
      <c r="E92" s="531">
        <f>+E11-E91</f>
        <v>-35489745.179303445</v>
      </c>
      <c r="F92" s="531">
        <f>+F11-F91</f>
        <v>-41357313.331183672</v>
      </c>
      <c r="G92" s="531">
        <f>+G11-G91</f>
        <v>-47106009.483063877</v>
      </c>
      <c r="H92" s="531"/>
      <c r="I92" s="531"/>
      <c r="J92" s="531"/>
      <c r="K92" s="531"/>
      <c r="L92" s="531"/>
      <c r="N92" s="514"/>
      <c r="O92" s="514"/>
      <c r="P92" s="514"/>
    </row>
  </sheetData>
  <phoneticPr fontId="30" type="noConversion"/>
  <dataValidations count="1">
    <dataValidation operator="greaterThanOrEqual" allowBlank="1" showInputMessage="1" showErrorMessage="1" errorTitle="Aviso" error="Use valores positivos tanto para ingresos como para gastos." sqref="C71:L71 C18:L25 C11:L15 C75:L90 C66:L68 C27:K62 L27:L36 L38:L62 L37" xr:uid="{00000000-0002-0000-0100-000000000000}"/>
  </dataValidations>
  <hyperlinks>
    <hyperlink ref="B27" location="'I-C Café'!A1" display="COSTOS CAFÉ" xr:uid="{00000000-0004-0000-0100-000000000000}"/>
    <hyperlink ref="B28" location="'I-C Almacenes'!A1" display="COSTOS ALMACENES" xr:uid="{00000000-0004-0000-0100-000001000000}"/>
    <hyperlink ref="B30" location="'G Hon Interv - rev fisc'!A1" display="HONORARIOS AGENTE ESPECIAL - CONTRALOR " xr:uid="{00000000-0004-0000-0100-000002000000}"/>
    <hyperlink ref="B31" location="'G. Otros honorarios'!A1" display="OTROS HONORARIOS" xr:uid="{00000000-0004-0000-0100-000003000000}"/>
    <hyperlink ref="B33" location="'G. Honorarios Juridicos'!A1" display="HONORARIOS JURIDICOS" xr:uid="{00000000-0004-0000-0100-000004000000}"/>
    <hyperlink ref="B34" location="'G. Mantenimiento'!A1" display="MANTENIMIENTO Y REPARACIONES LOCATIVAS" xr:uid="{00000000-0004-0000-0100-000005000000}"/>
    <hyperlink ref="B35" location="'G. Sostenim veh.'!A1" display="SOSTENIMIENTO VEHICULOS" xr:uid="{00000000-0004-0000-0100-000006000000}"/>
    <hyperlink ref="B36" location="'G. Aseo y cafetería'!A1" display="ELEMENTOS DE ASEO Y CAFETARIA" xr:uid="{00000000-0004-0000-0100-000007000000}"/>
    <hyperlink ref="B37" location="'G. Seguros'!A1" display="SEGUROS" xr:uid="{00000000-0004-0000-0100-000008000000}"/>
    <hyperlink ref="B39" location="'G. Legales'!A1" display="GASTOS LEGALES" xr:uid="{00000000-0004-0000-0100-000009000000}"/>
    <hyperlink ref="B40" location="'S. Acueducto'!A1" display="ACUEDUCTO" xr:uid="{00000000-0004-0000-0100-00000A000000}"/>
    <hyperlink ref="B41" location="G.Energia!A1" display="ENERGIA" xr:uid="{00000000-0004-0000-0100-00000B000000}"/>
    <hyperlink ref="B42" location="G.Internet!A1" display="INTERNET" xr:uid="{00000000-0004-0000-0100-00000C000000}"/>
    <hyperlink ref="B43" location="G.teléfono!A1" display="TELEFONO" xr:uid="{00000000-0004-0000-0100-00000D000000}"/>
    <hyperlink ref="B44" location="'G. Nómina'!A1" display="NOMINA" xr:uid="{00000000-0004-0000-0100-00000E000000}"/>
    <hyperlink ref="B45" location="G.Publicidad!A1" display="PUBLICIDAD" xr:uid="{00000000-0004-0000-0100-00000F000000}"/>
    <hyperlink ref="B47" location="'G.Gasto de viaje'!A1" display="GASTOS VIAJE" xr:uid="{00000000-0004-0000-0100-000010000000}"/>
    <hyperlink ref="B48" location="G.Arrendamiento!A1" display="ARRIENDO" xr:uid="{00000000-0004-0000-0100-000011000000}"/>
    <hyperlink ref="B49" location="'G. Arrume y empacada'!A1" display="ARRUME Y EMPACADA" xr:uid="{00000000-0004-0000-0100-000012000000}"/>
    <hyperlink ref="B50" location="'G. Coteo'!A1" display="COTEO" xr:uid="{00000000-0004-0000-0100-000013000000}"/>
    <hyperlink ref="B51" location="'G. Fletes'!A1" display="FLETES" xr:uid="{00000000-0004-0000-0100-000014000000}"/>
    <hyperlink ref="B52" location="'G. Empaques'!A1" display="EMPAQUES" xr:uid="{00000000-0004-0000-0100-000015000000}"/>
    <hyperlink ref="B53" location="'G. Papelería'!A1" display="PEPELERIA" xr:uid="{00000000-0004-0000-0100-000016000000}"/>
    <hyperlink ref="B54" location="'G. Impuesto Predial'!A1" display="PREDIALES" xr:uid="{00000000-0004-0000-0100-000017000000}"/>
    <hyperlink ref="B55" location="'G. Combustible'!A1" display="COMBUSTIBLE" xr:uid="{00000000-0004-0000-0100-000018000000}"/>
    <hyperlink ref="B18" location="'I-C Café'!A1" display="Café" xr:uid="{00000000-0004-0000-0100-000019000000}"/>
    <hyperlink ref="B19" location="'I-C Almacenes'!A1" display="Almacenes" xr:uid="{00000000-0004-0000-0100-00001A000000}"/>
    <hyperlink ref="B20" location="'I. Arrendamientos'!A1" display="Otros Ingresos" xr:uid="{00000000-0004-0000-0100-00001B000000}"/>
    <hyperlink ref="B66" location="'I. Rend fros'!A1" display="Rendimientos financieros" xr:uid="{00000000-0004-0000-0100-00001C000000}"/>
    <hyperlink ref="B38" location="'G. Sistematización'!A1" display="Sistematizacion" xr:uid="{00000000-0004-0000-0100-00001D000000}"/>
    <hyperlink ref="B46" location="'G. Vigilancia'!A1" display="Vigilancia" xr:uid="{00000000-0004-0000-0100-00001E000000}"/>
    <hyperlink ref="B57" location="'I. Solidariad'!A1" display="Solidaridad" xr:uid="{00000000-0004-0000-0100-00001F000000}"/>
    <hyperlink ref="B68" location="'I. Mcia consig.'!A1" display="Mercancia En Consignación" xr:uid="{00000000-0004-0000-0100-000020000000}"/>
    <hyperlink ref="B56" location="'G. Industria y comercio'!A1" display="Industria Y Comercio" xr:uid="{00000000-0004-0000-0100-000021000000}"/>
    <hyperlink ref="B67" location="'I. Activos'!A1" display="Venta De Activos" xr:uid="{00000000-0004-0000-0100-000022000000}"/>
    <hyperlink ref="B75" location="'Propuesta 3 Quinta c'!A1" display="Pago de acreencias" xr:uid="{00000000-0004-0000-0100-000023000000}"/>
    <hyperlink ref="B69" location="'R. Cartera ordinaria'!A1" display="Recaudo cartera" xr:uid="{00000000-0004-0000-0100-000024000000}"/>
    <hyperlink ref="B58" location="'G. Contribuciones y afiliacione'!A1" display="Contribuciones y afiliaciones" xr:uid="{00000000-0004-0000-0100-000025000000}"/>
    <hyperlink ref="B76" location="'G. Bonos pensionales'!A1" display="Pago Bonos Pensionales" xr:uid="{00000000-0004-0000-0100-000026000000}"/>
    <hyperlink ref="B21" location="'I. Solidaridad'!A1" display="Solidaridad" xr:uid="{00000000-0004-0000-0100-000027000000}"/>
    <hyperlink ref="B22" location="'I-C Café Futuros'!A1" display="Café con entrega Futura" xr:uid="{00000000-0004-0000-0100-000028000000}"/>
    <hyperlink ref="B29" location="'I-C Café Futuros'!A1" display="Costos Café con entrega futura" xr:uid="{00000000-0004-0000-0100-000029000000}"/>
    <hyperlink ref="B59" location="'G. Mesada Pensional'!A1" display="Mesada pensional" xr:uid="{00000000-0004-0000-0100-00002A000000}"/>
  </hyperlinks>
  <pageMargins left="0.7" right="0.7" top="0.75" bottom="0.75" header="0.3" footer="0.3"/>
  <pageSetup orientation="portrait" r:id="rId1"/>
  <ignoredErrors>
    <ignoredError sqref="C30:G30 C28:G28 C31:G31 C45:G45 D44:G44 C44 C43:G43 C42:G42 C41:G41 D40:G40 C40 C39:G39 C36:G36 C35:G35 C34:G34 C33:G33 C57:G57 C32:G32 C38:G38 C46:G47 C48:G56 C58:G58 C21:G21 C29:G29 C22:G22 C66:G67 C20:G20 C18:G19 C27:G27 H18:L22 H27:L36 H67:L67 C75:L75 C69:G69 C68:D68 E68:G68 C59:L59 C76:E76 J76:L76 H38:L58 C37:L37"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N12"/>
  <sheetViews>
    <sheetView showGridLines="0" workbookViewId="0">
      <selection activeCell="F25" sqref="F25"/>
    </sheetView>
  </sheetViews>
  <sheetFormatPr baseColWidth="10" defaultRowHeight="12.75"/>
  <cols>
    <col min="3" max="3" width="15.28515625" bestFit="1" customWidth="1"/>
    <col min="4" max="4" width="14" bestFit="1" customWidth="1"/>
    <col min="5" max="12" width="11.28515625" bestFit="1" customWidth="1"/>
    <col min="13" max="14" width="12.28515625" bestFit="1" customWidth="1"/>
  </cols>
  <sheetData>
    <row r="2" spans="2:14" ht="15">
      <c r="B2" s="893"/>
      <c r="C2" s="952"/>
      <c r="D2" s="894"/>
      <c r="E2" s="56" t="s">
        <v>226</v>
      </c>
      <c r="F2" s="56" t="s">
        <v>227</v>
      </c>
      <c r="G2" s="56" t="s">
        <v>228</v>
      </c>
      <c r="H2" s="56" t="s">
        <v>229</v>
      </c>
      <c r="I2" s="596" t="s">
        <v>230</v>
      </c>
      <c r="J2" s="56" t="s">
        <v>231</v>
      </c>
      <c r="K2" s="596" t="s">
        <v>232</v>
      </c>
      <c r="L2" s="56" t="s">
        <v>233</v>
      </c>
      <c r="M2" s="596" t="s">
        <v>3010</v>
      </c>
      <c r="N2" s="56" t="s">
        <v>3011</v>
      </c>
    </row>
    <row r="3" spans="2:14" ht="15">
      <c r="B3" s="953" t="s">
        <v>436</v>
      </c>
      <c r="C3" s="954"/>
      <c r="D3" s="955"/>
      <c r="E3" s="599">
        <v>0</v>
      </c>
      <c r="F3" s="599">
        <f>+'IPC - CAFÉ'!E24</f>
        <v>0.06</v>
      </c>
      <c r="G3" s="599">
        <f>+'IPC - CAFÉ'!F24</f>
        <v>4.5975144331782153E-2</v>
      </c>
      <c r="H3" s="599">
        <f>+'IPC - CAFÉ'!G24</f>
        <v>4.7225144331782154E-2</v>
      </c>
      <c r="I3" s="599">
        <f>+'IPC - CAFÉ'!H24</f>
        <v>4.8475144331782155E-2</v>
      </c>
      <c r="J3" s="599">
        <f>+'IPC - CAFÉ'!I24</f>
        <v>4.9725144331782156E-2</v>
      </c>
      <c r="K3" s="599">
        <f>+'IPC - CAFÉ'!J24</f>
        <v>5.0975144331782157E-2</v>
      </c>
      <c r="L3" s="599">
        <f>+'IPC - CAFÉ'!K24</f>
        <v>5.2225144331782158E-2</v>
      </c>
      <c r="M3" s="599">
        <f>+'IPC - CAFÉ'!L24</f>
        <v>5.347514433178216E-2</v>
      </c>
      <c r="N3" s="599">
        <f>+'IPC - CAFÉ'!M24</f>
        <v>5.4725144331782161E-2</v>
      </c>
    </row>
    <row r="5" spans="2:14" ht="15">
      <c r="B5" s="899" t="s">
        <v>2957</v>
      </c>
      <c r="C5" s="899"/>
      <c r="D5" s="899"/>
      <c r="E5" s="16">
        <v>20000</v>
      </c>
      <c r="F5" s="16">
        <v>20000</v>
      </c>
      <c r="G5" s="16">
        <v>20000</v>
      </c>
      <c r="H5" s="16">
        <v>20000</v>
      </c>
      <c r="I5" s="16">
        <v>20000</v>
      </c>
      <c r="J5" s="16">
        <v>20000</v>
      </c>
      <c r="K5" s="16">
        <v>20000</v>
      </c>
      <c r="L5" s="16">
        <v>20000</v>
      </c>
      <c r="M5" s="16">
        <v>20000</v>
      </c>
      <c r="N5" s="16">
        <v>20000</v>
      </c>
    </row>
    <row r="6" spans="2:14" ht="15">
      <c r="B6" s="899" t="s">
        <v>2958</v>
      </c>
      <c r="C6" s="899"/>
      <c r="D6" s="899"/>
      <c r="E6" s="16">
        <v>3500</v>
      </c>
      <c r="F6" s="16">
        <f>+E6*(1+F3)</f>
        <v>3710</v>
      </c>
      <c r="G6" s="16">
        <f t="shared" ref="G6:I6" si="0">+F6*(1+G3)</f>
        <v>3880.567785470912</v>
      </c>
      <c r="H6" s="16">
        <f t="shared" si="0"/>
        <v>4063.82815922904</v>
      </c>
      <c r="I6" s="16">
        <f t="shared" si="0"/>
        <v>4260.8228157872281</v>
      </c>
      <c r="J6" s="16">
        <f t="shared" ref="J6" si="1">+I6*(1+J3)</f>
        <v>4472.6928452743987</v>
      </c>
      <c r="K6" s="16">
        <f t="shared" ref="K6" si="2">+J6*(1+K3)</f>
        <v>4700.6890086139902</v>
      </c>
      <c r="L6" s="16">
        <f t="shared" ref="L6" si="3">+K6*(1+L3)</f>
        <v>4946.183170547677</v>
      </c>
      <c r="M6" s="16">
        <f t="shared" ref="M6" si="4">+L6*(1+M3)</f>
        <v>5210.6810294841462</v>
      </c>
      <c r="N6" s="16">
        <f t="shared" ref="N6" si="5">+M6*(1+N3)</f>
        <v>5495.8363008895458</v>
      </c>
    </row>
    <row r="9" spans="2:14" ht="15">
      <c r="B9" s="899"/>
      <c r="C9" s="899"/>
      <c r="D9" s="899"/>
      <c r="E9" s="56" t="s">
        <v>226</v>
      </c>
      <c r="F9" s="56" t="s">
        <v>227</v>
      </c>
      <c r="G9" s="56" t="s">
        <v>228</v>
      </c>
      <c r="H9" s="56" t="s">
        <v>229</v>
      </c>
      <c r="I9" s="56" t="s">
        <v>230</v>
      </c>
      <c r="J9" s="56" t="s">
        <v>231</v>
      </c>
      <c r="K9" s="56" t="s">
        <v>232</v>
      </c>
      <c r="L9" s="56" t="s">
        <v>233</v>
      </c>
      <c r="M9" s="56" t="s">
        <v>3010</v>
      </c>
      <c r="N9" s="56" t="s">
        <v>3011</v>
      </c>
    </row>
    <row r="10" spans="2:14">
      <c r="B10" s="951" t="s">
        <v>2959</v>
      </c>
      <c r="C10" s="951"/>
      <c r="D10" s="951"/>
      <c r="E10" s="16">
        <f>+E5*E6</f>
        <v>70000000</v>
      </c>
      <c r="F10" s="16">
        <f t="shared" ref="F10:I10" si="6">+F5*F6</f>
        <v>74200000</v>
      </c>
      <c r="G10" s="16">
        <f t="shared" si="6"/>
        <v>77611355.709418237</v>
      </c>
      <c r="H10" s="16">
        <f t="shared" si="6"/>
        <v>81276563.184580803</v>
      </c>
      <c r="I10" s="16">
        <f t="shared" si="6"/>
        <v>85216456.315744564</v>
      </c>
      <c r="J10" s="16">
        <f t="shared" ref="J10:N10" si="7">+J5*J6</f>
        <v>89453856.90548797</v>
      </c>
      <c r="K10" s="16">
        <f t="shared" si="7"/>
        <v>94013780.172279805</v>
      </c>
      <c r="L10" s="16">
        <f t="shared" si="7"/>
        <v>98923663.410953537</v>
      </c>
      <c r="M10" s="16">
        <f t="shared" si="7"/>
        <v>104213620.58968292</v>
      </c>
      <c r="N10" s="16">
        <f t="shared" si="7"/>
        <v>109916726.01779091</v>
      </c>
    </row>
    <row r="11" spans="2:14">
      <c r="B11" s="950" t="s">
        <v>1</v>
      </c>
      <c r="C11" s="950"/>
      <c r="D11" s="950"/>
      <c r="E11" s="621">
        <f>SUM(E10:E10)</f>
        <v>70000000</v>
      </c>
      <c r="F11" s="621">
        <f t="shared" ref="F11:I11" si="8">SUM(F10:F10)</f>
        <v>74200000</v>
      </c>
      <c r="G11" s="621">
        <f t="shared" si="8"/>
        <v>77611355.709418237</v>
      </c>
      <c r="H11" s="621">
        <f t="shared" si="8"/>
        <v>81276563.184580803</v>
      </c>
      <c r="I11" s="621">
        <f t="shared" si="8"/>
        <v>85216456.315744564</v>
      </c>
      <c r="J11" s="621">
        <f t="shared" ref="J11:N11" si="9">SUM(J10:J10)</f>
        <v>89453856.90548797</v>
      </c>
      <c r="K11" s="621">
        <f t="shared" si="9"/>
        <v>94013780.172279805</v>
      </c>
      <c r="L11" s="621">
        <f t="shared" si="9"/>
        <v>98923663.410953537</v>
      </c>
      <c r="M11" s="621">
        <f t="shared" si="9"/>
        <v>104213620.58968292</v>
      </c>
      <c r="N11" s="621">
        <f t="shared" si="9"/>
        <v>109916726.01779091</v>
      </c>
    </row>
    <row r="12" spans="2:14">
      <c r="B12" s="51"/>
      <c r="C12" s="51"/>
      <c r="D12" s="51"/>
    </row>
  </sheetData>
  <mergeCells count="7">
    <mergeCell ref="B10:D10"/>
    <mergeCell ref="B11:D11"/>
    <mergeCell ref="B6:D6"/>
    <mergeCell ref="B2:D2"/>
    <mergeCell ref="B3:D3"/>
    <mergeCell ref="B5:D5"/>
    <mergeCell ref="B9:D9"/>
  </mergeCells>
  <phoneticPr fontId="30"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M18"/>
  <sheetViews>
    <sheetView showGridLines="0" workbookViewId="0">
      <selection activeCell="I6" sqref="I6"/>
    </sheetView>
  </sheetViews>
  <sheetFormatPr baseColWidth="10" defaultRowHeight="12.75"/>
  <cols>
    <col min="2" max="2" width="10.42578125" bestFit="1" customWidth="1"/>
    <col min="3" max="3" width="6.7109375" customWidth="1"/>
    <col min="4" max="13" width="12.5703125" bestFit="1" customWidth="1"/>
  </cols>
  <sheetData>
    <row r="2" spans="2:13" ht="15">
      <c r="B2" s="897" t="s">
        <v>436</v>
      </c>
      <c r="C2" s="898"/>
      <c r="D2" s="599">
        <v>0</v>
      </c>
      <c r="E2" s="599">
        <f>+'IPC - CAFÉ'!E24</f>
        <v>0.06</v>
      </c>
      <c r="F2" s="599">
        <f>+'IPC - CAFÉ'!F24</f>
        <v>4.5975144331782153E-2</v>
      </c>
      <c r="G2" s="599">
        <f>+'IPC - CAFÉ'!G24</f>
        <v>4.7225144331782154E-2</v>
      </c>
      <c r="H2" s="599">
        <f>+'IPC - CAFÉ'!H24</f>
        <v>4.8475144331782155E-2</v>
      </c>
      <c r="I2" s="599">
        <f>+'IPC - CAFÉ'!I24</f>
        <v>4.9725144331782156E-2</v>
      </c>
      <c r="J2" s="599">
        <f>+'IPC - CAFÉ'!J24</f>
        <v>5.0975144331782157E-2</v>
      </c>
      <c r="K2" s="599">
        <f>+'IPC - CAFÉ'!K24</f>
        <v>5.2225144331782158E-2</v>
      </c>
      <c r="L2" s="109">
        <f>+'IPC - CAFÉ'!L24</f>
        <v>5.347514433178216E-2</v>
      </c>
      <c r="M2" s="109">
        <f>+'IPC - CAFÉ'!M24</f>
        <v>5.4725144331782161E-2</v>
      </c>
    </row>
    <row r="5" spans="2:13" ht="15">
      <c r="B5" s="893" t="s">
        <v>143</v>
      </c>
      <c r="C5" s="894" t="s">
        <v>226</v>
      </c>
      <c r="D5" s="56" t="s">
        <v>226</v>
      </c>
      <c r="E5" s="56" t="s">
        <v>227</v>
      </c>
      <c r="F5" s="56" t="s">
        <v>228</v>
      </c>
      <c r="G5" s="56" t="s">
        <v>229</v>
      </c>
      <c r="H5" s="596" t="s">
        <v>230</v>
      </c>
      <c r="I5" s="596" t="s">
        <v>231</v>
      </c>
      <c r="J5" s="596" t="s">
        <v>232</v>
      </c>
      <c r="K5" s="596" t="s">
        <v>233</v>
      </c>
      <c r="L5" s="596" t="s">
        <v>3010</v>
      </c>
      <c r="M5" s="596" t="s">
        <v>3011</v>
      </c>
    </row>
    <row r="6" spans="2:13">
      <c r="B6" t="s">
        <v>335</v>
      </c>
      <c r="D6" s="14">
        <f>1300000*30</f>
        <v>39000000</v>
      </c>
      <c r="E6" s="14">
        <f>+D6*(1+(E$2))</f>
        <v>41340000</v>
      </c>
      <c r="F6" s="14">
        <f t="shared" ref="F6:H6" si="0">+E6*(1+(F$2))</f>
        <v>43240612.466675878</v>
      </c>
      <c r="G6" s="14">
        <f t="shared" si="0"/>
        <v>45282656.631409302</v>
      </c>
      <c r="H6" s="14">
        <f t="shared" si="0"/>
        <v>47477739.947343402</v>
      </c>
      <c r="I6" s="14">
        <f t="shared" ref="I6:I17" si="1">+H6*(1+(I$2))</f>
        <v>49838577.41877187</v>
      </c>
      <c r="J6" s="14">
        <f t="shared" ref="J6:J17" si="2">+I6*(1+(J$2))</f>
        <v>52379106.095984459</v>
      </c>
      <c r="K6" s="14">
        <f t="shared" ref="K6:K17" si="3">+J6*(1+(K$2))</f>
        <v>55114612.471816972</v>
      </c>
      <c r="L6" s="14">
        <f t="shared" ref="L6:M17" si="4">+K6*(1+(L$2))</f>
        <v>58061874.328537628</v>
      </c>
      <c r="M6" s="14">
        <f t="shared" si="4"/>
        <v>61239318.781340651</v>
      </c>
    </row>
    <row r="7" spans="2:13">
      <c r="B7" t="s">
        <v>336</v>
      </c>
      <c r="D7" s="14">
        <f t="shared" ref="D7:D17" si="5">1300000*30</f>
        <v>39000000</v>
      </c>
      <c r="E7" s="14">
        <f t="shared" ref="E7:H17" si="6">+D7*(1+(E$2))</f>
        <v>41340000</v>
      </c>
      <c r="F7" s="14">
        <f t="shared" si="6"/>
        <v>43240612.466675878</v>
      </c>
      <c r="G7" s="14">
        <f t="shared" si="6"/>
        <v>45282656.631409302</v>
      </c>
      <c r="H7" s="14">
        <f t="shared" si="6"/>
        <v>47477739.947343402</v>
      </c>
      <c r="I7" s="14">
        <f t="shared" si="1"/>
        <v>49838577.41877187</v>
      </c>
      <c r="J7" s="14">
        <f t="shared" si="2"/>
        <v>52379106.095984459</v>
      </c>
      <c r="K7" s="14">
        <f t="shared" si="3"/>
        <v>55114612.471816972</v>
      </c>
      <c r="L7" s="14">
        <f t="shared" si="4"/>
        <v>58061874.328537628</v>
      </c>
      <c r="M7" s="14">
        <f t="shared" si="4"/>
        <v>61239318.781340651</v>
      </c>
    </row>
    <row r="8" spans="2:13">
      <c r="B8" t="s">
        <v>337</v>
      </c>
      <c r="D8" s="14">
        <f t="shared" si="5"/>
        <v>39000000</v>
      </c>
      <c r="E8" s="14">
        <f t="shared" si="6"/>
        <v>41340000</v>
      </c>
      <c r="F8" s="14">
        <f t="shared" si="6"/>
        <v>43240612.466675878</v>
      </c>
      <c r="G8" s="14">
        <f t="shared" si="6"/>
        <v>45282656.631409302</v>
      </c>
      <c r="H8" s="14">
        <f t="shared" si="6"/>
        <v>47477739.947343402</v>
      </c>
      <c r="I8" s="14">
        <f t="shared" si="1"/>
        <v>49838577.41877187</v>
      </c>
      <c r="J8" s="14">
        <f t="shared" si="2"/>
        <v>52379106.095984459</v>
      </c>
      <c r="K8" s="14">
        <f t="shared" si="3"/>
        <v>55114612.471816972</v>
      </c>
      <c r="L8" s="14">
        <f t="shared" si="4"/>
        <v>58061874.328537628</v>
      </c>
      <c r="M8" s="14">
        <f t="shared" si="4"/>
        <v>61239318.781340651</v>
      </c>
    </row>
    <row r="9" spans="2:13">
      <c r="B9" t="s">
        <v>338</v>
      </c>
      <c r="D9" s="14">
        <f t="shared" si="5"/>
        <v>39000000</v>
      </c>
      <c r="E9" s="14">
        <f t="shared" si="6"/>
        <v>41340000</v>
      </c>
      <c r="F9" s="14">
        <f t="shared" si="6"/>
        <v>43240612.466675878</v>
      </c>
      <c r="G9" s="14">
        <f t="shared" si="6"/>
        <v>45282656.631409302</v>
      </c>
      <c r="H9" s="14">
        <f t="shared" si="6"/>
        <v>47477739.947343402</v>
      </c>
      <c r="I9" s="14">
        <f t="shared" si="1"/>
        <v>49838577.41877187</v>
      </c>
      <c r="J9" s="14">
        <f t="shared" si="2"/>
        <v>52379106.095984459</v>
      </c>
      <c r="K9" s="14">
        <f t="shared" si="3"/>
        <v>55114612.471816972</v>
      </c>
      <c r="L9" s="14">
        <f t="shared" si="4"/>
        <v>58061874.328537628</v>
      </c>
      <c r="M9" s="14">
        <f t="shared" si="4"/>
        <v>61239318.781340651</v>
      </c>
    </row>
    <row r="10" spans="2:13">
      <c r="B10" t="s">
        <v>339</v>
      </c>
      <c r="D10" s="14">
        <f t="shared" si="5"/>
        <v>39000000</v>
      </c>
      <c r="E10" s="14">
        <f t="shared" si="6"/>
        <v>41340000</v>
      </c>
      <c r="F10" s="14">
        <f t="shared" si="6"/>
        <v>43240612.466675878</v>
      </c>
      <c r="G10" s="14">
        <f t="shared" si="6"/>
        <v>45282656.631409302</v>
      </c>
      <c r="H10" s="14">
        <f t="shared" si="6"/>
        <v>47477739.947343402</v>
      </c>
      <c r="I10" s="14">
        <f t="shared" si="1"/>
        <v>49838577.41877187</v>
      </c>
      <c r="J10" s="14">
        <f t="shared" si="2"/>
        <v>52379106.095984459</v>
      </c>
      <c r="K10" s="14">
        <f t="shared" si="3"/>
        <v>55114612.471816972</v>
      </c>
      <c r="L10" s="14">
        <f t="shared" si="4"/>
        <v>58061874.328537628</v>
      </c>
      <c r="M10" s="14">
        <f t="shared" si="4"/>
        <v>61239318.781340651</v>
      </c>
    </row>
    <row r="11" spans="2:13">
      <c r="B11" t="s">
        <v>340</v>
      </c>
      <c r="D11" s="14">
        <f t="shared" si="5"/>
        <v>39000000</v>
      </c>
      <c r="E11" s="14">
        <f t="shared" si="6"/>
        <v>41340000</v>
      </c>
      <c r="F11" s="14">
        <f t="shared" si="6"/>
        <v>43240612.466675878</v>
      </c>
      <c r="G11" s="14">
        <f t="shared" si="6"/>
        <v>45282656.631409302</v>
      </c>
      <c r="H11" s="14">
        <f t="shared" si="6"/>
        <v>47477739.947343402</v>
      </c>
      <c r="I11" s="14">
        <f t="shared" si="1"/>
        <v>49838577.41877187</v>
      </c>
      <c r="J11" s="14">
        <f t="shared" si="2"/>
        <v>52379106.095984459</v>
      </c>
      <c r="K11" s="14">
        <f t="shared" si="3"/>
        <v>55114612.471816972</v>
      </c>
      <c r="L11" s="14">
        <f t="shared" si="4"/>
        <v>58061874.328537628</v>
      </c>
      <c r="M11" s="14">
        <f t="shared" si="4"/>
        <v>61239318.781340651</v>
      </c>
    </row>
    <row r="12" spans="2:13">
      <c r="B12" t="s">
        <v>341</v>
      </c>
      <c r="D12" s="14">
        <f t="shared" si="5"/>
        <v>39000000</v>
      </c>
      <c r="E12" s="14">
        <f t="shared" si="6"/>
        <v>41340000</v>
      </c>
      <c r="F12" s="14">
        <f t="shared" si="6"/>
        <v>43240612.466675878</v>
      </c>
      <c r="G12" s="14">
        <f t="shared" si="6"/>
        <v>45282656.631409302</v>
      </c>
      <c r="H12" s="14">
        <f t="shared" si="6"/>
        <v>47477739.947343402</v>
      </c>
      <c r="I12" s="14">
        <f t="shared" si="1"/>
        <v>49838577.41877187</v>
      </c>
      <c r="J12" s="14">
        <f t="shared" si="2"/>
        <v>52379106.095984459</v>
      </c>
      <c r="K12" s="14">
        <f t="shared" si="3"/>
        <v>55114612.471816972</v>
      </c>
      <c r="L12" s="14">
        <f t="shared" si="4"/>
        <v>58061874.328537628</v>
      </c>
      <c r="M12" s="14">
        <f t="shared" si="4"/>
        <v>61239318.781340651</v>
      </c>
    </row>
    <row r="13" spans="2:13">
      <c r="B13" t="s">
        <v>342</v>
      </c>
      <c r="D13" s="14">
        <f t="shared" si="5"/>
        <v>39000000</v>
      </c>
      <c r="E13" s="14">
        <f t="shared" si="6"/>
        <v>41340000</v>
      </c>
      <c r="F13" s="14">
        <f t="shared" si="6"/>
        <v>43240612.466675878</v>
      </c>
      <c r="G13" s="14">
        <f t="shared" si="6"/>
        <v>45282656.631409302</v>
      </c>
      <c r="H13" s="14">
        <f t="shared" si="6"/>
        <v>47477739.947343402</v>
      </c>
      <c r="I13" s="14">
        <f t="shared" si="1"/>
        <v>49838577.41877187</v>
      </c>
      <c r="J13" s="14">
        <f t="shared" si="2"/>
        <v>52379106.095984459</v>
      </c>
      <c r="K13" s="14">
        <f t="shared" si="3"/>
        <v>55114612.471816972</v>
      </c>
      <c r="L13" s="14">
        <f t="shared" si="4"/>
        <v>58061874.328537628</v>
      </c>
      <c r="M13" s="14">
        <f t="shared" si="4"/>
        <v>61239318.781340651</v>
      </c>
    </row>
    <row r="14" spans="2:13">
      <c r="B14" t="s">
        <v>343</v>
      </c>
      <c r="D14" s="14">
        <f t="shared" si="5"/>
        <v>39000000</v>
      </c>
      <c r="E14" s="14">
        <f t="shared" si="6"/>
        <v>41340000</v>
      </c>
      <c r="F14" s="14">
        <f t="shared" si="6"/>
        <v>43240612.466675878</v>
      </c>
      <c r="G14" s="14">
        <f t="shared" si="6"/>
        <v>45282656.631409302</v>
      </c>
      <c r="H14" s="14">
        <f t="shared" si="6"/>
        <v>47477739.947343402</v>
      </c>
      <c r="I14" s="14">
        <f t="shared" si="1"/>
        <v>49838577.41877187</v>
      </c>
      <c r="J14" s="14">
        <f t="shared" si="2"/>
        <v>52379106.095984459</v>
      </c>
      <c r="K14" s="14">
        <f t="shared" si="3"/>
        <v>55114612.471816972</v>
      </c>
      <c r="L14" s="14">
        <f t="shared" si="4"/>
        <v>58061874.328537628</v>
      </c>
      <c r="M14" s="14">
        <f t="shared" si="4"/>
        <v>61239318.781340651</v>
      </c>
    </row>
    <row r="15" spans="2:13">
      <c r="B15" t="s">
        <v>344</v>
      </c>
      <c r="D15" s="14">
        <f t="shared" si="5"/>
        <v>39000000</v>
      </c>
      <c r="E15" s="14">
        <f t="shared" si="6"/>
        <v>41340000</v>
      </c>
      <c r="F15" s="14">
        <f t="shared" si="6"/>
        <v>43240612.466675878</v>
      </c>
      <c r="G15" s="14">
        <f t="shared" si="6"/>
        <v>45282656.631409302</v>
      </c>
      <c r="H15" s="14">
        <f t="shared" si="6"/>
        <v>47477739.947343402</v>
      </c>
      <c r="I15" s="14">
        <f t="shared" si="1"/>
        <v>49838577.41877187</v>
      </c>
      <c r="J15" s="14">
        <f t="shared" si="2"/>
        <v>52379106.095984459</v>
      </c>
      <c r="K15" s="14">
        <f t="shared" si="3"/>
        <v>55114612.471816972</v>
      </c>
      <c r="L15" s="14">
        <f t="shared" si="4"/>
        <v>58061874.328537628</v>
      </c>
      <c r="M15" s="14">
        <f t="shared" si="4"/>
        <v>61239318.781340651</v>
      </c>
    </row>
    <row r="16" spans="2:13">
      <c r="B16" t="s">
        <v>345</v>
      </c>
      <c r="D16" s="14">
        <f t="shared" si="5"/>
        <v>39000000</v>
      </c>
      <c r="E16" s="14">
        <f t="shared" si="6"/>
        <v>41340000</v>
      </c>
      <c r="F16" s="14">
        <f t="shared" si="6"/>
        <v>43240612.466675878</v>
      </c>
      <c r="G16" s="14">
        <f t="shared" si="6"/>
        <v>45282656.631409302</v>
      </c>
      <c r="H16" s="14">
        <f t="shared" si="6"/>
        <v>47477739.947343402</v>
      </c>
      <c r="I16" s="14">
        <f t="shared" si="1"/>
        <v>49838577.41877187</v>
      </c>
      <c r="J16" s="14">
        <f t="shared" si="2"/>
        <v>52379106.095984459</v>
      </c>
      <c r="K16" s="14">
        <f t="shared" si="3"/>
        <v>55114612.471816972</v>
      </c>
      <c r="L16" s="14">
        <f t="shared" si="4"/>
        <v>58061874.328537628</v>
      </c>
      <c r="M16" s="14">
        <f t="shared" si="4"/>
        <v>61239318.781340651</v>
      </c>
    </row>
    <row r="17" spans="2:13">
      <c r="B17" t="s">
        <v>346</v>
      </c>
      <c r="D17" s="14">
        <f t="shared" si="5"/>
        <v>39000000</v>
      </c>
      <c r="E17" s="14">
        <f t="shared" si="6"/>
        <v>41340000</v>
      </c>
      <c r="F17" s="14">
        <f t="shared" si="6"/>
        <v>43240612.466675878</v>
      </c>
      <c r="G17" s="14">
        <f t="shared" si="6"/>
        <v>45282656.631409302</v>
      </c>
      <c r="H17" s="14">
        <f t="shared" si="6"/>
        <v>47477739.947343402</v>
      </c>
      <c r="I17" s="14">
        <f t="shared" si="1"/>
        <v>49838577.41877187</v>
      </c>
      <c r="J17" s="14">
        <f t="shared" si="2"/>
        <v>52379106.095984459</v>
      </c>
      <c r="K17" s="14">
        <f t="shared" si="3"/>
        <v>55114612.471816972</v>
      </c>
      <c r="L17" s="14">
        <f t="shared" si="4"/>
        <v>58061874.328537628</v>
      </c>
      <c r="M17" s="14">
        <f t="shared" si="4"/>
        <v>61239318.781340651</v>
      </c>
    </row>
    <row r="18" spans="2:13" ht="15">
      <c r="B18" s="893" t="s">
        <v>1</v>
      </c>
      <c r="C18" s="894"/>
      <c r="D18" s="618">
        <f>SUM(D6:D17)</f>
        <v>468000000</v>
      </c>
      <c r="E18" s="618">
        <f t="shared" ref="E18:H18" si="7">SUM(E6:E17)</f>
        <v>496080000</v>
      </c>
      <c r="F18" s="618">
        <f t="shared" si="7"/>
        <v>518887349.60011053</v>
      </c>
      <c r="G18" s="618">
        <f t="shared" si="7"/>
        <v>543391879.57691157</v>
      </c>
      <c r="H18" s="618">
        <f t="shared" si="7"/>
        <v>569732879.36812079</v>
      </c>
      <c r="I18" s="618">
        <f t="shared" ref="I18:L18" si="8">SUM(I6:I17)</f>
        <v>598062929.02526248</v>
      </c>
      <c r="J18" s="618">
        <f t="shared" si="8"/>
        <v>628549273.15181351</v>
      </c>
      <c r="K18" s="618">
        <f t="shared" si="8"/>
        <v>661375349.66180372</v>
      </c>
      <c r="L18" s="618">
        <f t="shared" si="8"/>
        <v>696742491.94245148</v>
      </c>
      <c r="M18" s="618">
        <f t="shared" ref="M18" si="9">SUM(M6:M17)</f>
        <v>734871825.37608767</v>
      </c>
    </row>
  </sheetData>
  <mergeCells count="3">
    <mergeCell ref="B2:C2"/>
    <mergeCell ref="B5:C5"/>
    <mergeCell ref="B18:C18"/>
  </mergeCells>
  <phoneticPr fontId="30"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H444"/>
  <sheetViews>
    <sheetView showGridLines="0" showZeros="0" topLeftCell="J1" workbookViewId="0">
      <pane ySplit="5" topLeftCell="A367" activePane="bottomLeft" state="frozen"/>
      <selection pane="bottomLeft" activeCell="J367" sqref="J367"/>
    </sheetView>
  </sheetViews>
  <sheetFormatPr baseColWidth="10" defaultRowHeight="15" outlineLevelCol="1"/>
  <cols>
    <col min="1" max="1" width="11.42578125" style="147" hidden="1" customWidth="1" outlineLevel="1"/>
    <col min="2" max="2" width="11" style="147" hidden="1" customWidth="1" outlineLevel="1"/>
    <col min="3" max="3" width="48.28515625" style="147" hidden="1" customWidth="1" outlineLevel="1"/>
    <col min="4" max="4" width="21.85546875" style="147" hidden="1" customWidth="1" outlineLevel="1"/>
    <col min="5" max="5" width="14.5703125" style="147" hidden="1" customWidth="1" outlineLevel="1"/>
    <col min="6" max="6" width="8.28515625" style="147" hidden="1" customWidth="1" outlineLevel="1"/>
    <col min="7" max="7" width="15.140625" style="147" hidden="1" customWidth="1" outlineLevel="1"/>
    <col min="8" max="8" width="13.85546875" style="147" hidden="1" customWidth="1" outlineLevel="1"/>
    <col min="9" max="9" width="14.140625" style="147" hidden="1" customWidth="1" outlineLevel="1"/>
    <col min="10" max="10" width="15.28515625" style="313" bestFit="1" customWidth="1" collapsed="1"/>
    <col min="11" max="11" width="14.140625" style="313" bestFit="1" customWidth="1"/>
    <col min="12" max="12" width="17" style="313" hidden="1" customWidth="1" outlineLevel="1"/>
    <col min="13" max="13" width="17.28515625" style="147" hidden="1" customWidth="1" outlineLevel="1"/>
    <col min="14" max="14" width="18.140625" style="313" hidden="1" customWidth="1" outlineLevel="1"/>
    <col min="15" max="15" width="13.140625" style="313" hidden="1" customWidth="1" outlineLevel="1"/>
    <col min="16" max="16" width="12.5703125" style="313" hidden="1" customWidth="1" outlineLevel="1"/>
    <col min="17" max="17" width="8.5703125" style="147" hidden="1" customWidth="1" outlineLevel="1"/>
    <col min="18" max="18" width="9.42578125" style="147" hidden="1" customWidth="1" outlineLevel="1"/>
    <col min="19" max="19" width="11.28515625" style="147" hidden="1" customWidth="1" outlineLevel="1"/>
    <col min="20" max="20" width="13.85546875" style="313" hidden="1" customWidth="1" outlineLevel="1"/>
    <col min="21" max="21" width="13.5703125" style="313" hidden="1" customWidth="1" outlineLevel="1"/>
    <col min="22" max="22" width="10" style="147" hidden="1" customWidth="1" outlineLevel="1"/>
    <col min="23" max="23" width="12.5703125" style="147" hidden="1" customWidth="1" outlineLevel="1"/>
    <col min="24" max="24" width="12" style="147" hidden="1" customWidth="1" outlineLevel="1"/>
    <col min="25" max="25" width="11" style="147" hidden="1" customWidth="1" outlineLevel="1"/>
    <col min="26" max="26" width="8" style="147" hidden="1" customWidth="1" outlineLevel="1"/>
    <col min="27" max="27" width="11.42578125" style="147" hidden="1" customWidth="1" outlineLevel="1"/>
    <col min="28" max="28" width="13" style="147" hidden="1" customWidth="1" outlineLevel="1"/>
    <col min="29" max="29" width="12.42578125" style="147" hidden="1" customWidth="1" outlineLevel="1"/>
    <col min="30" max="30" width="14.28515625" style="147" hidden="1" customWidth="1" outlineLevel="1"/>
    <col min="31" max="31" width="14.42578125" style="147" hidden="1" customWidth="1" outlineLevel="1"/>
    <col min="32" max="32" width="8.85546875" style="147" hidden="1" customWidth="1" outlineLevel="1"/>
    <col min="33" max="33" width="11.140625" style="147" hidden="1" customWidth="1" outlineLevel="1"/>
    <col min="34" max="34" width="25" style="147" hidden="1" customWidth="1" outlineLevel="1"/>
    <col min="35" max="35" width="15.85546875" style="147" bestFit="1" customWidth="1" collapsed="1"/>
    <col min="36" max="36" width="11.140625" style="147" customWidth="1"/>
    <col min="37" max="39" width="12.5703125" style="147" hidden="1" customWidth="1" outlineLevel="1"/>
    <col min="40" max="41" width="13.140625" style="147" hidden="1" customWidth="1" outlineLevel="1"/>
    <col min="42" max="42" width="11.5703125" style="147" bestFit="1" customWidth="1" collapsed="1"/>
    <col min="43" max="44" width="11.5703125" style="147" bestFit="1" customWidth="1"/>
    <col min="45" max="46" width="15.5703125" style="147" customWidth="1"/>
    <col min="47" max="47" width="11.42578125" style="147"/>
    <col min="48" max="49" width="0" style="302" hidden="1" customWidth="1" outlineLevel="1"/>
    <col min="50" max="50" width="17.5703125" style="147" hidden="1" customWidth="1" outlineLevel="1"/>
    <col min="51" max="51" width="22.28515625" style="147" hidden="1" customWidth="1" outlineLevel="1"/>
    <col min="52" max="52" width="20.7109375" style="147" customWidth="1" collapsed="1"/>
    <col min="53" max="53" width="23.85546875" style="147" bestFit="1" customWidth="1"/>
    <col min="54" max="54" width="19.85546875" style="147" bestFit="1" customWidth="1"/>
    <col min="55" max="16384" width="11.42578125" style="147"/>
  </cols>
  <sheetData>
    <row r="1" spans="1:60" ht="15.75">
      <c r="A1" s="147" t="s">
        <v>453</v>
      </c>
      <c r="J1" s="147"/>
      <c r="K1" s="147"/>
      <c r="L1" s="147"/>
      <c r="N1" s="147"/>
      <c r="O1" s="147"/>
      <c r="P1" s="147"/>
      <c r="T1" s="147"/>
      <c r="U1" s="147"/>
      <c r="AP1" s="362" t="s">
        <v>556</v>
      </c>
      <c r="AV1" s="300"/>
      <c r="AW1" s="300"/>
    </row>
    <row r="2" spans="1:60">
      <c r="A2" s="147" t="s">
        <v>454</v>
      </c>
      <c r="J2" s="147"/>
      <c r="K2" s="147"/>
      <c r="L2" s="147"/>
      <c r="N2" s="147"/>
      <c r="O2" s="147"/>
      <c r="P2" s="147"/>
      <c r="T2" s="147"/>
      <c r="U2" s="147"/>
      <c r="AV2" s="300"/>
      <c r="AW2" s="300"/>
    </row>
    <row r="3" spans="1:60">
      <c r="A3" s="147" t="s">
        <v>455</v>
      </c>
      <c r="J3" s="147"/>
      <c r="K3" s="147"/>
      <c r="L3" s="147"/>
      <c r="N3" s="147"/>
      <c r="O3" s="147"/>
      <c r="P3" s="147"/>
      <c r="T3" s="147"/>
      <c r="U3" s="147"/>
      <c r="AV3" s="300"/>
      <c r="AW3" s="300"/>
    </row>
    <row r="4" spans="1:60">
      <c r="A4" s="147" t="s">
        <v>456</v>
      </c>
      <c r="J4" s="301"/>
      <c r="K4" s="301"/>
      <c r="L4" s="301"/>
      <c r="N4" s="301"/>
      <c r="O4" s="301"/>
      <c r="P4" s="301"/>
      <c r="T4" s="301"/>
      <c r="U4" s="301"/>
      <c r="AK4" s="957" t="s">
        <v>87</v>
      </c>
      <c r="AL4" s="958"/>
      <c r="AM4" s="958"/>
      <c r="AN4" s="958"/>
      <c r="AO4" s="959"/>
      <c r="AP4" s="960" t="s">
        <v>457</v>
      </c>
      <c r="AQ4" s="960"/>
      <c r="AR4" s="960"/>
      <c r="AS4" s="960"/>
      <c r="AT4" s="961"/>
    </row>
    <row r="5" spans="1:60">
      <c r="A5" s="154" t="s">
        <v>458</v>
      </c>
      <c r="B5" s="154" t="s">
        <v>459</v>
      </c>
      <c r="C5" s="154" t="s">
        <v>460</v>
      </c>
      <c r="D5" s="154" t="s">
        <v>461</v>
      </c>
      <c r="E5" s="154" t="s">
        <v>462</v>
      </c>
      <c r="F5" s="154" t="s">
        <v>463</v>
      </c>
      <c r="G5" s="154" t="s">
        <v>464</v>
      </c>
      <c r="H5" s="154" t="s">
        <v>465</v>
      </c>
      <c r="I5" s="154" t="s">
        <v>466</v>
      </c>
      <c r="J5" s="303" t="s">
        <v>467</v>
      </c>
      <c r="K5" s="303" t="s">
        <v>468</v>
      </c>
      <c r="L5" s="303" t="s">
        <v>469</v>
      </c>
      <c r="M5" s="154" t="s">
        <v>470</v>
      </c>
      <c r="N5" s="303" t="s">
        <v>471</v>
      </c>
      <c r="O5" s="303" t="s">
        <v>472</v>
      </c>
      <c r="P5" s="303" t="s">
        <v>473</v>
      </c>
      <c r="Q5" s="154" t="s">
        <v>474</v>
      </c>
      <c r="R5" s="154" t="s">
        <v>475</v>
      </c>
      <c r="S5" s="154" t="s">
        <v>476</v>
      </c>
      <c r="T5" s="303" t="s">
        <v>477</v>
      </c>
      <c r="U5" s="303" t="s">
        <v>478</v>
      </c>
      <c r="V5" s="154" t="s">
        <v>151</v>
      </c>
      <c r="W5" s="154" t="s">
        <v>479</v>
      </c>
      <c r="X5" s="154" t="s">
        <v>480</v>
      </c>
      <c r="Y5" s="154" t="s">
        <v>481</v>
      </c>
      <c r="Z5" s="154" t="s">
        <v>148</v>
      </c>
      <c r="AA5" s="154" t="s">
        <v>143</v>
      </c>
      <c r="AB5" s="154" t="s">
        <v>482</v>
      </c>
      <c r="AC5" s="154" t="s">
        <v>483</v>
      </c>
      <c r="AD5" s="154" t="s">
        <v>484</v>
      </c>
      <c r="AE5" s="154" t="s">
        <v>485</v>
      </c>
      <c r="AF5" s="154" t="s">
        <v>486</v>
      </c>
      <c r="AG5" s="154" t="s">
        <v>487</v>
      </c>
      <c r="AH5" s="154" t="s">
        <v>488</v>
      </c>
      <c r="AI5" s="154" t="s">
        <v>489</v>
      </c>
      <c r="AJ5" s="154" t="s">
        <v>490</v>
      </c>
      <c r="AK5" s="154" t="s">
        <v>226</v>
      </c>
      <c r="AL5" s="154" t="s">
        <v>227</v>
      </c>
      <c r="AM5" s="154" t="s">
        <v>228</v>
      </c>
      <c r="AN5" s="154" t="s">
        <v>229</v>
      </c>
      <c r="AO5" s="154" t="s">
        <v>230</v>
      </c>
      <c r="AP5" s="154" t="s">
        <v>226</v>
      </c>
      <c r="AQ5" s="154" t="s">
        <v>227</v>
      </c>
      <c r="AR5" s="154" t="s">
        <v>228</v>
      </c>
      <c r="AS5" s="154" t="s">
        <v>229</v>
      </c>
      <c r="AT5" s="154" t="s">
        <v>230</v>
      </c>
      <c r="AV5" s="304" t="s">
        <v>491</v>
      </c>
      <c r="AW5" s="304" t="s">
        <v>492</v>
      </c>
      <c r="AX5" s="305" t="s">
        <v>493</v>
      </c>
      <c r="AY5" s="305" t="s">
        <v>474</v>
      </c>
      <c r="BA5" s="192" t="s">
        <v>439</v>
      </c>
      <c r="BB5" s="157"/>
      <c r="BC5" s="157"/>
      <c r="BD5" s="157"/>
      <c r="BE5" s="157"/>
      <c r="BF5" s="157"/>
      <c r="BG5" s="157"/>
      <c r="BH5" s="157"/>
    </row>
    <row r="6" spans="1:60">
      <c r="A6" s="291" t="s">
        <v>494</v>
      </c>
      <c r="B6" s="291"/>
      <c r="C6" s="291"/>
      <c r="D6" s="291">
        <v>1160505001</v>
      </c>
      <c r="E6" s="291">
        <v>0</v>
      </c>
      <c r="F6" s="291">
        <v>45568</v>
      </c>
      <c r="G6" s="306">
        <v>43451</v>
      </c>
      <c r="H6" s="306">
        <v>43816</v>
      </c>
      <c r="I6" s="291">
        <v>1455</v>
      </c>
      <c r="J6" s="307">
        <v>25000000</v>
      </c>
      <c r="K6" s="307">
        <v>3750000</v>
      </c>
      <c r="L6" s="307">
        <v>0</v>
      </c>
      <c r="M6" s="291" t="s">
        <v>495</v>
      </c>
      <c r="N6" s="307">
        <v>25000000</v>
      </c>
      <c r="O6" s="307">
        <v>3750000</v>
      </c>
      <c r="P6" s="307">
        <v>18187500</v>
      </c>
      <c r="Q6" s="291">
        <v>1</v>
      </c>
      <c r="R6" s="291" t="s">
        <v>496</v>
      </c>
      <c r="S6" s="291">
        <v>100</v>
      </c>
      <c r="T6" s="307">
        <v>25000000</v>
      </c>
      <c r="U6" s="307">
        <v>3750000</v>
      </c>
      <c r="V6" s="291">
        <v>100</v>
      </c>
      <c r="W6" s="307">
        <v>6442963.7699999996</v>
      </c>
      <c r="X6" s="291">
        <v>2</v>
      </c>
      <c r="Y6" s="291">
        <v>1160902010</v>
      </c>
      <c r="Z6" s="291">
        <v>2023</v>
      </c>
      <c r="AA6" s="291">
        <v>12</v>
      </c>
      <c r="AB6" s="291">
        <v>5026003002</v>
      </c>
      <c r="AC6" s="291">
        <v>1160903005</v>
      </c>
      <c r="AD6" s="291">
        <v>0</v>
      </c>
      <c r="AE6" s="291">
        <v>0</v>
      </c>
      <c r="AF6" s="291">
        <v>0</v>
      </c>
      <c r="AG6" s="291">
        <v>1160605001</v>
      </c>
      <c r="AH6" s="291">
        <v>1455</v>
      </c>
      <c r="AI6" s="291" t="s">
        <v>497</v>
      </c>
      <c r="AJ6" s="308">
        <v>0.01</v>
      </c>
      <c r="AK6" s="309">
        <f>+$J6*$AJ6</f>
        <v>250000</v>
      </c>
      <c r="AL6" s="309">
        <f>IF(($J6-$AK6)&gt;0,$J6*$AJ6,0)</f>
        <v>250000</v>
      </c>
      <c r="AM6" s="309">
        <f>IF(($J6-$AK6)&gt;0,$J6*$AJ6,0)</f>
        <v>250000</v>
      </c>
      <c r="AN6" s="309"/>
      <c r="AO6" s="309"/>
      <c r="AP6" s="310">
        <f t="shared" ref="AP6:AP69" si="0">+K6*(AJ6/2)</f>
        <v>18750</v>
      </c>
      <c r="AQ6" s="309">
        <f>AP6</f>
        <v>18750</v>
      </c>
      <c r="AR6" s="309">
        <f>AQ6</f>
        <v>18750</v>
      </c>
      <c r="AS6" s="309"/>
      <c r="AT6" s="309"/>
      <c r="AV6" s="311">
        <f t="shared" ref="AV6:AV69" si="1">J6-AK6-AL6-AM6</f>
        <v>24250000</v>
      </c>
      <c r="AW6" s="311">
        <f t="shared" ref="AW6:AW69" si="2">+K6-AP6-AQ6-AR6</f>
        <v>3693750</v>
      </c>
      <c r="AX6" s="312">
        <f t="shared" ref="AX6:AX69" si="3">+J6-N6</f>
        <v>0</v>
      </c>
      <c r="BA6" s="919" t="s">
        <v>511</v>
      </c>
      <c r="BB6" s="920"/>
      <c r="BC6" s="920"/>
      <c r="BD6" s="920"/>
      <c r="BE6" s="920"/>
      <c r="BF6" s="920"/>
      <c r="BG6" s="920"/>
      <c r="BH6" s="921"/>
    </row>
    <row r="7" spans="1:60">
      <c r="A7" s="291" t="s">
        <v>494</v>
      </c>
      <c r="B7" s="291"/>
      <c r="C7" s="291"/>
      <c r="D7" s="291">
        <v>1160503004</v>
      </c>
      <c r="E7" s="291">
        <v>0</v>
      </c>
      <c r="F7" s="291">
        <v>41975</v>
      </c>
      <c r="G7" s="306">
        <v>43569</v>
      </c>
      <c r="H7" s="306">
        <v>44665</v>
      </c>
      <c r="I7" s="291">
        <v>618</v>
      </c>
      <c r="J7" s="307">
        <v>0</v>
      </c>
      <c r="K7" s="307">
        <v>724063</v>
      </c>
      <c r="L7" s="307">
        <v>0</v>
      </c>
      <c r="M7" s="291" t="s">
        <v>495</v>
      </c>
      <c r="N7" s="307">
        <v>0</v>
      </c>
      <c r="O7" s="307">
        <v>724063</v>
      </c>
      <c r="P7" s="307">
        <v>0</v>
      </c>
      <c r="Q7" s="291">
        <v>1</v>
      </c>
      <c r="R7" s="291" t="s">
        <v>494</v>
      </c>
      <c r="S7" s="291">
        <v>100</v>
      </c>
      <c r="T7" s="307">
        <v>0</v>
      </c>
      <c r="U7" s="307">
        <v>724063</v>
      </c>
      <c r="V7" s="291">
        <v>100</v>
      </c>
      <c r="W7" s="307">
        <v>7370381</v>
      </c>
      <c r="X7" s="291">
        <v>5</v>
      </c>
      <c r="Y7" s="291">
        <v>1160902006</v>
      </c>
      <c r="Z7" s="291">
        <v>2023</v>
      </c>
      <c r="AA7" s="291">
        <v>12</v>
      </c>
      <c r="AB7" s="291">
        <v>5026003002</v>
      </c>
      <c r="AC7" s="291">
        <v>1160903003</v>
      </c>
      <c r="AD7" s="291">
        <v>0</v>
      </c>
      <c r="AE7" s="291">
        <v>0</v>
      </c>
      <c r="AF7" s="291">
        <v>0</v>
      </c>
      <c r="AG7" s="291">
        <v>1160603001</v>
      </c>
      <c r="AH7" s="291">
        <v>618</v>
      </c>
      <c r="AI7" s="291" t="s">
        <v>498</v>
      </c>
      <c r="AJ7" s="308">
        <v>0.1</v>
      </c>
      <c r="AK7" s="309">
        <f t="shared" ref="AK7:AK70" si="4">+$J7*$AJ7</f>
        <v>0</v>
      </c>
      <c r="AL7" s="309">
        <f t="shared" ref="AL7:AM70" si="5">IF(($J7-$AK7)&gt;0,$J7*$AJ7,0)</f>
        <v>0</v>
      </c>
      <c r="AM7" s="309">
        <f t="shared" si="5"/>
        <v>0</v>
      </c>
      <c r="AN7" s="309"/>
      <c r="AO7" s="309"/>
      <c r="AP7" s="309">
        <f t="shared" si="0"/>
        <v>36203.15</v>
      </c>
      <c r="AQ7" s="309">
        <f t="shared" ref="AQ7:AR22" si="6">AP7</f>
        <v>36203.15</v>
      </c>
      <c r="AR7" s="309">
        <f t="shared" si="6"/>
        <v>36203.15</v>
      </c>
      <c r="AS7" s="309"/>
      <c r="AT7" s="309"/>
      <c r="AV7" s="311">
        <f t="shared" si="1"/>
        <v>0</v>
      </c>
      <c r="AW7" s="311">
        <f t="shared" si="2"/>
        <v>615453.54999999993</v>
      </c>
      <c r="AX7" s="312">
        <f t="shared" si="3"/>
        <v>0</v>
      </c>
      <c r="BA7" s="916"/>
      <c r="BB7" s="917"/>
      <c r="BC7" s="917"/>
      <c r="BD7" s="917"/>
      <c r="BE7" s="917"/>
      <c r="BF7" s="917"/>
      <c r="BG7" s="917"/>
      <c r="BH7" s="918"/>
    </row>
    <row r="8" spans="1:60">
      <c r="A8" s="291" t="s">
        <v>494</v>
      </c>
      <c r="B8" s="291"/>
      <c r="C8" s="291"/>
      <c r="D8" s="291">
        <v>1160505004</v>
      </c>
      <c r="E8" s="291">
        <v>39914</v>
      </c>
      <c r="F8" s="291">
        <v>42539</v>
      </c>
      <c r="G8" s="306">
        <v>42918</v>
      </c>
      <c r="H8" s="306">
        <v>44014</v>
      </c>
      <c r="I8" s="291">
        <v>1260</v>
      </c>
      <c r="J8" s="307">
        <v>1000000</v>
      </c>
      <c r="K8" s="307">
        <v>108781</v>
      </c>
      <c r="L8" s="307">
        <v>0</v>
      </c>
      <c r="M8" s="291" t="s">
        <v>495</v>
      </c>
      <c r="N8" s="307">
        <v>1000000</v>
      </c>
      <c r="O8" s="307">
        <v>108781</v>
      </c>
      <c r="P8" s="307">
        <v>630000</v>
      </c>
      <c r="Q8" s="291">
        <v>1</v>
      </c>
      <c r="R8" s="291" t="s">
        <v>496</v>
      </c>
      <c r="S8" s="291">
        <v>100</v>
      </c>
      <c r="T8" s="307">
        <v>1000000</v>
      </c>
      <c r="U8" s="307">
        <v>108781</v>
      </c>
      <c r="V8" s="291">
        <v>100</v>
      </c>
      <c r="W8" s="307">
        <v>6368636</v>
      </c>
      <c r="X8" s="291">
        <v>5</v>
      </c>
      <c r="Y8" s="291">
        <v>1160902010</v>
      </c>
      <c r="Z8" s="291">
        <v>2023</v>
      </c>
      <c r="AA8" s="291">
        <v>12</v>
      </c>
      <c r="AB8" s="291">
        <v>5026003002</v>
      </c>
      <c r="AC8" s="291">
        <v>1160903005</v>
      </c>
      <c r="AD8" s="291">
        <v>0</v>
      </c>
      <c r="AE8" s="291">
        <v>0</v>
      </c>
      <c r="AF8" s="291">
        <v>0</v>
      </c>
      <c r="AG8" s="291">
        <v>1160605001</v>
      </c>
      <c r="AH8" s="291">
        <v>1260</v>
      </c>
      <c r="AI8" s="291" t="s">
        <v>497</v>
      </c>
      <c r="AJ8" s="308">
        <v>0.01</v>
      </c>
      <c r="AK8" s="309">
        <f t="shared" si="4"/>
        <v>10000</v>
      </c>
      <c r="AL8" s="309">
        <f t="shared" si="5"/>
        <v>10000</v>
      </c>
      <c r="AM8" s="309">
        <f t="shared" si="5"/>
        <v>10000</v>
      </c>
      <c r="AN8" s="309"/>
      <c r="AO8" s="309"/>
      <c r="AP8" s="309">
        <f t="shared" si="0"/>
        <v>543.90499999999997</v>
      </c>
      <c r="AQ8" s="309">
        <f t="shared" si="6"/>
        <v>543.90499999999997</v>
      </c>
      <c r="AR8" s="309">
        <f t="shared" si="6"/>
        <v>543.90499999999997</v>
      </c>
      <c r="AS8" s="309"/>
      <c r="AT8" s="309"/>
      <c r="AV8" s="311">
        <f t="shared" si="1"/>
        <v>970000</v>
      </c>
      <c r="AW8" s="311">
        <f t="shared" si="2"/>
        <v>107149.285</v>
      </c>
      <c r="AX8" s="312">
        <f t="shared" si="3"/>
        <v>0</v>
      </c>
      <c r="BA8" s="916"/>
      <c r="BB8" s="917"/>
      <c r="BC8" s="917"/>
      <c r="BD8" s="917"/>
      <c r="BE8" s="917"/>
      <c r="BF8" s="917"/>
      <c r="BG8" s="917"/>
      <c r="BH8" s="918"/>
    </row>
    <row r="9" spans="1:60">
      <c r="A9" s="291" t="s">
        <v>494</v>
      </c>
      <c r="B9" s="291"/>
      <c r="C9" s="291"/>
      <c r="D9" s="291">
        <v>1160405001</v>
      </c>
      <c r="E9" s="291">
        <v>0</v>
      </c>
      <c r="F9" s="291">
        <v>35915</v>
      </c>
      <c r="G9" s="306">
        <v>41811</v>
      </c>
      <c r="H9" s="306">
        <v>42003</v>
      </c>
      <c r="I9" s="291">
        <v>3242</v>
      </c>
      <c r="J9" s="307">
        <v>80000000</v>
      </c>
      <c r="K9" s="307">
        <v>3780000</v>
      </c>
      <c r="L9" s="307">
        <v>0</v>
      </c>
      <c r="M9" s="291" t="s">
        <v>495</v>
      </c>
      <c r="N9" s="307">
        <v>80000000</v>
      </c>
      <c r="O9" s="307">
        <v>3780000</v>
      </c>
      <c r="P9" s="307">
        <v>129680000</v>
      </c>
      <c r="Q9" s="291">
        <v>2</v>
      </c>
      <c r="R9" s="291" t="s">
        <v>496</v>
      </c>
      <c r="S9" s="291">
        <v>100</v>
      </c>
      <c r="T9" s="307">
        <v>80000000</v>
      </c>
      <c r="U9" s="307">
        <v>3780000</v>
      </c>
      <c r="V9" s="291">
        <v>300</v>
      </c>
      <c r="W9" s="307">
        <v>104469422.40000001</v>
      </c>
      <c r="X9" s="291">
        <v>2</v>
      </c>
      <c r="Y9" s="291">
        <v>1160902009</v>
      </c>
      <c r="Z9" s="291">
        <v>2023</v>
      </c>
      <c r="AA9" s="291">
        <v>12</v>
      </c>
      <c r="AB9" s="291">
        <v>5026003002</v>
      </c>
      <c r="AC9" s="291">
        <v>1160903005</v>
      </c>
      <c r="AD9" s="291">
        <v>0</v>
      </c>
      <c r="AE9" s="291">
        <v>0</v>
      </c>
      <c r="AF9" s="291">
        <v>1</v>
      </c>
      <c r="AG9" s="291">
        <v>1160605001</v>
      </c>
      <c r="AH9" s="291">
        <v>3242</v>
      </c>
      <c r="AI9" s="291" t="s">
        <v>497</v>
      </c>
      <c r="AJ9" s="308">
        <v>0.01</v>
      </c>
      <c r="AK9" s="309">
        <f t="shared" si="4"/>
        <v>800000</v>
      </c>
      <c r="AL9" s="309">
        <f t="shared" si="5"/>
        <v>800000</v>
      </c>
      <c r="AM9" s="309">
        <f t="shared" si="5"/>
        <v>800000</v>
      </c>
      <c r="AN9" s="309"/>
      <c r="AO9" s="309"/>
      <c r="AP9" s="309">
        <f t="shared" si="0"/>
        <v>18900</v>
      </c>
      <c r="AQ9" s="309">
        <f t="shared" si="6"/>
        <v>18900</v>
      </c>
      <c r="AR9" s="309">
        <f t="shared" si="6"/>
        <v>18900</v>
      </c>
      <c r="AS9" s="309"/>
      <c r="AT9" s="309"/>
      <c r="AV9" s="311">
        <f t="shared" si="1"/>
        <v>77600000</v>
      </c>
      <c r="AW9" s="311">
        <f t="shared" si="2"/>
        <v>3723300</v>
      </c>
      <c r="AX9" s="312">
        <f t="shared" si="3"/>
        <v>0</v>
      </c>
      <c r="BA9" s="916"/>
      <c r="BB9" s="917"/>
      <c r="BC9" s="917"/>
      <c r="BD9" s="917"/>
      <c r="BE9" s="917"/>
      <c r="BF9" s="917"/>
      <c r="BG9" s="917"/>
      <c r="BH9" s="918"/>
    </row>
    <row r="10" spans="1:60">
      <c r="A10" s="291" t="s">
        <v>494</v>
      </c>
      <c r="B10" s="291"/>
      <c r="C10" s="291"/>
      <c r="D10" s="291">
        <v>1160405003</v>
      </c>
      <c r="E10" s="291">
        <v>0</v>
      </c>
      <c r="F10" s="291">
        <v>372</v>
      </c>
      <c r="G10" s="306">
        <v>41811</v>
      </c>
      <c r="H10" s="306">
        <v>42003</v>
      </c>
      <c r="I10" s="291">
        <v>3242</v>
      </c>
      <c r="J10" s="307">
        <v>444528664</v>
      </c>
      <c r="K10" s="307">
        <v>25671530</v>
      </c>
      <c r="L10" s="307">
        <v>0</v>
      </c>
      <c r="M10" s="291" t="s">
        <v>495</v>
      </c>
      <c r="N10" s="307">
        <v>444528664</v>
      </c>
      <c r="O10" s="307">
        <v>25671530</v>
      </c>
      <c r="P10" s="307">
        <v>720580964</v>
      </c>
      <c r="Q10" s="291">
        <v>2</v>
      </c>
      <c r="R10" s="291" t="s">
        <v>496</v>
      </c>
      <c r="S10" s="291">
        <v>100</v>
      </c>
      <c r="T10" s="307">
        <v>444528664</v>
      </c>
      <c r="U10" s="307">
        <v>25671530</v>
      </c>
      <c r="V10" s="291">
        <v>300</v>
      </c>
      <c r="W10" s="307">
        <v>104469422.40000001</v>
      </c>
      <c r="X10" s="291">
        <v>8</v>
      </c>
      <c r="Y10" s="291">
        <v>1160902009</v>
      </c>
      <c r="Z10" s="291">
        <v>2023</v>
      </c>
      <c r="AA10" s="291">
        <v>12</v>
      </c>
      <c r="AB10" s="291">
        <v>5026003002</v>
      </c>
      <c r="AC10" s="291">
        <v>1160903005</v>
      </c>
      <c r="AD10" s="291">
        <v>0</v>
      </c>
      <c r="AE10" s="291">
        <v>0</v>
      </c>
      <c r="AF10" s="291">
        <v>1</v>
      </c>
      <c r="AG10" s="291">
        <v>1160605001</v>
      </c>
      <c r="AH10" s="291">
        <v>3242</v>
      </c>
      <c r="AI10" s="291" t="s">
        <v>497</v>
      </c>
      <c r="AJ10" s="308">
        <v>0.01</v>
      </c>
      <c r="AK10" s="309">
        <f t="shared" si="4"/>
        <v>4445286.6399999997</v>
      </c>
      <c r="AL10" s="309">
        <f t="shared" si="5"/>
        <v>4445286.6399999997</v>
      </c>
      <c r="AM10" s="309">
        <f t="shared" si="5"/>
        <v>4445286.6399999997</v>
      </c>
      <c r="AN10" s="309"/>
      <c r="AO10" s="309"/>
      <c r="AP10" s="309">
        <f t="shared" si="0"/>
        <v>128357.65000000001</v>
      </c>
      <c r="AQ10" s="309">
        <f t="shared" si="6"/>
        <v>128357.65000000001</v>
      </c>
      <c r="AR10" s="309">
        <f t="shared" si="6"/>
        <v>128357.65000000001</v>
      </c>
      <c r="AS10" s="309"/>
      <c r="AT10" s="309"/>
      <c r="AV10" s="311">
        <f t="shared" si="1"/>
        <v>431192804.08000004</v>
      </c>
      <c r="AW10" s="311">
        <f t="shared" si="2"/>
        <v>25286457.050000004</v>
      </c>
      <c r="AX10" s="312">
        <f t="shared" si="3"/>
        <v>0</v>
      </c>
      <c r="BA10" s="916"/>
      <c r="BB10" s="917"/>
      <c r="BC10" s="917"/>
      <c r="BD10" s="917"/>
      <c r="BE10" s="917"/>
      <c r="BF10" s="917"/>
      <c r="BG10" s="917"/>
      <c r="BH10" s="918"/>
    </row>
    <row r="11" spans="1:60">
      <c r="A11" s="291" t="s">
        <v>494</v>
      </c>
      <c r="B11" s="291"/>
      <c r="C11" s="291"/>
      <c r="D11" s="291">
        <v>1160505001</v>
      </c>
      <c r="E11" s="291">
        <v>0</v>
      </c>
      <c r="F11" s="291">
        <v>45514</v>
      </c>
      <c r="G11" s="306">
        <v>43443</v>
      </c>
      <c r="H11" s="306">
        <v>44174</v>
      </c>
      <c r="I11" s="291">
        <v>1103</v>
      </c>
      <c r="J11" s="307">
        <v>400000</v>
      </c>
      <c r="K11" s="307">
        <v>0</v>
      </c>
      <c r="L11" s="307">
        <v>0</v>
      </c>
      <c r="M11" s="291" t="s">
        <v>495</v>
      </c>
      <c r="N11" s="307">
        <v>400000</v>
      </c>
      <c r="O11" s="307">
        <v>0</v>
      </c>
      <c r="P11" s="307">
        <v>220600</v>
      </c>
      <c r="Q11" s="291">
        <v>1</v>
      </c>
      <c r="R11" s="291" t="s">
        <v>496</v>
      </c>
      <c r="S11" s="291">
        <v>100</v>
      </c>
      <c r="T11" s="307">
        <v>400000</v>
      </c>
      <c r="U11" s="307">
        <v>0</v>
      </c>
      <c r="V11" s="291">
        <v>100</v>
      </c>
      <c r="W11" s="307">
        <v>4767608</v>
      </c>
      <c r="X11" s="291">
        <v>2</v>
      </c>
      <c r="Y11" s="291">
        <v>1160902010</v>
      </c>
      <c r="Z11" s="291">
        <v>2023</v>
      </c>
      <c r="AA11" s="291">
        <v>12</v>
      </c>
      <c r="AB11" s="291">
        <v>5026003002</v>
      </c>
      <c r="AC11" s="291">
        <v>1160903005</v>
      </c>
      <c r="AD11" s="291">
        <v>0</v>
      </c>
      <c r="AE11" s="291">
        <v>0</v>
      </c>
      <c r="AF11" s="291">
        <v>0</v>
      </c>
      <c r="AG11" s="291">
        <v>1160605001</v>
      </c>
      <c r="AH11" s="291">
        <v>1103</v>
      </c>
      <c r="AI11" s="291" t="s">
        <v>497</v>
      </c>
      <c r="AJ11" s="308">
        <v>0.01</v>
      </c>
      <c r="AK11" s="309">
        <f t="shared" si="4"/>
        <v>4000</v>
      </c>
      <c r="AL11" s="309">
        <f t="shared" si="5"/>
        <v>4000</v>
      </c>
      <c r="AM11" s="309">
        <f t="shared" si="5"/>
        <v>4000</v>
      </c>
      <c r="AN11" s="309"/>
      <c r="AO11" s="309"/>
      <c r="AP11" s="309">
        <f t="shared" si="0"/>
        <v>0</v>
      </c>
      <c r="AQ11" s="309">
        <f t="shared" si="6"/>
        <v>0</v>
      </c>
      <c r="AR11" s="309">
        <f t="shared" si="6"/>
        <v>0</v>
      </c>
      <c r="AS11" s="309"/>
      <c r="AT11" s="309"/>
      <c r="AV11" s="311">
        <f t="shared" si="1"/>
        <v>388000</v>
      </c>
      <c r="AW11" s="311">
        <f t="shared" si="2"/>
        <v>0</v>
      </c>
      <c r="AX11" s="312">
        <f t="shared" si="3"/>
        <v>0</v>
      </c>
      <c r="BA11" s="916"/>
      <c r="BB11" s="917"/>
      <c r="BC11" s="917"/>
      <c r="BD11" s="917"/>
      <c r="BE11" s="917"/>
      <c r="BF11" s="917"/>
      <c r="BG11" s="917"/>
      <c r="BH11" s="918"/>
    </row>
    <row r="12" spans="1:60">
      <c r="A12" s="291" t="s">
        <v>494</v>
      </c>
      <c r="B12" s="291"/>
      <c r="C12" s="291"/>
      <c r="D12" s="291">
        <v>1160505001</v>
      </c>
      <c r="E12" s="291">
        <v>0</v>
      </c>
      <c r="F12" s="291">
        <v>41649</v>
      </c>
      <c r="G12" s="306">
        <v>42806</v>
      </c>
      <c r="H12" s="306">
        <v>43902</v>
      </c>
      <c r="I12" s="291">
        <v>1370</v>
      </c>
      <c r="J12" s="307">
        <v>6233832</v>
      </c>
      <c r="K12" s="307">
        <v>0</v>
      </c>
      <c r="L12" s="307">
        <v>0</v>
      </c>
      <c r="M12" s="291" t="s">
        <v>495</v>
      </c>
      <c r="N12" s="307">
        <v>6233832</v>
      </c>
      <c r="O12" s="307">
        <v>0</v>
      </c>
      <c r="P12" s="307">
        <v>4270175</v>
      </c>
      <c r="Q12" s="291">
        <v>1</v>
      </c>
      <c r="R12" s="291" t="s">
        <v>496</v>
      </c>
      <c r="S12" s="291">
        <v>100</v>
      </c>
      <c r="T12" s="307">
        <v>6233832</v>
      </c>
      <c r="U12" s="307">
        <v>0</v>
      </c>
      <c r="V12" s="291">
        <v>300</v>
      </c>
      <c r="W12" s="307">
        <v>9668299</v>
      </c>
      <c r="X12" s="291">
        <v>2</v>
      </c>
      <c r="Y12" s="291">
        <v>1160902010</v>
      </c>
      <c r="Z12" s="291">
        <v>2023</v>
      </c>
      <c r="AA12" s="291">
        <v>12</v>
      </c>
      <c r="AB12" s="291">
        <v>5026003002</v>
      </c>
      <c r="AC12" s="291">
        <v>1160903005</v>
      </c>
      <c r="AD12" s="291">
        <v>0</v>
      </c>
      <c r="AE12" s="291">
        <v>0</v>
      </c>
      <c r="AF12" s="291">
        <v>0</v>
      </c>
      <c r="AG12" s="291">
        <v>1160605001</v>
      </c>
      <c r="AH12" s="291">
        <v>1370</v>
      </c>
      <c r="AI12" s="291" t="s">
        <v>497</v>
      </c>
      <c r="AJ12" s="308">
        <v>0.01</v>
      </c>
      <c r="AK12" s="309">
        <f t="shared" si="4"/>
        <v>62338.32</v>
      </c>
      <c r="AL12" s="309">
        <f t="shared" si="5"/>
        <v>62338.32</v>
      </c>
      <c r="AM12" s="309">
        <f t="shared" si="5"/>
        <v>62338.32</v>
      </c>
      <c r="AN12" s="309"/>
      <c r="AO12" s="309"/>
      <c r="AP12" s="309">
        <f t="shared" si="0"/>
        <v>0</v>
      </c>
      <c r="AQ12" s="309">
        <f t="shared" si="6"/>
        <v>0</v>
      </c>
      <c r="AR12" s="309">
        <f t="shared" si="6"/>
        <v>0</v>
      </c>
      <c r="AS12" s="309"/>
      <c r="AT12" s="309"/>
      <c r="AV12" s="311">
        <f t="shared" si="1"/>
        <v>6046817.0399999991</v>
      </c>
      <c r="AW12" s="311">
        <f t="shared" si="2"/>
        <v>0</v>
      </c>
      <c r="AX12" s="312">
        <f t="shared" si="3"/>
        <v>0</v>
      </c>
      <c r="BA12" s="916"/>
      <c r="BB12" s="917"/>
      <c r="BC12" s="917"/>
      <c r="BD12" s="917"/>
      <c r="BE12" s="917"/>
      <c r="BF12" s="917"/>
      <c r="BG12" s="917"/>
      <c r="BH12" s="918"/>
    </row>
    <row r="13" spans="1:60">
      <c r="A13" s="291" t="s">
        <v>494</v>
      </c>
      <c r="B13" s="291"/>
      <c r="C13" s="291"/>
      <c r="D13" s="291">
        <v>1160505001</v>
      </c>
      <c r="E13" s="291">
        <v>0</v>
      </c>
      <c r="F13" s="291">
        <v>43698</v>
      </c>
      <c r="G13" s="306">
        <v>43148</v>
      </c>
      <c r="H13" s="306">
        <v>44244</v>
      </c>
      <c r="I13" s="291">
        <v>1035</v>
      </c>
      <c r="J13" s="307">
        <v>680966</v>
      </c>
      <c r="K13" s="307">
        <v>0</v>
      </c>
      <c r="L13" s="307">
        <v>0</v>
      </c>
      <c r="M13" s="291" t="s">
        <v>495</v>
      </c>
      <c r="N13" s="307">
        <v>680966</v>
      </c>
      <c r="O13" s="307">
        <v>0</v>
      </c>
      <c r="P13" s="307">
        <v>352400</v>
      </c>
      <c r="Q13" s="291">
        <v>1</v>
      </c>
      <c r="R13" s="291" t="s">
        <v>496</v>
      </c>
      <c r="S13" s="291">
        <v>100</v>
      </c>
      <c r="T13" s="307">
        <v>680966</v>
      </c>
      <c r="U13" s="307">
        <v>0</v>
      </c>
      <c r="V13" s="291">
        <v>100</v>
      </c>
      <c r="W13" s="307">
        <v>2692013</v>
      </c>
      <c r="X13" s="291">
        <v>14</v>
      </c>
      <c r="Y13" s="291">
        <v>1160902010</v>
      </c>
      <c r="Z13" s="291">
        <v>2023</v>
      </c>
      <c r="AA13" s="291">
        <v>12</v>
      </c>
      <c r="AB13" s="291">
        <v>5026003002</v>
      </c>
      <c r="AC13" s="291">
        <v>1160903005</v>
      </c>
      <c r="AD13" s="291">
        <v>0</v>
      </c>
      <c r="AE13" s="291">
        <v>0</v>
      </c>
      <c r="AF13" s="291">
        <v>0</v>
      </c>
      <c r="AG13" s="291">
        <v>1160605001</v>
      </c>
      <c r="AH13" s="291">
        <v>1035</v>
      </c>
      <c r="AI13" s="291" t="s">
        <v>499</v>
      </c>
      <c r="AJ13" s="308">
        <v>0.05</v>
      </c>
      <c r="AK13" s="309">
        <f t="shared" si="4"/>
        <v>34048.300000000003</v>
      </c>
      <c r="AL13" s="309">
        <f t="shared" si="5"/>
        <v>34048.300000000003</v>
      </c>
      <c r="AM13" s="309">
        <f t="shared" si="5"/>
        <v>34048.300000000003</v>
      </c>
      <c r="AN13" s="309"/>
      <c r="AO13" s="309"/>
      <c r="AP13" s="309">
        <f t="shared" si="0"/>
        <v>0</v>
      </c>
      <c r="AQ13" s="309">
        <f t="shared" si="6"/>
        <v>0</v>
      </c>
      <c r="AR13" s="309">
        <f t="shared" si="6"/>
        <v>0</v>
      </c>
      <c r="AS13" s="309"/>
      <c r="AT13" s="309"/>
      <c r="AV13" s="311">
        <f t="shared" si="1"/>
        <v>578821.09999999986</v>
      </c>
      <c r="AW13" s="311">
        <f t="shared" si="2"/>
        <v>0</v>
      </c>
      <c r="AX13" s="312">
        <f t="shared" si="3"/>
        <v>0</v>
      </c>
      <c r="BA13" s="916"/>
      <c r="BB13" s="917"/>
      <c r="BC13" s="917"/>
      <c r="BD13" s="917"/>
      <c r="BE13" s="917"/>
      <c r="BF13" s="917"/>
      <c r="BG13" s="917"/>
      <c r="BH13" s="918"/>
    </row>
    <row r="14" spans="1:60">
      <c r="A14" s="291" t="s">
        <v>494</v>
      </c>
      <c r="B14" s="291"/>
      <c r="C14" s="291"/>
      <c r="D14" s="291">
        <v>1160505001</v>
      </c>
      <c r="E14" s="291">
        <v>0</v>
      </c>
      <c r="F14" s="291">
        <v>41617</v>
      </c>
      <c r="G14" s="306">
        <v>42803</v>
      </c>
      <c r="H14" s="306">
        <v>43533</v>
      </c>
      <c r="I14" s="291">
        <v>1733</v>
      </c>
      <c r="J14" s="307">
        <v>7844539</v>
      </c>
      <c r="K14" s="307">
        <v>0</v>
      </c>
      <c r="L14" s="307">
        <v>0</v>
      </c>
      <c r="M14" s="291" t="s">
        <v>495</v>
      </c>
      <c r="N14" s="307">
        <v>7844539</v>
      </c>
      <c r="O14" s="307">
        <v>0</v>
      </c>
      <c r="P14" s="307">
        <v>6797293</v>
      </c>
      <c r="Q14" s="291">
        <v>1</v>
      </c>
      <c r="R14" s="291" t="s">
        <v>496</v>
      </c>
      <c r="S14" s="291">
        <v>100</v>
      </c>
      <c r="T14" s="307">
        <v>7844539</v>
      </c>
      <c r="U14" s="307">
        <v>0</v>
      </c>
      <c r="V14" s="291">
        <v>100</v>
      </c>
      <c r="W14" s="307">
        <v>16701938</v>
      </c>
      <c r="X14" s="291">
        <v>2</v>
      </c>
      <c r="Y14" s="291">
        <v>1160902010</v>
      </c>
      <c r="Z14" s="291">
        <v>2023</v>
      </c>
      <c r="AA14" s="291">
        <v>12</v>
      </c>
      <c r="AB14" s="291">
        <v>5026003002</v>
      </c>
      <c r="AC14" s="291">
        <v>1160903005</v>
      </c>
      <c r="AD14" s="291">
        <v>0</v>
      </c>
      <c r="AE14" s="291">
        <v>0</v>
      </c>
      <c r="AF14" s="291">
        <v>0</v>
      </c>
      <c r="AG14" s="291">
        <v>1160605001</v>
      </c>
      <c r="AH14" s="291">
        <v>1733</v>
      </c>
      <c r="AI14" s="291" t="s">
        <v>497</v>
      </c>
      <c r="AJ14" s="308">
        <v>0.01</v>
      </c>
      <c r="AK14" s="309">
        <f t="shared" si="4"/>
        <v>78445.39</v>
      </c>
      <c r="AL14" s="309">
        <f t="shared" si="5"/>
        <v>78445.39</v>
      </c>
      <c r="AM14" s="309">
        <f t="shared" si="5"/>
        <v>78445.39</v>
      </c>
      <c r="AN14" s="309"/>
      <c r="AO14" s="309"/>
      <c r="AP14" s="309">
        <f t="shared" si="0"/>
        <v>0</v>
      </c>
      <c r="AQ14" s="309">
        <f t="shared" si="6"/>
        <v>0</v>
      </c>
      <c r="AR14" s="309">
        <f t="shared" si="6"/>
        <v>0</v>
      </c>
      <c r="AS14" s="309"/>
      <c r="AT14" s="309"/>
      <c r="AV14" s="311">
        <f t="shared" si="1"/>
        <v>7609202.830000001</v>
      </c>
      <c r="AW14" s="311">
        <f t="shared" si="2"/>
        <v>0</v>
      </c>
      <c r="AX14" s="312">
        <f t="shared" si="3"/>
        <v>0</v>
      </c>
      <c r="BA14" s="916"/>
      <c r="BB14" s="917"/>
      <c r="BC14" s="917"/>
      <c r="BD14" s="917"/>
      <c r="BE14" s="917"/>
      <c r="BF14" s="917"/>
      <c r="BG14" s="917"/>
      <c r="BH14" s="918"/>
    </row>
    <row r="15" spans="1:60">
      <c r="A15" s="291" t="s">
        <v>494</v>
      </c>
      <c r="B15" s="291"/>
      <c r="C15" s="291"/>
      <c r="D15" s="291">
        <v>1160505001</v>
      </c>
      <c r="E15" s="291">
        <v>0</v>
      </c>
      <c r="F15" s="291">
        <v>44875</v>
      </c>
      <c r="G15" s="306">
        <v>43282</v>
      </c>
      <c r="H15" s="306">
        <v>44013</v>
      </c>
      <c r="I15" s="291">
        <v>1261</v>
      </c>
      <c r="J15" s="307">
        <v>8000000</v>
      </c>
      <c r="K15" s="307">
        <v>0</v>
      </c>
      <c r="L15" s="307">
        <v>0</v>
      </c>
      <c r="M15" s="291" t="s">
        <v>495</v>
      </c>
      <c r="N15" s="307">
        <v>8000000</v>
      </c>
      <c r="O15" s="307">
        <v>0</v>
      </c>
      <c r="P15" s="307">
        <v>5044000</v>
      </c>
      <c r="Q15" s="291">
        <v>1</v>
      </c>
      <c r="R15" s="291" t="s">
        <v>496</v>
      </c>
      <c r="S15" s="291">
        <v>100</v>
      </c>
      <c r="T15" s="307">
        <v>8000000</v>
      </c>
      <c r="U15" s="307">
        <v>0</v>
      </c>
      <c r="V15" s="291">
        <v>100</v>
      </c>
      <c r="W15" s="307">
        <v>16701938</v>
      </c>
      <c r="X15" s="291">
        <v>2</v>
      </c>
      <c r="Y15" s="291">
        <v>1160902010</v>
      </c>
      <c r="Z15" s="291">
        <v>2023</v>
      </c>
      <c r="AA15" s="291">
        <v>12</v>
      </c>
      <c r="AB15" s="291">
        <v>5026003002</v>
      </c>
      <c r="AC15" s="291">
        <v>1160903005</v>
      </c>
      <c r="AD15" s="291">
        <v>0</v>
      </c>
      <c r="AE15" s="291">
        <v>0</v>
      </c>
      <c r="AF15" s="291">
        <v>0</v>
      </c>
      <c r="AG15" s="291">
        <v>1160605001</v>
      </c>
      <c r="AH15" s="291">
        <v>1733</v>
      </c>
      <c r="AI15" s="291" t="s">
        <v>497</v>
      </c>
      <c r="AJ15" s="308">
        <v>0.01</v>
      </c>
      <c r="AK15" s="309">
        <f t="shared" si="4"/>
        <v>80000</v>
      </c>
      <c r="AL15" s="309">
        <f t="shared" si="5"/>
        <v>80000</v>
      </c>
      <c r="AM15" s="309">
        <f t="shared" si="5"/>
        <v>80000</v>
      </c>
      <c r="AN15" s="309"/>
      <c r="AO15" s="309"/>
      <c r="AP15" s="309">
        <f t="shared" si="0"/>
        <v>0</v>
      </c>
      <c r="AQ15" s="309">
        <f t="shared" si="6"/>
        <v>0</v>
      </c>
      <c r="AR15" s="309">
        <f t="shared" si="6"/>
        <v>0</v>
      </c>
      <c r="AS15" s="309"/>
      <c r="AT15" s="309"/>
      <c r="AV15" s="311">
        <f t="shared" si="1"/>
        <v>7760000</v>
      </c>
      <c r="AW15" s="311">
        <f t="shared" si="2"/>
        <v>0</v>
      </c>
      <c r="AX15" s="312">
        <f t="shared" si="3"/>
        <v>0</v>
      </c>
      <c r="BA15" s="922"/>
      <c r="BB15" s="923"/>
      <c r="BC15" s="923"/>
      <c r="BD15" s="923"/>
      <c r="BE15" s="923"/>
      <c r="BF15" s="923"/>
      <c r="BG15" s="923"/>
      <c r="BH15" s="924"/>
    </row>
    <row r="16" spans="1:60">
      <c r="A16" s="291" t="s">
        <v>494</v>
      </c>
      <c r="B16" s="291"/>
      <c r="C16" s="291"/>
      <c r="D16" s="291">
        <v>1160505002</v>
      </c>
      <c r="E16" s="291">
        <v>0</v>
      </c>
      <c r="F16" s="291">
        <v>45588</v>
      </c>
      <c r="G16" s="306">
        <v>43457</v>
      </c>
      <c r="H16" s="306">
        <v>43822</v>
      </c>
      <c r="I16" s="291">
        <v>1449</v>
      </c>
      <c r="J16" s="307">
        <v>3097000</v>
      </c>
      <c r="K16" s="307">
        <v>278736</v>
      </c>
      <c r="L16" s="307">
        <v>0</v>
      </c>
      <c r="M16" s="291" t="s">
        <v>495</v>
      </c>
      <c r="N16" s="307">
        <v>3097000</v>
      </c>
      <c r="O16" s="307">
        <v>278736</v>
      </c>
      <c r="P16" s="307">
        <v>2243777</v>
      </c>
      <c r="Q16" s="291">
        <v>1</v>
      </c>
      <c r="R16" s="291" t="s">
        <v>496</v>
      </c>
      <c r="S16" s="291">
        <v>100</v>
      </c>
      <c r="T16" s="307">
        <v>3097000</v>
      </c>
      <c r="U16" s="307">
        <v>278736</v>
      </c>
      <c r="V16" s="291">
        <v>100</v>
      </c>
      <c r="W16" s="307">
        <v>2628263</v>
      </c>
      <c r="X16" s="291">
        <v>6</v>
      </c>
      <c r="Y16" s="291">
        <v>1160902010</v>
      </c>
      <c r="Z16" s="291">
        <v>2023</v>
      </c>
      <c r="AA16" s="291">
        <v>12</v>
      </c>
      <c r="AB16" s="291">
        <v>5026003002</v>
      </c>
      <c r="AC16" s="291">
        <v>1160903005</v>
      </c>
      <c r="AD16" s="291">
        <v>0</v>
      </c>
      <c r="AE16" s="291">
        <v>0</v>
      </c>
      <c r="AF16" s="291">
        <v>0</v>
      </c>
      <c r="AG16" s="291">
        <v>1160605001</v>
      </c>
      <c r="AH16" s="291">
        <v>1449</v>
      </c>
      <c r="AI16" s="291" t="s">
        <v>497</v>
      </c>
      <c r="AJ16" s="308">
        <v>0.01</v>
      </c>
      <c r="AK16" s="309">
        <f t="shared" si="4"/>
        <v>30970</v>
      </c>
      <c r="AL16" s="309">
        <f t="shared" si="5"/>
        <v>30970</v>
      </c>
      <c r="AM16" s="309">
        <f t="shared" si="5"/>
        <v>30970</v>
      </c>
      <c r="AN16" s="309"/>
      <c r="AO16" s="309"/>
      <c r="AP16" s="309">
        <f t="shared" si="0"/>
        <v>1393.68</v>
      </c>
      <c r="AQ16" s="309">
        <f t="shared" si="6"/>
        <v>1393.68</v>
      </c>
      <c r="AR16" s="309">
        <f t="shared" si="6"/>
        <v>1393.68</v>
      </c>
      <c r="AS16" s="309"/>
      <c r="AT16" s="309"/>
      <c r="AV16" s="311">
        <f t="shared" si="1"/>
        <v>3004090</v>
      </c>
      <c r="AW16" s="311">
        <f t="shared" si="2"/>
        <v>274554.96000000002</v>
      </c>
      <c r="AX16" s="312">
        <f t="shared" si="3"/>
        <v>0</v>
      </c>
    </row>
    <row r="17" spans="1:54">
      <c r="A17" s="291" t="s">
        <v>494</v>
      </c>
      <c r="B17" s="291"/>
      <c r="C17" s="291"/>
      <c r="D17" s="291">
        <v>1160505001</v>
      </c>
      <c r="E17" s="291">
        <v>0</v>
      </c>
      <c r="F17" s="291">
        <v>44003</v>
      </c>
      <c r="G17" s="306">
        <v>43174</v>
      </c>
      <c r="H17" s="306">
        <v>43905</v>
      </c>
      <c r="I17" s="291">
        <v>1367</v>
      </c>
      <c r="J17" s="307">
        <v>492613</v>
      </c>
      <c r="K17" s="307">
        <v>11823</v>
      </c>
      <c r="L17" s="307">
        <v>0</v>
      </c>
      <c r="M17" s="291" t="s">
        <v>495</v>
      </c>
      <c r="N17" s="307">
        <v>492613</v>
      </c>
      <c r="O17" s="307">
        <v>11823</v>
      </c>
      <c r="P17" s="307">
        <v>336701</v>
      </c>
      <c r="Q17" s="291">
        <v>1</v>
      </c>
      <c r="R17" s="291" t="s">
        <v>496</v>
      </c>
      <c r="S17" s="291">
        <v>100</v>
      </c>
      <c r="T17" s="307">
        <v>492613</v>
      </c>
      <c r="U17" s="307">
        <v>11823</v>
      </c>
      <c r="V17" s="291">
        <v>100</v>
      </c>
      <c r="W17" s="307">
        <v>9316826</v>
      </c>
      <c r="X17" s="291">
        <v>2</v>
      </c>
      <c r="Y17" s="291">
        <v>1160902010</v>
      </c>
      <c r="Z17" s="291">
        <v>2023</v>
      </c>
      <c r="AA17" s="291">
        <v>12</v>
      </c>
      <c r="AB17" s="291">
        <v>5026003002</v>
      </c>
      <c r="AC17" s="291">
        <v>1160903005</v>
      </c>
      <c r="AD17" s="291">
        <v>0</v>
      </c>
      <c r="AE17" s="291">
        <v>0</v>
      </c>
      <c r="AF17" s="291">
        <v>0</v>
      </c>
      <c r="AG17" s="291">
        <v>1160605001</v>
      </c>
      <c r="AH17" s="291">
        <v>1367</v>
      </c>
      <c r="AI17" s="291" t="s">
        <v>497</v>
      </c>
      <c r="AJ17" s="308">
        <v>0.01</v>
      </c>
      <c r="AK17" s="309">
        <f t="shared" si="4"/>
        <v>4926.13</v>
      </c>
      <c r="AL17" s="309">
        <f t="shared" si="5"/>
        <v>4926.13</v>
      </c>
      <c r="AM17" s="309">
        <f t="shared" si="5"/>
        <v>4926.13</v>
      </c>
      <c r="AN17" s="309"/>
      <c r="AO17" s="309"/>
      <c r="AP17" s="309">
        <f t="shared" si="0"/>
        <v>59.115000000000002</v>
      </c>
      <c r="AQ17" s="309">
        <f t="shared" si="6"/>
        <v>59.115000000000002</v>
      </c>
      <c r="AR17" s="309">
        <f t="shared" si="6"/>
        <v>59.115000000000002</v>
      </c>
      <c r="AS17" s="309"/>
      <c r="AT17" s="309"/>
      <c r="AV17" s="311">
        <f t="shared" si="1"/>
        <v>477834.61</v>
      </c>
      <c r="AW17" s="311">
        <f t="shared" si="2"/>
        <v>11645.655000000001</v>
      </c>
      <c r="AX17" s="312">
        <f t="shared" si="3"/>
        <v>0</v>
      </c>
    </row>
    <row r="18" spans="1:54">
      <c r="A18" s="291" t="s">
        <v>494</v>
      </c>
      <c r="B18" s="291"/>
      <c r="C18" s="291"/>
      <c r="D18" s="291">
        <v>1160505001</v>
      </c>
      <c r="E18" s="291">
        <v>0</v>
      </c>
      <c r="F18" s="291">
        <v>44169</v>
      </c>
      <c r="G18" s="306">
        <v>43195</v>
      </c>
      <c r="H18" s="306">
        <v>43926</v>
      </c>
      <c r="I18" s="291">
        <v>1347</v>
      </c>
      <c r="J18" s="307">
        <v>5000000</v>
      </c>
      <c r="K18" s="307">
        <v>473750</v>
      </c>
      <c r="L18" s="307">
        <v>0</v>
      </c>
      <c r="M18" s="291" t="s">
        <v>495</v>
      </c>
      <c r="N18" s="307">
        <v>5000000</v>
      </c>
      <c r="O18" s="307">
        <v>473750</v>
      </c>
      <c r="P18" s="307">
        <v>3367500</v>
      </c>
      <c r="Q18" s="291">
        <v>1</v>
      </c>
      <c r="R18" s="291" t="s">
        <v>496</v>
      </c>
      <c r="S18" s="291">
        <v>100</v>
      </c>
      <c r="T18" s="307">
        <v>5000000</v>
      </c>
      <c r="U18" s="307">
        <v>473750</v>
      </c>
      <c r="V18" s="291">
        <v>100</v>
      </c>
      <c r="W18" s="307">
        <v>9316826</v>
      </c>
      <c r="X18" s="291">
        <v>2</v>
      </c>
      <c r="Y18" s="291">
        <v>1160902010</v>
      </c>
      <c r="Z18" s="291">
        <v>2023</v>
      </c>
      <c r="AA18" s="291">
        <v>12</v>
      </c>
      <c r="AB18" s="291">
        <v>5026003002</v>
      </c>
      <c r="AC18" s="291">
        <v>1160903005</v>
      </c>
      <c r="AD18" s="291">
        <v>0</v>
      </c>
      <c r="AE18" s="291">
        <v>0</v>
      </c>
      <c r="AF18" s="291">
        <v>0</v>
      </c>
      <c r="AG18" s="291">
        <v>1160605001</v>
      </c>
      <c r="AH18" s="291">
        <v>1367</v>
      </c>
      <c r="AI18" s="291" t="s">
        <v>497</v>
      </c>
      <c r="AJ18" s="308">
        <v>0.01</v>
      </c>
      <c r="AK18" s="309">
        <f t="shared" si="4"/>
        <v>50000</v>
      </c>
      <c r="AL18" s="309">
        <f t="shared" si="5"/>
        <v>50000</v>
      </c>
      <c r="AM18" s="309">
        <f t="shared" si="5"/>
        <v>50000</v>
      </c>
      <c r="AN18" s="309"/>
      <c r="AO18" s="309"/>
      <c r="AP18" s="309">
        <f t="shared" si="0"/>
        <v>2368.75</v>
      </c>
      <c r="AQ18" s="309">
        <f t="shared" si="6"/>
        <v>2368.75</v>
      </c>
      <c r="AR18" s="309">
        <f t="shared" si="6"/>
        <v>2368.75</v>
      </c>
      <c r="AS18" s="309"/>
      <c r="AT18" s="309"/>
      <c r="AV18" s="311">
        <f t="shared" si="1"/>
        <v>4850000</v>
      </c>
      <c r="AW18" s="311">
        <f t="shared" si="2"/>
        <v>466643.75</v>
      </c>
      <c r="AX18" s="312">
        <f t="shared" si="3"/>
        <v>0</v>
      </c>
      <c r="BA18" s="153" t="s">
        <v>512</v>
      </c>
    </row>
    <row r="19" spans="1:54">
      <c r="A19" s="291" t="s">
        <v>494</v>
      </c>
      <c r="B19" s="291"/>
      <c r="C19" s="291"/>
      <c r="D19" s="291">
        <v>1160505001</v>
      </c>
      <c r="E19" s="291">
        <v>0</v>
      </c>
      <c r="F19" s="291">
        <v>44496</v>
      </c>
      <c r="G19" s="306">
        <v>43237</v>
      </c>
      <c r="H19" s="306">
        <v>43968</v>
      </c>
      <c r="I19" s="291">
        <v>1305</v>
      </c>
      <c r="J19" s="307">
        <v>5000000</v>
      </c>
      <c r="K19" s="307">
        <v>526250</v>
      </c>
      <c r="L19" s="307">
        <v>0</v>
      </c>
      <c r="M19" s="291" t="s">
        <v>495</v>
      </c>
      <c r="N19" s="307">
        <v>5000000</v>
      </c>
      <c r="O19" s="307">
        <v>526250</v>
      </c>
      <c r="P19" s="307">
        <v>3262500</v>
      </c>
      <c r="Q19" s="291">
        <v>1</v>
      </c>
      <c r="R19" s="291" t="s">
        <v>496</v>
      </c>
      <c r="S19" s="291">
        <v>100</v>
      </c>
      <c r="T19" s="307">
        <v>5000000</v>
      </c>
      <c r="U19" s="307">
        <v>526250</v>
      </c>
      <c r="V19" s="291">
        <v>100</v>
      </c>
      <c r="W19" s="307">
        <v>9316826</v>
      </c>
      <c r="X19" s="291">
        <v>2</v>
      </c>
      <c r="Y19" s="291">
        <v>1160902010</v>
      </c>
      <c r="Z19" s="291">
        <v>2023</v>
      </c>
      <c r="AA19" s="291">
        <v>12</v>
      </c>
      <c r="AB19" s="291">
        <v>5026003002</v>
      </c>
      <c r="AC19" s="291">
        <v>1160903005</v>
      </c>
      <c r="AD19" s="291">
        <v>0</v>
      </c>
      <c r="AE19" s="291">
        <v>0</v>
      </c>
      <c r="AF19" s="291">
        <v>0</v>
      </c>
      <c r="AG19" s="291">
        <v>1160605001</v>
      </c>
      <c r="AH19" s="291">
        <v>1367</v>
      </c>
      <c r="AI19" s="291" t="s">
        <v>497</v>
      </c>
      <c r="AJ19" s="308">
        <v>0.01</v>
      </c>
      <c r="AK19" s="309">
        <f t="shared" si="4"/>
        <v>50000</v>
      </c>
      <c r="AL19" s="309">
        <f t="shared" si="5"/>
        <v>50000</v>
      </c>
      <c r="AM19" s="309">
        <f t="shared" si="5"/>
        <v>50000</v>
      </c>
      <c r="AN19" s="309"/>
      <c r="AO19" s="309"/>
      <c r="AP19" s="309">
        <f t="shared" si="0"/>
        <v>2631.25</v>
      </c>
      <c r="AQ19" s="309">
        <f t="shared" si="6"/>
        <v>2631.25</v>
      </c>
      <c r="AR19" s="309">
        <f t="shared" si="6"/>
        <v>2631.25</v>
      </c>
      <c r="AS19" s="309"/>
      <c r="AT19" s="309"/>
      <c r="AV19" s="311">
        <f t="shared" si="1"/>
        <v>4850000</v>
      </c>
      <c r="AW19" s="311">
        <f t="shared" si="2"/>
        <v>518356.25</v>
      </c>
      <c r="AX19" s="312">
        <f t="shared" si="3"/>
        <v>0</v>
      </c>
      <c r="BA19" s="154" t="s">
        <v>505</v>
      </c>
      <c r="BB19" s="154" t="s">
        <v>506</v>
      </c>
    </row>
    <row r="20" spans="1:54">
      <c r="A20" s="291" t="s">
        <v>494</v>
      </c>
      <c r="B20" s="291"/>
      <c r="C20" s="291"/>
      <c r="D20" s="291">
        <v>1160505001</v>
      </c>
      <c r="E20" s="291">
        <v>0</v>
      </c>
      <c r="F20" s="291">
        <v>46991</v>
      </c>
      <c r="G20" s="306">
        <v>43643</v>
      </c>
      <c r="H20" s="306">
        <v>44739</v>
      </c>
      <c r="I20" s="291">
        <v>545</v>
      </c>
      <c r="J20" s="307">
        <v>309573</v>
      </c>
      <c r="K20" s="307">
        <v>31476</v>
      </c>
      <c r="L20" s="307">
        <v>0</v>
      </c>
      <c r="M20" s="291" t="s">
        <v>495</v>
      </c>
      <c r="N20" s="307">
        <v>309573</v>
      </c>
      <c r="O20" s="307">
        <v>31476</v>
      </c>
      <c r="P20" s="307">
        <v>84359</v>
      </c>
      <c r="Q20" s="291">
        <v>1</v>
      </c>
      <c r="R20" s="291" t="s">
        <v>496</v>
      </c>
      <c r="S20" s="291">
        <v>100</v>
      </c>
      <c r="T20" s="307">
        <v>309573</v>
      </c>
      <c r="U20" s="307">
        <v>31476</v>
      </c>
      <c r="V20" s="291">
        <v>100</v>
      </c>
      <c r="W20" s="307">
        <v>5896841</v>
      </c>
      <c r="X20" s="291">
        <v>2</v>
      </c>
      <c r="Y20" s="291">
        <v>1160902010</v>
      </c>
      <c r="Z20" s="291">
        <v>2023</v>
      </c>
      <c r="AA20" s="291">
        <v>12</v>
      </c>
      <c r="AB20" s="291">
        <v>5026003002</v>
      </c>
      <c r="AC20" s="291">
        <v>1160903005</v>
      </c>
      <c r="AD20" s="291">
        <v>0</v>
      </c>
      <c r="AE20" s="291">
        <v>0</v>
      </c>
      <c r="AF20" s="291">
        <v>0</v>
      </c>
      <c r="AG20" s="291">
        <v>1160605001</v>
      </c>
      <c r="AH20" s="291">
        <v>545</v>
      </c>
      <c r="AI20" s="291" t="s">
        <v>498</v>
      </c>
      <c r="AJ20" s="308">
        <v>0.1</v>
      </c>
      <c r="AK20" s="309">
        <f t="shared" si="4"/>
        <v>30957.300000000003</v>
      </c>
      <c r="AL20" s="309">
        <f t="shared" si="5"/>
        <v>30957.300000000003</v>
      </c>
      <c r="AM20" s="309">
        <f t="shared" si="5"/>
        <v>30957.300000000003</v>
      </c>
      <c r="AN20" s="309"/>
      <c r="AO20" s="309"/>
      <c r="AP20" s="309">
        <f t="shared" si="0"/>
        <v>1573.8000000000002</v>
      </c>
      <c r="AQ20" s="309">
        <f t="shared" si="6"/>
        <v>1573.8000000000002</v>
      </c>
      <c r="AR20" s="309">
        <f t="shared" si="6"/>
        <v>1573.8000000000002</v>
      </c>
      <c r="AS20" s="309"/>
      <c r="AT20" s="309"/>
      <c r="AV20" s="311">
        <f t="shared" si="1"/>
        <v>216701.10000000003</v>
      </c>
      <c r="AW20" s="311">
        <f t="shared" si="2"/>
        <v>26754.600000000002</v>
      </c>
      <c r="AX20" s="312">
        <f t="shared" si="3"/>
        <v>0</v>
      </c>
      <c r="BA20" s="318" t="s">
        <v>503</v>
      </c>
      <c r="BB20" s="319">
        <v>9.9999999999999995E-21</v>
      </c>
    </row>
    <row r="21" spans="1:54">
      <c r="A21" s="291" t="s">
        <v>494</v>
      </c>
      <c r="B21" s="291"/>
      <c r="C21" s="291"/>
      <c r="D21" s="291">
        <v>1160405001</v>
      </c>
      <c r="E21" s="291">
        <v>0</v>
      </c>
      <c r="F21" s="291">
        <v>45971</v>
      </c>
      <c r="G21" s="306">
        <v>43503</v>
      </c>
      <c r="H21" s="306">
        <v>44599</v>
      </c>
      <c r="I21" s="291">
        <v>685</v>
      </c>
      <c r="J21" s="307">
        <v>100000000</v>
      </c>
      <c r="K21" s="307">
        <v>0</v>
      </c>
      <c r="L21" s="307">
        <v>100000000</v>
      </c>
      <c r="M21" s="291" t="s">
        <v>495</v>
      </c>
      <c r="N21" s="307">
        <v>0</v>
      </c>
      <c r="O21" s="307">
        <v>0</v>
      </c>
      <c r="P21" s="307">
        <v>34250000</v>
      </c>
      <c r="Q21" s="291">
        <v>2</v>
      </c>
      <c r="R21" s="291" t="s">
        <v>496</v>
      </c>
      <c r="S21" s="291">
        <v>100</v>
      </c>
      <c r="T21" s="307">
        <v>0</v>
      </c>
      <c r="U21" s="307">
        <v>0</v>
      </c>
      <c r="V21" s="291">
        <v>100</v>
      </c>
      <c r="W21" s="307">
        <v>55252255</v>
      </c>
      <c r="X21" s="291">
        <v>2</v>
      </c>
      <c r="Y21" s="291">
        <v>1160902009</v>
      </c>
      <c r="Z21" s="291">
        <v>2023</v>
      </c>
      <c r="AA21" s="291">
        <v>12</v>
      </c>
      <c r="AB21" s="291">
        <v>5026003002</v>
      </c>
      <c r="AC21" s="291">
        <v>1160903005</v>
      </c>
      <c r="AD21" s="291">
        <v>0</v>
      </c>
      <c r="AE21" s="291">
        <v>0</v>
      </c>
      <c r="AF21" s="291">
        <v>1</v>
      </c>
      <c r="AG21" s="291">
        <v>1160605001</v>
      </c>
      <c r="AH21" s="291">
        <v>685</v>
      </c>
      <c r="AI21" s="291" t="s">
        <v>114</v>
      </c>
      <c r="AJ21" s="308">
        <v>0.5</v>
      </c>
      <c r="AK21" s="309">
        <f t="shared" si="4"/>
        <v>50000000</v>
      </c>
      <c r="AL21" s="309">
        <f t="shared" si="5"/>
        <v>50000000</v>
      </c>
      <c r="AM21" s="309"/>
      <c r="AN21" s="309"/>
      <c r="AO21" s="309"/>
      <c r="AP21" s="309">
        <f t="shared" si="0"/>
        <v>0</v>
      </c>
      <c r="AQ21" s="309">
        <f t="shared" si="6"/>
        <v>0</v>
      </c>
      <c r="AR21" s="309">
        <f t="shared" si="6"/>
        <v>0</v>
      </c>
      <c r="AS21" s="309"/>
      <c r="AT21" s="309"/>
      <c r="AV21" s="311">
        <f t="shared" si="1"/>
        <v>0</v>
      </c>
      <c r="AW21" s="311">
        <f t="shared" si="2"/>
        <v>0</v>
      </c>
      <c r="AX21" s="312">
        <f t="shared" si="3"/>
        <v>100000000</v>
      </c>
      <c r="AY21" s="312">
        <f>+AX21-L21</f>
        <v>0</v>
      </c>
      <c r="BA21" s="318" t="s">
        <v>114</v>
      </c>
      <c r="BB21" s="319">
        <v>0.5</v>
      </c>
    </row>
    <row r="22" spans="1:54">
      <c r="A22" s="291" t="s">
        <v>494</v>
      </c>
      <c r="B22" s="291"/>
      <c r="C22" s="291"/>
      <c r="D22" s="291">
        <v>1160505001</v>
      </c>
      <c r="E22" s="291">
        <v>0</v>
      </c>
      <c r="F22" s="291">
        <v>46556</v>
      </c>
      <c r="G22" s="306">
        <v>43563</v>
      </c>
      <c r="H22" s="306">
        <v>44294</v>
      </c>
      <c r="I22" s="291">
        <v>984</v>
      </c>
      <c r="J22" s="307">
        <v>700000</v>
      </c>
      <c r="K22" s="307">
        <v>0</v>
      </c>
      <c r="L22" s="307">
        <v>0</v>
      </c>
      <c r="M22" s="291" t="s">
        <v>495</v>
      </c>
      <c r="N22" s="307">
        <v>700000</v>
      </c>
      <c r="O22" s="307">
        <v>0</v>
      </c>
      <c r="P22" s="307">
        <v>344400</v>
      </c>
      <c r="Q22" s="291">
        <v>1</v>
      </c>
      <c r="R22" s="291" t="s">
        <v>496</v>
      </c>
      <c r="S22" s="291">
        <v>100</v>
      </c>
      <c r="T22" s="307">
        <v>700000</v>
      </c>
      <c r="U22" s="307">
        <v>0</v>
      </c>
      <c r="V22" s="291">
        <v>400</v>
      </c>
      <c r="W22" s="307">
        <v>5845013.4000000004</v>
      </c>
      <c r="X22" s="291">
        <v>2</v>
      </c>
      <c r="Y22" s="291">
        <v>1160902010</v>
      </c>
      <c r="Z22" s="291">
        <v>2023</v>
      </c>
      <c r="AA22" s="291">
        <v>12</v>
      </c>
      <c r="AB22" s="291">
        <v>5026003002</v>
      </c>
      <c r="AC22" s="291">
        <v>1160903005</v>
      </c>
      <c r="AD22" s="291">
        <v>0</v>
      </c>
      <c r="AE22" s="291">
        <v>0</v>
      </c>
      <c r="AF22" s="291">
        <v>0</v>
      </c>
      <c r="AG22" s="291">
        <v>1160605001</v>
      </c>
      <c r="AH22" s="291">
        <v>984</v>
      </c>
      <c r="AI22" s="291" t="s">
        <v>499</v>
      </c>
      <c r="AJ22" s="308">
        <v>0.05</v>
      </c>
      <c r="AK22" s="309">
        <f t="shared" si="4"/>
        <v>35000</v>
      </c>
      <c r="AL22" s="309">
        <f t="shared" si="5"/>
        <v>35000</v>
      </c>
      <c r="AM22" s="309">
        <f t="shared" si="5"/>
        <v>35000</v>
      </c>
      <c r="AN22" s="309"/>
      <c r="AO22" s="309"/>
      <c r="AP22" s="309">
        <f t="shared" si="0"/>
        <v>0</v>
      </c>
      <c r="AQ22" s="309">
        <f t="shared" si="6"/>
        <v>0</v>
      </c>
      <c r="AR22" s="309">
        <f t="shared" si="6"/>
        <v>0</v>
      </c>
      <c r="AS22" s="309"/>
      <c r="AT22" s="309"/>
      <c r="AV22" s="311">
        <f t="shared" si="1"/>
        <v>595000</v>
      </c>
      <c r="AW22" s="311">
        <f t="shared" si="2"/>
        <v>0</v>
      </c>
      <c r="AX22" s="312">
        <f t="shared" si="3"/>
        <v>0</v>
      </c>
      <c r="BA22" s="318" t="s">
        <v>507</v>
      </c>
      <c r="BB22" s="320">
        <v>0.3</v>
      </c>
    </row>
    <row r="23" spans="1:54">
      <c r="A23" s="291" t="s">
        <v>494</v>
      </c>
      <c r="B23" s="291"/>
      <c r="C23" s="291"/>
      <c r="D23" s="291">
        <v>1160505004</v>
      </c>
      <c r="E23" s="291">
        <v>43875</v>
      </c>
      <c r="F23" s="291">
        <v>46149</v>
      </c>
      <c r="G23" s="306">
        <v>43518</v>
      </c>
      <c r="H23" s="306">
        <v>44614</v>
      </c>
      <c r="I23" s="291">
        <v>670</v>
      </c>
      <c r="J23" s="307">
        <v>17550000</v>
      </c>
      <c r="K23" s="307">
        <v>6318000</v>
      </c>
      <c r="L23" s="307">
        <v>0</v>
      </c>
      <c r="M23" s="291" t="s">
        <v>495</v>
      </c>
      <c r="N23" s="307">
        <v>17550000</v>
      </c>
      <c r="O23" s="307">
        <v>6318000</v>
      </c>
      <c r="P23" s="307">
        <v>5879250</v>
      </c>
      <c r="Q23" s="291">
        <v>1</v>
      </c>
      <c r="R23" s="291" t="s">
        <v>496</v>
      </c>
      <c r="S23" s="291">
        <v>100</v>
      </c>
      <c r="T23" s="307">
        <v>17550000</v>
      </c>
      <c r="U23" s="307">
        <v>6318000</v>
      </c>
      <c r="V23" s="291">
        <v>100</v>
      </c>
      <c r="W23" s="307">
        <v>17010243.600000001</v>
      </c>
      <c r="X23" s="291">
        <v>5</v>
      </c>
      <c r="Y23" s="291">
        <v>1160902010</v>
      </c>
      <c r="Z23" s="291">
        <v>2023</v>
      </c>
      <c r="AA23" s="291">
        <v>12</v>
      </c>
      <c r="AB23" s="291">
        <v>5026003002</v>
      </c>
      <c r="AC23" s="291">
        <v>1160903005</v>
      </c>
      <c r="AD23" s="291">
        <v>0</v>
      </c>
      <c r="AE23" s="291">
        <v>0</v>
      </c>
      <c r="AF23" s="291">
        <v>0</v>
      </c>
      <c r="AG23" s="291">
        <v>1160605001</v>
      </c>
      <c r="AH23" s="291">
        <v>670</v>
      </c>
      <c r="AI23" s="291" t="s">
        <v>498</v>
      </c>
      <c r="AJ23" s="308">
        <v>0.1</v>
      </c>
      <c r="AK23" s="309">
        <f t="shared" si="4"/>
        <v>1755000</v>
      </c>
      <c r="AL23" s="309">
        <f t="shared" si="5"/>
        <v>1755000</v>
      </c>
      <c r="AM23" s="309">
        <f t="shared" si="5"/>
        <v>1755000</v>
      </c>
      <c r="AN23" s="309"/>
      <c r="AO23" s="309"/>
      <c r="AP23" s="309">
        <f t="shared" si="0"/>
        <v>315900</v>
      </c>
      <c r="AQ23" s="309">
        <f t="shared" ref="AQ23:AR38" si="7">AP23</f>
        <v>315900</v>
      </c>
      <c r="AR23" s="309">
        <f t="shared" si="7"/>
        <v>315900</v>
      </c>
      <c r="AS23" s="309"/>
      <c r="AT23" s="309"/>
      <c r="AV23" s="311">
        <f t="shared" si="1"/>
        <v>12285000</v>
      </c>
      <c r="AW23" s="311">
        <f t="shared" si="2"/>
        <v>5370300</v>
      </c>
      <c r="AX23" s="312">
        <f t="shared" si="3"/>
        <v>0</v>
      </c>
      <c r="BA23" s="318" t="s">
        <v>508</v>
      </c>
      <c r="BB23" s="320">
        <v>0.1</v>
      </c>
    </row>
    <row r="24" spans="1:54">
      <c r="A24" s="291" t="s">
        <v>494</v>
      </c>
      <c r="B24" s="291"/>
      <c r="C24" s="291"/>
      <c r="D24" s="291">
        <v>1160505004</v>
      </c>
      <c r="E24" s="291">
        <v>0</v>
      </c>
      <c r="F24" s="291">
        <v>43086</v>
      </c>
      <c r="G24" s="306">
        <v>43518</v>
      </c>
      <c r="H24" s="306">
        <v>44614</v>
      </c>
      <c r="I24" s="291">
        <v>670</v>
      </c>
      <c r="J24" s="307">
        <v>0</v>
      </c>
      <c r="K24" s="307">
        <v>2990916</v>
      </c>
      <c r="L24" s="307">
        <v>0</v>
      </c>
      <c r="M24" s="291" t="s">
        <v>495</v>
      </c>
      <c r="N24" s="307">
        <v>0</v>
      </c>
      <c r="O24" s="307">
        <v>2990916</v>
      </c>
      <c r="P24" s="307">
        <v>0</v>
      </c>
      <c r="Q24" s="291">
        <v>1</v>
      </c>
      <c r="R24" s="291" t="s">
        <v>496</v>
      </c>
      <c r="S24" s="291">
        <v>100</v>
      </c>
      <c r="T24" s="307">
        <v>0</v>
      </c>
      <c r="U24" s="307">
        <v>2990916</v>
      </c>
      <c r="V24" s="291">
        <v>100</v>
      </c>
      <c r="W24" s="307">
        <v>17010243.600000001</v>
      </c>
      <c r="X24" s="291">
        <v>5</v>
      </c>
      <c r="Y24" s="291">
        <v>1160902010</v>
      </c>
      <c r="Z24" s="291">
        <v>2023</v>
      </c>
      <c r="AA24" s="291">
        <v>12</v>
      </c>
      <c r="AB24" s="291">
        <v>5026003002</v>
      </c>
      <c r="AC24" s="291">
        <v>1160903005</v>
      </c>
      <c r="AD24" s="291">
        <v>0</v>
      </c>
      <c r="AE24" s="291">
        <v>0</v>
      </c>
      <c r="AF24" s="291">
        <v>0</v>
      </c>
      <c r="AG24" s="291">
        <v>1160605001</v>
      </c>
      <c r="AH24" s="291">
        <v>670</v>
      </c>
      <c r="AI24" s="291" t="s">
        <v>498</v>
      </c>
      <c r="AJ24" s="308">
        <v>0.1</v>
      </c>
      <c r="AK24" s="309">
        <f t="shared" si="4"/>
        <v>0</v>
      </c>
      <c r="AL24" s="309">
        <f t="shared" si="5"/>
        <v>0</v>
      </c>
      <c r="AM24" s="309">
        <f t="shared" si="5"/>
        <v>0</v>
      </c>
      <c r="AN24" s="309"/>
      <c r="AO24" s="309"/>
      <c r="AP24" s="309">
        <f t="shared" si="0"/>
        <v>149545.80000000002</v>
      </c>
      <c r="AQ24" s="309">
        <f t="shared" si="7"/>
        <v>149545.80000000002</v>
      </c>
      <c r="AR24" s="309">
        <f t="shared" si="7"/>
        <v>149545.80000000002</v>
      </c>
      <c r="AS24" s="309"/>
      <c r="AT24" s="309"/>
      <c r="AV24" s="311">
        <f t="shared" si="1"/>
        <v>0</v>
      </c>
      <c r="AW24" s="311">
        <f t="shared" si="2"/>
        <v>2542278.6000000006</v>
      </c>
      <c r="AX24" s="312">
        <f t="shared" si="3"/>
        <v>0</v>
      </c>
      <c r="BA24" s="318" t="s">
        <v>509</v>
      </c>
      <c r="BB24" s="320">
        <v>0.05</v>
      </c>
    </row>
    <row r="25" spans="1:54">
      <c r="A25" s="291" t="s">
        <v>494</v>
      </c>
      <c r="B25" s="291"/>
      <c r="C25" s="291"/>
      <c r="D25" s="291">
        <v>1160505001</v>
      </c>
      <c r="E25" s="291">
        <v>0</v>
      </c>
      <c r="F25" s="291">
        <v>44075</v>
      </c>
      <c r="G25" s="306">
        <v>43182</v>
      </c>
      <c r="H25" s="306">
        <v>43913</v>
      </c>
      <c r="I25" s="291">
        <v>1359</v>
      </c>
      <c r="J25" s="307">
        <v>4000000</v>
      </c>
      <c r="K25" s="307">
        <v>506000</v>
      </c>
      <c r="L25" s="307">
        <v>0</v>
      </c>
      <c r="M25" s="291" t="s">
        <v>495</v>
      </c>
      <c r="N25" s="307">
        <v>4000000</v>
      </c>
      <c r="O25" s="307">
        <v>506000</v>
      </c>
      <c r="P25" s="307">
        <v>2718000</v>
      </c>
      <c r="Q25" s="291">
        <v>1</v>
      </c>
      <c r="R25" s="291" t="s">
        <v>496</v>
      </c>
      <c r="S25" s="291">
        <v>100</v>
      </c>
      <c r="T25" s="307">
        <v>4000000</v>
      </c>
      <c r="U25" s="307">
        <v>506000</v>
      </c>
      <c r="V25" s="291">
        <v>100</v>
      </c>
      <c r="W25" s="307">
        <v>2381667</v>
      </c>
      <c r="X25" s="291">
        <v>2</v>
      </c>
      <c r="Y25" s="291">
        <v>1160902010</v>
      </c>
      <c r="Z25" s="291">
        <v>2023</v>
      </c>
      <c r="AA25" s="291">
        <v>12</v>
      </c>
      <c r="AB25" s="291">
        <v>5026003002</v>
      </c>
      <c r="AC25" s="291">
        <v>1160903005</v>
      </c>
      <c r="AD25" s="291">
        <v>0</v>
      </c>
      <c r="AE25" s="291">
        <v>0</v>
      </c>
      <c r="AF25" s="291">
        <v>0</v>
      </c>
      <c r="AG25" s="291">
        <v>1160605001</v>
      </c>
      <c r="AH25" s="291">
        <v>1359</v>
      </c>
      <c r="AI25" s="291" t="s">
        <v>497</v>
      </c>
      <c r="AJ25" s="308">
        <v>0.01</v>
      </c>
      <c r="AK25" s="309">
        <f t="shared" si="4"/>
        <v>40000</v>
      </c>
      <c r="AL25" s="309">
        <f t="shared" si="5"/>
        <v>40000</v>
      </c>
      <c r="AM25" s="309">
        <f t="shared" si="5"/>
        <v>40000</v>
      </c>
      <c r="AN25" s="309"/>
      <c r="AO25" s="309"/>
      <c r="AP25" s="309">
        <f t="shared" si="0"/>
        <v>2530</v>
      </c>
      <c r="AQ25" s="309">
        <f t="shared" si="7"/>
        <v>2530</v>
      </c>
      <c r="AR25" s="309">
        <f t="shared" si="7"/>
        <v>2530</v>
      </c>
      <c r="AS25" s="309"/>
      <c r="AT25" s="309"/>
      <c r="AV25" s="311">
        <f t="shared" si="1"/>
        <v>3880000</v>
      </c>
      <c r="AW25" s="311">
        <f t="shared" si="2"/>
        <v>498410</v>
      </c>
      <c r="AX25" s="312">
        <f t="shared" si="3"/>
        <v>0</v>
      </c>
      <c r="BA25" s="318" t="s">
        <v>510</v>
      </c>
      <c r="BB25" s="320">
        <v>0.01</v>
      </c>
    </row>
    <row r="26" spans="1:54">
      <c r="A26" s="291" t="s">
        <v>494</v>
      </c>
      <c r="B26" s="291"/>
      <c r="C26" s="291"/>
      <c r="D26" s="291">
        <v>1160505001</v>
      </c>
      <c r="E26" s="291">
        <v>0</v>
      </c>
      <c r="F26" s="291">
        <v>46488</v>
      </c>
      <c r="G26" s="306">
        <v>43554</v>
      </c>
      <c r="H26" s="306">
        <v>44650</v>
      </c>
      <c r="I26" s="291">
        <v>632</v>
      </c>
      <c r="J26" s="307">
        <v>14998200</v>
      </c>
      <c r="K26" s="307">
        <v>2407222</v>
      </c>
      <c r="L26" s="307">
        <v>0</v>
      </c>
      <c r="M26" s="291" t="s">
        <v>495</v>
      </c>
      <c r="N26" s="307">
        <v>14998200</v>
      </c>
      <c r="O26" s="307">
        <v>2407222</v>
      </c>
      <c r="P26" s="307">
        <v>4739431</v>
      </c>
      <c r="Q26" s="291">
        <v>1</v>
      </c>
      <c r="R26" s="291" t="s">
        <v>496</v>
      </c>
      <c r="S26" s="291">
        <v>100</v>
      </c>
      <c r="T26" s="307">
        <v>14998200</v>
      </c>
      <c r="U26" s="307">
        <v>2407222</v>
      </c>
      <c r="V26" s="291">
        <v>100</v>
      </c>
      <c r="W26" s="307">
        <v>9355446</v>
      </c>
      <c r="X26" s="291">
        <v>2</v>
      </c>
      <c r="Y26" s="291">
        <v>1160902010</v>
      </c>
      <c r="Z26" s="291">
        <v>2023</v>
      </c>
      <c r="AA26" s="291">
        <v>12</v>
      </c>
      <c r="AB26" s="291">
        <v>5026003002</v>
      </c>
      <c r="AC26" s="291">
        <v>1160903005</v>
      </c>
      <c r="AD26" s="291">
        <v>0</v>
      </c>
      <c r="AE26" s="291">
        <v>0</v>
      </c>
      <c r="AF26" s="291">
        <v>0</v>
      </c>
      <c r="AG26" s="291">
        <v>1160605001</v>
      </c>
      <c r="AH26" s="291">
        <v>632</v>
      </c>
      <c r="AI26" s="291" t="s">
        <v>498</v>
      </c>
      <c r="AJ26" s="308">
        <v>0.1</v>
      </c>
      <c r="AK26" s="309">
        <f t="shared" si="4"/>
        <v>1499820</v>
      </c>
      <c r="AL26" s="309">
        <f t="shared" si="5"/>
        <v>1499820</v>
      </c>
      <c r="AM26" s="309">
        <f t="shared" si="5"/>
        <v>1499820</v>
      </c>
      <c r="AN26" s="309"/>
      <c r="AO26" s="309"/>
      <c r="AP26" s="309">
        <f t="shared" si="0"/>
        <v>120361.1</v>
      </c>
      <c r="AQ26" s="309">
        <f t="shared" si="7"/>
        <v>120361.1</v>
      </c>
      <c r="AR26" s="309">
        <f t="shared" si="7"/>
        <v>120361.1</v>
      </c>
      <c r="AS26" s="309"/>
      <c r="AT26" s="309"/>
      <c r="AV26" s="311">
        <f t="shared" si="1"/>
        <v>10498740</v>
      </c>
      <c r="AW26" s="311">
        <f t="shared" si="2"/>
        <v>2046138.6999999997</v>
      </c>
      <c r="AX26" s="312">
        <f t="shared" si="3"/>
        <v>0</v>
      </c>
    </row>
    <row r="27" spans="1:54">
      <c r="A27" s="291" t="s">
        <v>494</v>
      </c>
      <c r="B27" s="291"/>
      <c r="C27" s="291"/>
      <c r="D27" s="291">
        <v>1160505001</v>
      </c>
      <c r="E27" s="291">
        <v>0</v>
      </c>
      <c r="F27" s="291">
        <v>41319</v>
      </c>
      <c r="G27" s="306">
        <v>42771</v>
      </c>
      <c r="H27" s="306">
        <v>43136</v>
      </c>
      <c r="I27" s="291">
        <v>2127</v>
      </c>
      <c r="J27" s="307">
        <v>3000000</v>
      </c>
      <c r="K27" s="307">
        <v>300000</v>
      </c>
      <c r="L27" s="307">
        <v>0</v>
      </c>
      <c r="M27" s="291" t="s">
        <v>495</v>
      </c>
      <c r="N27" s="307">
        <v>3000000</v>
      </c>
      <c r="O27" s="307">
        <v>300000</v>
      </c>
      <c r="P27" s="307">
        <v>3190500</v>
      </c>
      <c r="Q27" s="291">
        <v>1</v>
      </c>
      <c r="R27" s="291" t="s">
        <v>496</v>
      </c>
      <c r="S27" s="291">
        <v>100</v>
      </c>
      <c r="T27" s="307">
        <v>3000000</v>
      </c>
      <c r="U27" s="307">
        <v>300000</v>
      </c>
      <c r="V27" s="291">
        <v>100</v>
      </c>
      <c r="W27" s="307">
        <v>0</v>
      </c>
      <c r="X27" s="291">
        <v>2</v>
      </c>
      <c r="Y27" s="291">
        <v>1160902010</v>
      </c>
      <c r="Z27" s="291">
        <v>2023</v>
      </c>
      <c r="AA27" s="291">
        <v>12</v>
      </c>
      <c r="AB27" s="291">
        <v>5026003002</v>
      </c>
      <c r="AC27" s="291">
        <v>1160903005</v>
      </c>
      <c r="AD27" s="291">
        <v>0</v>
      </c>
      <c r="AE27" s="291">
        <v>0</v>
      </c>
      <c r="AF27" s="291">
        <v>0</v>
      </c>
      <c r="AG27" s="291">
        <v>1160605001</v>
      </c>
      <c r="AH27" s="291">
        <v>2451</v>
      </c>
      <c r="AI27" s="291" t="s">
        <v>497</v>
      </c>
      <c r="AJ27" s="308">
        <v>0.01</v>
      </c>
      <c r="AK27" s="309">
        <f t="shared" si="4"/>
        <v>30000</v>
      </c>
      <c r="AL27" s="309">
        <f t="shared" si="5"/>
        <v>30000</v>
      </c>
      <c r="AM27" s="309">
        <f t="shared" si="5"/>
        <v>30000</v>
      </c>
      <c r="AN27" s="309"/>
      <c r="AO27" s="309"/>
      <c r="AP27" s="309">
        <f t="shared" si="0"/>
        <v>1500</v>
      </c>
      <c r="AQ27" s="309">
        <f t="shared" si="7"/>
        <v>1500</v>
      </c>
      <c r="AR27" s="309">
        <f t="shared" si="7"/>
        <v>1500</v>
      </c>
      <c r="AS27" s="309"/>
      <c r="AT27" s="309"/>
      <c r="AV27" s="311">
        <f t="shared" si="1"/>
        <v>2910000</v>
      </c>
      <c r="AW27" s="311">
        <f t="shared" si="2"/>
        <v>295500</v>
      </c>
      <c r="AX27" s="312">
        <f t="shared" si="3"/>
        <v>0</v>
      </c>
    </row>
    <row r="28" spans="1:54">
      <c r="A28" s="291" t="s">
        <v>494</v>
      </c>
      <c r="B28" s="291"/>
      <c r="C28" s="291"/>
      <c r="D28" s="291">
        <v>1160505002</v>
      </c>
      <c r="E28" s="291">
        <v>0</v>
      </c>
      <c r="F28" s="291">
        <v>39485</v>
      </c>
      <c r="G28" s="306">
        <v>42440</v>
      </c>
      <c r="H28" s="306">
        <v>42805</v>
      </c>
      <c r="I28" s="291">
        <v>2451</v>
      </c>
      <c r="J28" s="307">
        <v>1558000</v>
      </c>
      <c r="K28" s="307">
        <v>0</v>
      </c>
      <c r="L28" s="307">
        <v>0</v>
      </c>
      <c r="M28" s="291" t="s">
        <v>495</v>
      </c>
      <c r="N28" s="307">
        <v>1558000</v>
      </c>
      <c r="O28" s="307">
        <v>0</v>
      </c>
      <c r="P28" s="307">
        <v>1909329</v>
      </c>
      <c r="Q28" s="291">
        <v>1</v>
      </c>
      <c r="R28" s="291" t="s">
        <v>496</v>
      </c>
      <c r="S28" s="291">
        <v>100</v>
      </c>
      <c r="T28" s="307">
        <v>1558000</v>
      </c>
      <c r="U28" s="307">
        <v>0</v>
      </c>
      <c r="V28" s="291">
        <v>100</v>
      </c>
      <c r="W28" s="307">
        <v>0</v>
      </c>
      <c r="X28" s="291">
        <v>6</v>
      </c>
      <c r="Y28" s="291">
        <v>1160902010</v>
      </c>
      <c r="Z28" s="291">
        <v>2023</v>
      </c>
      <c r="AA28" s="291">
        <v>12</v>
      </c>
      <c r="AB28" s="291">
        <v>5026003002</v>
      </c>
      <c r="AC28" s="291">
        <v>1160903005</v>
      </c>
      <c r="AD28" s="291">
        <v>0</v>
      </c>
      <c r="AE28" s="291">
        <v>0</v>
      </c>
      <c r="AF28" s="291">
        <v>0</v>
      </c>
      <c r="AG28" s="291">
        <v>1160605001</v>
      </c>
      <c r="AH28" s="291">
        <v>2451</v>
      </c>
      <c r="AI28" s="291" t="s">
        <v>497</v>
      </c>
      <c r="AJ28" s="308">
        <v>0.01</v>
      </c>
      <c r="AK28" s="309">
        <f t="shared" si="4"/>
        <v>15580</v>
      </c>
      <c r="AL28" s="309">
        <f t="shared" si="5"/>
        <v>15580</v>
      </c>
      <c r="AM28" s="309">
        <f t="shared" si="5"/>
        <v>15580</v>
      </c>
      <c r="AN28" s="309"/>
      <c r="AO28" s="309"/>
      <c r="AP28" s="309">
        <f t="shared" si="0"/>
        <v>0</v>
      </c>
      <c r="AQ28" s="309">
        <f t="shared" si="7"/>
        <v>0</v>
      </c>
      <c r="AR28" s="309">
        <f t="shared" si="7"/>
        <v>0</v>
      </c>
      <c r="AS28" s="309"/>
      <c r="AT28" s="309"/>
      <c r="AV28" s="311">
        <f t="shared" si="1"/>
        <v>1511260</v>
      </c>
      <c r="AW28" s="311">
        <f t="shared" si="2"/>
        <v>0</v>
      </c>
      <c r="AX28" s="312">
        <f t="shared" si="3"/>
        <v>0</v>
      </c>
    </row>
    <row r="29" spans="1:54">
      <c r="A29" s="291" t="s">
        <v>494</v>
      </c>
      <c r="B29" s="291"/>
      <c r="C29" s="291"/>
      <c r="D29" s="291">
        <v>1160505002</v>
      </c>
      <c r="E29" s="291">
        <v>0</v>
      </c>
      <c r="F29" s="291">
        <v>41289</v>
      </c>
      <c r="G29" s="306">
        <v>42765</v>
      </c>
      <c r="H29" s="306">
        <v>43130</v>
      </c>
      <c r="I29" s="291">
        <v>2132</v>
      </c>
      <c r="J29" s="307">
        <v>1169607</v>
      </c>
      <c r="K29" s="307">
        <v>105264</v>
      </c>
      <c r="L29" s="307">
        <v>0</v>
      </c>
      <c r="M29" s="291" t="s">
        <v>495</v>
      </c>
      <c r="N29" s="307">
        <v>1169607</v>
      </c>
      <c r="O29" s="307">
        <v>105264</v>
      </c>
      <c r="P29" s="307">
        <v>1246801</v>
      </c>
      <c r="Q29" s="291">
        <v>1</v>
      </c>
      <c r="R29" s="291" t="s">
        <v>496</v>
      </c>
      <c r="S29" s="291">
        <v>100</v>
      </c>
      <c r="T29" s="307">
        <v>1169607</v>
      </c>
      <c r="U29" s="307">
        <v>105264</v>
      </c>
      <c r="V29" s="291">
        <v>100</v>
      </c>
      <c r="W29" s="307">
        <v>0</v>
      </c>
      <c r="X29" s="291">
        <v>6</v>
      </c>
      <c r="Y29" s="291">
        <v>1160902010</v>
      </c>
      <c r="Z29" s="291">
        <v>2023</v>
      </c>
      <c r="AA29" s="291">
        <v>12</v>
      </c>
      <c r="AB29" s="291">
        <v>5026003002</v>
      </c>
      <c r="AC29" s="291">
        <v>1160903005</v>
      </c>
      <c r="AD29" s="291">
        <v>0</v>
      </c>
      <c r="AE29" s="291">
        <v>0</v>
      </c>
      <c r="AF29" s="291">
        <v>0</v>
      </c>
      <c r="AG29" s="291">
        <v>1160605001</v>
      </c>
      <c r="AH29" s="291">
        <v>2451</v>
      </c>
      <c r="AI29" s="291" t="s">
        <v>497</v>
      </c>
      <c r="AJ29" s="308">
        <v>0.01</v>
      </c>
      <c r="AK29" s="309">
        <f t="shared" si="4"/>
        <v>11696.07</v>
      </c>
      <c r="AL29" s="309">
        <f t="shared" si="5"/>
        <v>11696.07</v>
      </c>
      <c r="AM29" s="309">
        <f t="shared" si="5"/>
        <v>11696.07</v>
      </c>
      <c r="AN29" s="309"/>
      <c r="AO29" s="309"/>
      <c r="AP29" s="309">
        <f t="shared" si="0"/>
        <v>526.32000000000005</v>
      </c>
      <c r="AQ29" s="309">
        <f t="shared" si="7"/>
        <v>526.32000000000005</v>
      </c>
      <c r="AR29" s="309">
        <f t="shared" si="7"/>
        <v>526.32000000000005</v>
      </c>
      <c r="AS29" s="309"/>
      <c r="AT29" s="309"/>
      <c r="AV29" s="311">
        <f t="shared" si="1"/>
        <v>1134518.7899999998</v>
      </c>
      <c r="AW29" s="311">
        <f t="shared" si="2"/>
        <v>103685.03999999998</v>
      </c>
      <c r="AX29" s="312">
        <f t="shared" si="3"/>
        <v>0</v>
      </c>
    </row>
    <row r="30" spans="1:54">
      <c r="A30" s="291" t="s">
        <v>494</v>
      </c>
      <c r="B30" s="291"/>
      <c r="C30" s="291"/>
      <c r="D30" s="291">
        <v>1160405004</v>
      </c>
      <c r="E30" s="291">
        <v>41039</v>
      </c>
      <c r="F30" s="291">
        <v>45284</v>
      </c>
      <c r="G30" s="306">
        <v>43351</v>
      </c>
      <c r="H30" s="306">
        <v>44447</v>
      </c>
      <c r="I30" s="291">
        <v>834</v>
      </c>
      <c r="J30" s="307">
        <v>14095269</v>
      </c>
      <c r="K30" s="307">
        <v>1353148</v>
      </c>
      <c r="L30" s="307">
        <v>12685789</v>
      </c>
      <c r="M30" s="291" t="s">
        <v>495</v>
      </c>
      <c r="N30" s="307">
        <v>1409480</v>
      </c>
      <c r="O30" s="307">
        <v>1353148</v>
      </c>
      <c r="P30" s="307">
        <v>5877727</v>
      </c>
      <c r="Q30" s="291">
        <v>2</v>
      </c>
      <c r="R30" s="291" t="s">
        <v>496</v>
      </c>
      <c r="S30" s="291">
        <v>100</v>
      </c>
      <c r="T30" s="307">
        <v>1409480</v>
      </c>
      <c r="U30" s="307">
        <v>1353148</v>
      </c>
      <c r="V30" s="291">
        <v>500</v>
      </c>
      <c r="W30" s="307">
        <v>48540203</v>
      </c>
      <c r="X30" s="291">
        <v>5</v>
      </c>
      <c r="Y30" s="291">
        <v>1160902009</v>
      </c>
      <c r="Z30" s="291">
        <v>2023</v>
      </c>
      <c r="AA30" s="291">
        <v>12</v>
      </c>
      <c r="AB30" s="291">
        <v>5026003002</v>
      </c>
      <c r="AC30" s="291">
        <v>1160903005</v>
      </c>
      <c r="AD30" s="291">
        <v>0</v>
      </c>
      <c r="AE30" s="291">
        <v>0</v>
      </c>
      <c r="AF30" s="291">
        <v>1</v>
      </c>
      <c r="AG30" s="291">
        <v>1160605001</v>
      </c>
      <c r="AH30" s="291">
        <v>834</v>
      </c>
      <c r="AI30" s="291" t="s">
        <v>499</v>
      </c>
      <c r="AJ30" s="308">
        <v>0.05</v>
      </c>
      <c r="AK30" s="309">
        <f t="shared" si="4"/>
        <v>704763.45000000007</v>
      </c>
      <c r="AL30" s="309">
        <f t="shared" si="5"/>
        <v>704763.45000000007</v>
      </c>
      <c r="AM30" s="309">
        <f t="shared" si="5"/>
        <v>704763.45000000007</v>
      </c>
      <c r="AN30" s="309"/>
      <c r="AO30" s="309"/>
      <c r="AP30" s="309">
        <f t="shared" si="0"/>
        <v>33828.700000000004</v>
      </c>
      <c r="AQ30" s="309">
        <f t="shared" si="7"/>
        <v>33828.700000000004</v>
      </c>
      <c r="AR30" s="309">
        <f t="shared" si="7"/>
        <v>33828.700000000004</v>
      </c>
      <c r="AS30" s="309"/>
      <c r="AT30" s="309"/>
      <c r="AV30" s="311">
        <f t="shared" si="1"/>
        <v>11980978.650000002</v>
      </c>
      <c r="AW30" s="311">
        <f t="shared" si="2"/>
        <v>1251661.9000000001</v>
      </c>
      <c r="AX30" s="312">
        <f t="shared" si="3"/>
        <v>12685789</v>
      </c>
      <c r="AY30" s="312">
        <f>+AX30-L30</f>
        <v>0</v>
      </c>
    </row>
    <row r="31" spans="1:54">
      <c r="A31" s="291" t="s">
        <v>494</v>
      </c>
      <c r="B31" s="291"/>
      <c r="C31" s="291"/>
      <c r="D31" s="291">
        <v>1160405004</v>
      </c>
      <c r="E31" s="291">
        <v>0</v>
      </c>
      <c r="F31" s="291">
        <v>41039</v>
      </c>
      <c r="G31" s="306">
        <v>43351</v>
      </c>
      <c r="H31" s="306">
        <v>44447</v>
      </c>
      <c r="I31" s="291">
        <v>834</v>
      </c>
      <c r="J31" s="307">
        <v>0</v>
      </c>
      <c r="K31" s="307">
        <v>7552684</v>
      </c>
      <c r="L31" s="307">
        <v>0</v>
      </c>
      <c r="M31" s="291" t="s">
        <v>495</v>
      </c>
      <c r="N31" s="307">
        <v>0</v>
      </c>
      <c r="O31" s="307">
        <v>7552684</v>
      </c>
      <c r="P31" s="307">
        <v>0</v>
      </c>
      <c r="Q31" s="291">
        <v>2</v>
      </c>
      <c r="R31" s="291" t="s">
        <v>496</v>
      </c>
      <c r="S31" s="291">
        <v>100</v>
      </c>
      <c r="T31" s="307">
        <v>0</v>
      </c>
      <c r="U31" s="307">
        <v>7552684</v>
      </c>
      <c r="V31" s="291">
        <v>500</v>
      </c>
      <c r="W31" s="307">
        <v>48540203</v>
      </c>
      <c r="X31" s="291">
        <v>5</v>
      </c>
      <c r="Y31" s="291">
        <v>1160902009</v>
      </c>
      <c r="Z31" s="291">
        <v>2023</v>
      </c>
      <c r="AA31" s="291">
        <v>12</v>
      </c>
      <c r="AB31" s="291">
        <v>5026003002</v>
      </c>
      <c r="AC31" s="291">
        <v>1160903005</v>
      </c>
      <c r="AD31" s="291">
        <v>0</v>
      </c>
      <c r="AE31" s="291">
        <v>0</v>
      </c>
      <c r="AF31" s="291">
        <v>1</v>
      </c>
      <c r="AG31" s="291">
        <v>1160605001</v>
      </c>
      <c r="AH31" s="291">
        <v>834</v>
      </c>
      <c r="AI31" s="291" t="s">
        <v>499</v>
      </c>
      <c r="AJ31" s="308">
        <v>0.05</v>
      </c>
      <c r="AK31" s="309">
        <f t="shared" si="4"/>
        <v>0</v>
      </c>
      <c r="AL31" s="309">
        <f t="shared" si="5"/>
        <v>0</v>
      </c>
      <c r="AM31" s="309">
        <f t="shared" si="5"/>
        <v>0</v>
      </c>
      <c r="AN31" s="309"/>
      <c r="AO31" s="309"/>
      <c r="AP31" s="309">
        <f t="shared" si="0"/>
        <v>188817.1</v>
      </c>
      <c r="AQ31" s="309">
        <f t="shared" si="7"/>
        <v>188817.1</v>
      </c>
      <c r="AR31" s="309">
        <f t="shared" si="7"/>
        <v>188817.1</v>
      </c>
      <c r="AS31" s="309"/>
      <c r="AT31" s="309"/>
      <c r="AV31" s="311">
        <f t="shared" si="1"/>
        <v>0</v>
      </c>
      <c r="AW31" s="311">
        <f t="shared" si="2"/>
        <v>6986232.7000000011</v>
      </c>
      <c r="AX31" s="312">
        <f t="shared" si="3"/>
        <v>0</v>
      </c>
    </row>
    <row r="32" spans="1:54">
      <c r="A32" s="291" t="s">
        <v>494</v>
      </c>
      <c r="B32" s="291"/>
      <c r="C32" s="291"/>
      <c r="D32" s="291">
        <v>1160505001</v>
      </c>
      <c r="E32" s="291">
        <v>0</v>
      </c>
      <c r="F32" s="291">
        <v>34601</v>
      </c>
      <c r="G32" s="306">
        <v>41686</v>
      </c>
      <c r="H32" s="306">
        <v>42782</v>
      </c>
      <c r="I32" s="291">
        <v>2476</v>
      </c>
      <c r="J32" s="307">
        <v>3410500</v>
      </c>
      <c r="K32" s="307">
        <v>0</v>
      </c>
      <c r="L32" s="307">
        <v>0</v>
      </c>
      <c r="M32" s="291" t="s">
        <v>495</v>
      </c>
      <c r="N32" s="307">
        <v>3410500</v>
      </c>
      <c r="O32" s="307">
        <v>0</v>
      </c>
      <c r="P32" s="307">
        <v>4222199</v>
      </c>
      <c r="Q32" s="291">
        <v>1</v>
      </c>
      <c r="R32" s="291" t="s">
        <v>496</v>
      </c>
      <c r="S32" s="291">
        <v>100</v>
      </c>
      <c r="T32" s="307">
        <v>3410500</v>
      </c>
      <c r="U32" s="307">
        <v>0</v>
      </c>
      <c r="V32" s="291">
        <v>100</v>
      </c>
      <c r="W32" s="307">
        <v>0</v>
      </c>
      <c r="X32" s="291">
        <v>2</v>
      </c>
      <c r="Y32" s="291">
        <v>1160902010</v>
      </c>
      <c r="Z32" s="291">
        <v>2023</v>
      </c>
      <c r="AA32" s="291">
        <v>12</v>
      </c>
      <c r="AB32" s="291">
        <v>5026003002</v>
      </c>
      <c r="AC32" s="291">
        <v>1160903005</v>
      </c>
      <c r="AD32" s="291">
        <v>0</v>
      </c>
      <c r="AE32" s="291">
        <v>0</v>
      </c>
      <c r="AF32" s="291">
        <v>0</v>
      </c>
      <c r="AG32" s="291">
        <v>1160605001</v>
      </c>
      <c r="AH32" s="291">
        <v>2476</v>
      </c>
      <c r="AI32" s="291" t="s">
        <v>497</v>
      </c>
      <c r="AJ32" s="308">
        <v>0.01</v>
      </c>
      <c r="AK32" s="309">
        <f t="shared" si="4"/>
        <v>34105</v>
      </c>
      <c r="AL32" s="309">
        <f t="shared" si="5"/>
        <v>34105</v>
      </c>
      <c r="AM32" s="309">
        <f t="shared" si="5"/>
        <v>34105</v>
      </c>
      <c r="AN32" s="309"/>
      <c r="AO32" s="309"/>
      <c r="AP32" s="309">
        <f t="shared" si="0"/>
        <v>0</v>
      </c>
      <c r="AQ32" s="309">
        <f t="shared" si="7"/>
        <v>0</v>
      </c>
      <c r="AR32" s="309">
        <f t="shared" si="7"/>
        <v>0</v>
      </c>
      <c r="AS32" s="309"/>
      <c r="AT32" s="309"/>
      <c r="AV32" s="311">
        <f t="shared" si="1"/>
        <v>3308185</v>
      </c>
      <c r="AW32" s="311">
        <f t="shared" si="2"/>
        <v>0</v>
      </c>
      <c r="AX32" s="312">
        <f t="shared" si="3"/>
        <v>0</v>
      </c>
    </row>
    <row r="33" spans="1:51">
      <c r="A33" s="291" t="s">
        <v>494</v>
      </c>
      <c r="B33" s="291"/>
      <c r="C33" s="291"/>
      <c r="D33" s="291">
        <v>1160505002</v>
      </c>
      <c r="E33" s="291">
        <v>0</v>
      </c>
      <c r="F33" s="291">
        <v>43413</v>
      </c>
      <c r="G33" s="306">
        <v>43126</v>
      </c>
      <c r="H33" s="306">
        <v>43491</v>
      </c>
      <c r="I33" s="291">
        <v>1776</v>
      </c>
      <c r="J33" s="307">
        <v>1108200</v>
      </c>
      <c r="K33" s="307">
        <v>0</v>
      </c>
      <c r="L33" s="307">
        <v>0</v>
      </c>
      <c r="M33" s="291" t="s">
        <v>495</v>
      </c>
      <c r="N33" s="307">
        <v>1108200</v>
      </c>
      <c r="O33" s="307">
        <v>0</v>
      </c>
      <c r="P33" s="307">
        <v>984082</v>
      </c>
      <c r="Q33" s="291">
        <v>1</v>
      </c>
      <c r="R33" s="291" t="s">
        <v>496</v>
      </c>
      <c r="S33" s="291">
        <v>100</v>
      </c>
      <c r="T33" s="307">
        <v>1108200</v>
      </c>
      <c r="U33" s="307">
        <v>0</v>
      </c>
      <c r="V33" s="291">
        <v>100</v>
      </c>
      <c r="W33" s="307">
        <v>1464036</v>
      </c>
      <c r="X33" s="291">
        <v>6</v>
      </c>
      <c r="Y33" s="291">
        <v>1160902010</v>
      </c>
      <c r="Z33" s="291">
        <v>2023</v>
      </c>
      <c r="AA33" s="291">
        <v>12</v>
      </c>
      <c r="AB33" s="291">
        <v>5026003002</v>
      </c>
      <c r="AC33" s="291">
        <v>1160903005</v>
      </c>
      <c r="AD33" s="291">
        <v>0</v>
      </c>
      <c r="AE33" s="291">
        <v>0</v>
      </c>
      <c r="AF33" s="291">
        <v>0</v>
      </c>
      <c r="AG33" s="291">
        <v>1160605001</v>
      </c>
      <c r="AH33" s="291">
        <v>1776</v>
      </c>
      <c r="AI33" s="291" t="s">
        <v>497</v>
      </c>
      <c r="AJ33" s="308">
        <v>0.01</v>
      </c>
      <c r="AK33" s="309">
        <f t="shared" si="4"/>
        <v>11082</v>
      </c>
      <c r="AL33" s="309">
        <f t="shared" si="5"/>
        <v>11082</v>
      </c>
      <c r="AM33" s="309">
        <f t="shared" si="5"/>
        <v>11082</v>
      </c>
      <c r="AN33" s="309"/>
      <c r="AO33" s="309"/>
      <c r="AP33" s="309">
        <f t="shared" si="0"/>
        <v>0</v>
      </c>
      <c r="AQ33" s="309">
        <f t="shared" si="7"/>
        <v>0</v>
      </c>
      <c r="AR33" s="309">
        <f t="shared" si="7"/>
        <v>0</v>
      </c>
      <c r="AS33" s="309"/>
      <c r="AT33" s="309"/>
      <c r="AV33" s="311">
        <f t="shared" si="1"/>
        <v>1074954</v>
      </c>
      <c r="AW33" s="311">
        <f t="shared" si="2"/>
        <v>0</v>
      </c>
      <c r="AX33" s="312">
        <f t="shared" si="3"/>
        <v>0</v>
      </c>
    </row>
    <row r="34" spans="1:51">
      <c r="A34" s="291" t="s">
        <v>494</v>
      </c>
      <c r="B34" s="291"/>
      <c r="C34" s="291"/>
      <c r="D34" s="291">
        <v>1160505001</v>
      </c>
      <c r="E34" s="291">
        <v>0</v>
      </c>
      <c r="F34" s="291">
        <v>45615</v>
      </c>
      <c r="G34" s="306">
        <v>43463</v>
      </c>
      <c r="H34" s="306">
        <v>44559</v>
      </c>
      <c r="I34" s="291">
        <v>723</v>
      </c>
      <c r="J34" s="307">
        <v>6000000</v>
      </c>
      <c r="K34" s="307">
        <v>1784000</v>
      </c>
      <c r="L34" s="307">
        <v>0</v>
      </c>
      <c r="M34" s="291" t="s">
        <v>495</v>
      </c>
      <c r="N34" s="307">
        <v>6000000</v>
      </c>
      <c r="O34" s="307">
        <v>1784000</v>
      </c>
      <c r="P34" s="307">
        <v>2169000</v>
      </c>
      <c r="Q34" s="291">
        <v>1</v>
      </c>
      <c r="R34" s="291" t="s">
        <v>496</v>
      </c>
      <c r="S34" s="291">
        <v>100</v>
      </c>
      <c r="T34" s="307">
        <v>6000000</v>
      </c>
      <c r="U34" s="307">
        <v>1784000</v>
      </c>
      <c r="V34" s="291">
        <v>100</v>
      </c>
      <c r="W34" s="307">
        <v>1819442</v>
      </c>
      <c r="X34" s="291">
        <v>2</v>
      </c>
      <c r="Y34" s="291">
        <v>1160902010</v>
      </c>
      <c r="Z34" s="291">
        <v>2023</v>
      </c>
      <c r="AA34" s="291">
        <v>12</v>
      </c>
      <c r="AB34" s="291">
        <v>5026003002</v>
      </c>
      <c r="AC34" s="291">
        <v>1160903005</v>
      </c>
      <c r="AD34" s="291">
        <v>0</v>
      </c>
      <c r="AE34" s="291">
        <v>0</v>
      </c>
      <c r="AF34" s="291">
        <v>0</v>
      </c>
      <c r="AG34" s="291">
        <v>1160605001</v>
      </c>
      <c r="AH34" s="291">
        <v>723</v>
      </c>
      <c r="AI34" s="291" t="s">
        <v>499</v>
      </c>
      <c r="AJ34" s="308">
        <v>0.05</v>
      </c>
      <c r="AK34" s="309">
        <f t="shared" si="4"/>
        <v>300000</v>
      </c>
      <c r="AL34" s="309">
        <f t="shared" si="5"/>
        <v>300000</v>
      </c>
      <c r="AM34" s="309">
        <f t="shared" si="5"/>
        <v>300000</v>
      </c>
      <c r="AN34" s="309"/>
      <c r="AO34" s="309"/>
      <c r="AP34" s="309">
        <f t="shared" si="0"/>
        <v>44600</v>
      </c>
      <c r="AQ34" s="309">
        <f t="shared" si="7"/>
        <v>44600</v>
      </c>
      <c r="AR34" s="309">
        <f t="shared" si="7"/>
        <v>44600</v>
      </c>
      <c r="AS34" s="309"/>
      <c r="AT34" s="309"/>
      <c r="AV34" s="311">
        <f t="shared" si="1"/>
        <v>5100000</v>
      </c>
      <c r="AW34" s="311">
        <f t="shared" si="2"/>
        <v>1650200</v>
      </c>
      <c r="AX34" s="312">
        <f t="shared" si="3"/>
        <v>0</v>
      </c>
    </row>
    <row r="35" spans="1:51">
      <c r="A35" s="291" t="s">
        <v>494</v>
      </c>
      <c r="B35" s="291"/>
      <c r="C35" s="291"/>
      <c r="D35" s="291">
        <v>1160505001</v>
      </c>
      <c r="E35" s="291">
        <v>0</v>
      </c>
      <c r="F35" s="291">
        <v>46100</v>
      </c>
      <c r="G35" s="306">
        <v>43513</v>
      </c>
      <c r="H35" s="306">
        <v>44609</v>
      </c>
      <c r="I35" s="291">
        <v>675</v>
      </c>
      <c r="J35" s="307">
        <v>6000000</v>
      </c>
      <c r="K35" s="307">
        <v>2700000</v>
      </c>
      <c r="L35" s="307">
        <v>0</v>
      </c>
      <c r="M35" s="291" t="s">
        <v>495</v>
      </c>
      <c r="N35" s="307">
        <v>6000000</v>
      </c>
      <c r="O35" s="307">
        <v>2700000</v>
      </c>
      <c r="P35" s="307">
        <v>2025000</v>
      </c>
      <c r="Q35" s="291">
        <v>1</v>
      </c>
      <c r="R35" s="291" t="s">
        <v>496</v>
      </c>
      <c r="S35" s="291">
        <v>100</v>
      </c>
      <c r="T35" s="307">
        <v>6000000</v>
      </c>
      <c r="U35" s="307">
        <v>2700000</v>
      </c>
      <c r="V35" s="291">
        <v>100</v>
      </c>
      <c r="W35" s="307">
        <v>3054794</v>
      </c>
      <c r="X35" s="291">
        <v>2</v>
      </c>
      <c r="Y35" s="291">
        <v>1160902010</v>
      </c>
      <c r="Z35" s="291">
        <v>2023</v>
      </c>
      <c r="AA35" s="291">
        <v>12</v>
      </c>
      <c r="AB35" s="291">
        <v>5026003002</v>
      </c>
      <c r="AC35" s="291">
        <v>1160903005</v>
      </c>
      <c r="AD35" s="291">
        <v>0</v>
      </c>
      <c r="AE35" s="291">
        <v>0</v>
      </c>
      <c r="AF35" s="291">
        <v>0</v>
      </c>
      <c r="AG35" s="291">
        <v>1160605001</v>
      </c>
      <c r="AH35" s="291">
        <v>675</v>
      </c>
      <c r="AI35" s="291" t="s">
        <v>498</v>
      </c>
      <c r="AJ35" s="308">
        <v>0.1</v>
      </c>
      <c r="AK35" s="309">
        <f t="shared" si="4"/>
        <v>600000</v>
      </c>
      <c r="AL35" s="309">
        <f t="shared" si="5"/>
        <v>600000</v>
      </c>
      <c r="AM35" s="309">
        <f t="shared" si="5"/>
        <v>600000</v>
      </c>
      <c r="AN35" s="309"/>
      <c r="AO35" s="309"/>
      <c r="AP35" s="309">
        <f t="shared" si="0"/>
        <v>135000</v>
      </c>
      <c r="AQ35" s="309">
        <f t="shared" si="7"/>
        <v>135000</v>
      </c>
      <c r="AR35" s="309">
        <f t="shared" si="7"/>
        <v>135000</v>
      </c>
      <c r="AS35" s="309"/>
      <c r="AT35" s="309"/>
      <c r="AV35" s="311">
        <f t="shared" si="1"/>
        <v>4200000</v>
      </c>
      <c r="AW35" s="311">
        <f t="shared" si="2"/>
        <v>2295000</v>
      </c>
      <c r="AX35" s="312">
        <f t="shared" si="3"/>
        <v>0</v>
      </c>
    </row>
    <row r="36" spans="1:51">
      <c r="A36" s="291" t="s">
        <v>494</v>
      </c>
      <c r="B36" s="291"/>
      <c r="C36" s="291"/>
      <c r="D36" s="291">
        <v>1160505004</v>
      </c>
      <c r="E36" s="291">
        <v>43736</v>
      </c>
      <c r="F36" s="291">
        <v>47120</v>
      </c>
      <c r="G36" s="306">
        <v>43664</v>
      </c>
      <c r="H36" s="306">
        <v>44760</v>
      </c>
      <c r="I36" s="291">
        <v>524</v>
      </c>
      <c r="J36" s="307">
        <v>16500000</v>
      </c>
      <c r="K36" s="307">
        <v>8910000</v>
      </c>
      <c r="L36" s="307">
        <v>0</v>
      </c>
      <c r="M36" s="291" t="s">
        <v>495</v>
      </c>
      <c r="N36" s="307">
        <v>16500000</v>
      </c>
      <c r="O36" s="307">
        <v>8910000</v>
      </c>
      <c r="P36" s="307">
        <v>4323000</v>
      </c>
      <c r="Q36" s="291">
        <v>1</v>
      </c>
      <c r="R36" s="291" t="s">
        <v>496</v>
      </c>
      <c r="S36" s="291">
        <v>100</v>
      </c>
      <c r="T36" s="307">
        <v>16500000</v>
      </c>
      <c r="U36" s="307">
        <v>8910000</v>
      </c>
      <c r="V36" s="291">
        <v>100</v>
      </c>
      <c r="W36" s="307">
        <v>4542282</v>
      </c>
      <c r="X36" s="291">
        <v>5</v>
      </c>
      <c r="Y36" s="291">
        <v>1160902010</v>
      </c>
      <c r="Z36" s="291">
        <v>2023</v>
      </c>
      <c r="AA36" s="291">
        <v>12</v>
      </c>
      <c r="AB36" s="291">
        <v>5026003002</v>
      </c>
      <c r="AC36" s="291">
        <v>1160903005</v>
      </c>
      <c r="AD36" s="291">
        <v>0</v>
      </c>
      <c r="AE36" s="291">
        <v>0</v>
      </c>
      <c r="AF36" s="291">
        <v>0</v>
      </c>
      <c r="AG36" s="291">
        <v>1160605001</v>
      </c>
      <c r="AH36" s="291">
        <v>524</v>
      </c>
      <c r="AI36" s="291" t="s">
        <v>498</v>
      </c>
      <c r="AJ36" s="308">
        <v>0.1</v>
      </c>
      <c r="AK36" s="309">
        <f t="shared" si="4"/>
        <v>1650000</v>
      </c>
      <c r="AL36" s="309">
        <f t="shared" si="5"/>
        <v>1650000</v>
      </c>
      <c r="AM36" s="309">
        <f t="shared" si="5"/>
        <v>1650000</v>
      </c>
      <c r="AN36" s="309"/>
      <c r="AO36" s="309"/>
      <c r="AP36" s="309">
        <f t="shared" si="0"/>
        <v>445500</v>
      </c>
      <c r="AQ36" s="309">
        <f t="shared" si="7"/>
        <v>445500</v>
      </c>
      <c r="AR36" s="309">
        <f t="shared" si="7"/>
        <v>445500</v>
      </c>
      <c r="AS36" s="309"/>
      <c r="AT36" s="309"/>
      <c r="AV36" s="311">
        <f t="shared" si="1"/>
        <v>11550000</v>
      </c>
      <c r="AW36" s="311">
        <f t="shared" si="2"/>
        <v>7573500</v>
      </c>
      <c r="AX36" s="312">
        <f t="shared" si="3"/>
        <v>0</v>
      </c>
    </row>
    <row r="37" spans="1:51">
      <c r="A37" s="291" t="s">
        <v>494</v>
      </c>
      <c r="B37" s="291"/>
      <c r="C37" s="291"/>
      <c r="D37" s="291">
        <v>1160505004</v>
      </c>
      <c r="E37" s="291">
        <v>0</v>
      </c>
      <c r="F37" s="291">
        <v>43661</v>
      </c>
      <c r="G37" s="306">
        <v>43664</v>
      </c>
      <c r="H37" s="306">
        <v>44760</v>
      </c>
      <c r="I37" s="291">
        <v>524</v>
      </c>
      <c r="J37" s="307">
        <v>0</v>
      </c>
      <c r="K37" s="307">
        <v>3984470</v>
      </c>
      <c r="L37" s="307">
        <v>0</v>
      </c>
      <c r="M37" s="291" t="s">
        <v>495</v>
      </c>
      <c r="N37" s="307">
        <v>0</v>
      </c>
      <c r="O37" s="307">
        <v>3984470</v>
      </c>
      <c r="P37" s="307">
        <v>0</v>
      </c>
      <c r="Q37" s="291">
        <v>1</v>
      </c>
      <c r="R37" s="291" t="s">
        <v>496</v>
      </c>
      <c r="S37" s="291">
        <v>100</v>
      </c>
      <c r="T37" s="307">
        <v>0</v>
      </c>
      <c r="U37" s="307">
        <v>3984470</v>
      </c>
      <c r="V37" s="291">
        <v>100</v>
      </c>
      <c r="W37" s="307">
        <v>4542282</v>
      </c>
      <c r="X37" s="291">
        <v>5</v>
      </c>
      <c r="Y37" s="291">
        <v>1160902010</v>
      </c>
      <c r="Z37" s="291">
        <v>2023</v>
      </c>
      <c r="AA37" s="291">
        <v>12</v>
      </c>
      <c r="AB37" s="291">
        <v>5026003002</v>
      </c>
      <c r="AC37" s="291">
        <v>1160903005</v>
      </c>
      <c r="AD37" s="291">
        <v>0</v>
      </c>
      <c r="AE37" s="291">
        <v>0</v>
      </c>
      <c r="AF37" s="291">
        <v>0</v>
      </c>
      <c r="AG37" s="291">
        <v>1160605001</v>
      </c>
      <c r="AH37" s="291">
        <v>524</v>
      </c>
      <c r="AI37" s="291" t="s">
        <v>498</v>
      </c>
      <c r="AJ37" s="308">
        <v>0.1</v>
      </c>
      <c r="AK37" s="309">
        <f t="shared" si="4"/>
        <v>0</v>
      </c>
      <c r="AL37" s="309">
        <f t="shared" si="5"/>
        <v>0</v>
      </c>
      <c r="AM37" s="309">
        <f t="shared" si="5"/>
        <v>0</v>
      </c>
      <c r="AN37" s="309"/>
      <c r="AO37" s="309"/>
      <c r="AP37" s="309">
        <f t="shared" si="0"/>
        <v>199223.5</v>
      </c>
      <c r="AQ37" s="309">
        <f t="shared" si="7"/>
        <v>199223.5</v>
      </c>
      <c r="AR37" s="309">
        <f t="shared" si="7"/>
        <v>199223.5</v>
      </c>
      <c r="AS37" s="309"/>
      <c r="AT37" s="309"/>
      <c r="AV37" s="311">
        <f t="shared" si="1"/>
        <v>0</v>
      </c>
      <c r="AW37" s="311">
        <f t="shared" si="2"/>
        <v>3386799.5</v>
      </c>
      <c r="AX37" s="312">
        <f t="shared" si="3"/>
        <v>0</v>
      </c>
    </row>
    <row r="38" spans="1:51">
      <c r="A38" s="291" t="s">
        <v>494</v>
      </c>
      <c r="B38" s="291"/>
      <c r="C38" s="291"/>
      <c r="D38" s="291">
        <v>1160405004</v>
      </c>
      <c r="E38" s="291">
        <v>43876</v>
      </c>
      <c r="F38" s="291">
        <v>46513</v>
      </c>
      <c r="G38" s="306">
        <v>43555</v>
      </c>
      <c r="H38" s="306">
        <v>44651</v>
      </c>
      <c r="I38" s="291">
        <v>632</v>
      </c>
      <c r="J38" s="307">
        <v>236817411</v>
      </c>
      <c r="K38" s="307">
        <v>36785636</v>
      </c>
      <c r="L38" s="307">
        <v>823453750</v>
      </c>
      <c r="M38" s="291" t="s">
        <v>495</v>
      </c>
      <c r="N38" s="307">
        <v>0</v>
      </c>
      <c r="O38" s="307">
        <v>36785636</v>
      </c>
      <c r="P38" s="307">
        <v>74834302</v>
      </c>
      <c r="Q38" s="291">
        <v>2</v>
      </c>
      <c r="R38" s="291" t="s">
        <v>496</v>
      </c>
      <c r="S38" s="291">
        <v>100</v>
      </c>
      <c r="T38" s="307">
        <v>0</v>
      </c>
      <c r="U38" s="307">
        <v>36785636</v>
      </c>
      <c r="V38" s="291">
        <v>100</v>
      </c>
      <c r="W38" s="307">
        <v>40742607</v>
      </c>
      <c r="X38" s="291">
        <v>5</v>
      </c>
      <c r="Y38" s="291">
        <v>1160902009</v>
      </c>
      <c r="Z38" s="291">
        <v>2023</v>
      </c>
      <c r="AA38" s="291">
        <v>12</v>
      </c>
      <c r="AB38" s="291">
        <v>5026003002</v>
      </c>
      <c r="AC38" s="291">
        <v>1160903005</v>
      </c>
      <c r="AD38" s="291">
        <v>0</v>
      </c>
      <c r="AE38" s="291">
        <v>0</v>
      </c>
      <c r="AF38" s="291">
        <v>1</v>
      </c>
      <c r="AG38" s="291">
        <v>1160605001</v>
      </c>
      <c r="AH38" s="291">
        <v>632</v>
      </c>
      <c r="AI38" s="291" t="s">
        <v>498</v>
      </c>
      <c r="AJ38" s="308">
        <v>0.1</v>
      </c>
      <c r="AK38" s="309">
        <f t="shared" si="4"/>
        <v>23681741.100000001</v>
      </c>
      <c r="AL38" s="309">
        <f t="shared" si="5"/>
        <v>23681741.100000001</v>
      </c>
      <c r="AM38" s="309">
        <f t="shared" si="5"/>
        <v>23681741.100000001</v>
      </c>
      <c r="AN38" s="309"/>
      <c r="AO38" s="309"/>
      <c r="AP38" s="309">
        <f t="shared" si="0"/>
        <v>1839281.8</v>
      </c>
      <c r="AQ38" s="309">
        <f t="shared" si="7"/>
        <v>1839281.8</v>
      </c>
      <c r="AR38" s="309">
        <f t="shared" si="7"/>
        <v>1839281.8</v>
      </c>
      <c r="AS38" s="309"/>
      <c r="AT38" s="309"/>
      <c r="AV38" s="311">
        <f t="shared" si="1"/>
        <v>165772187.70000002</v>
      </c>
      <c r="AW38" s="311">
        <f t="shared" si="2"/>
        <v>31267790.600000001</v>
      </c>
      <c r="AX38" s="312">
        <f t="shared" si="3"/>
        <v>236817411</v>
      </c>
      <c r="AY38" s="312">
        <f>+AX38-L38</f>
        <v>-586636339</v>
      </c>
    </row>
    <row r="39" spans="1:51">
      <c r="A39" s="291" t="s">
        <v>494</v>
      </c>
      <c r="B39" s="291"/>
      <c r="C39" s="291"/>
      <c r="D39" s="291">
        <v>1160405004</v>
      </c>
      <c r="E39" s="291">
        <v>0</v>
      </c>
      <c r="F39" s="291">
        <v>43658</v>
      </c>
      <c r="G39" s="306">
        <v>43555</v>
      </c>
      <c r="H39" s="306">
        <v>44651</v>
      </c>
      <c r="I39" s="291">
        <v>632</v>
      </c>
      <c r="J39" s="307">
        <v>0</v>
      </c>
      <c r="K39" s="307">
        <v>35908760</v>
      </c>
      <c r="L39" s="307">
        <v>0</v>
      </c>
      <c r="M39" s="291" t="s">
        <v>495</v>
      </c>
      <c r="N39" s="307">
        <v>0</v>
      </c>
      <c r="O39" s="307">
        <v>35908760</v>
      </c>
      <c r="P39" s="307">
        <v>0</v>
      </c>
      <c r="Q39" s="291">
        <v>2</v>
      </c>
      <c r="R39" s="291" t="s">
        <v>496</v>
      </c>
      <c r="S39" s="291">
        <v>100</v>
      </c>
      <c r="T39" s="307">
        <v>0</v>
      </c>
      <c r="U39" s="307">
        <v>35908760</v>
      </c>
      <c r="V39" s="291">
        <v>100</v>
      </c>
      <c r="W39" s="307">
        <v>40742607</v>
      </c>
      <c r="X39" s="291">
        <v>5</v>
      </c>
      <c r="Y39" s="291">
        <v>1160902009</v>
      </c>
      <c r="Z39" s="291">
        <v>2023</v>
      </c>
      <c r="AA39" s="291">
        <v>12</v>
      </c>
      <c r="AB39" s="291">
        <v>5026003002</v>
      </c>
      <c r="AC39" s="291">
        <v>1160903005</v>
      </c>
      <c r="AD39" s="291">
        <v>0</v>
      </c>
      <c r="AE39" s="291">
        <v>0</v>
      </c>
      <c r="AF39" s="291">
        <v>1</v>
      </c>
      <c r="AG39" s="291">
        <v>1160605001</v>
      </c>
      <c r="AH39" s="291">
        <v>632</v>
      </c>
      <c r="AI39" s="291" t="s">
        <v>498</v>
      </c>
      <c r="AJ39" s="308">
        <v>0.1</v>
      </c>
      <c r="AK39" s="309">
        <f t="shared" si="4"/>
        <v>0</v>
      </c>
      <c r="AL39" s="309">
        <f t="shared" si="5"/>
        <v>0</v>
      </c>
      <c r="AM39" s="309">
        <f t="shared" si="5"/>
        <v>0</v>
      </c>
      <c r="AN39" s="309"/>
      <c r="AO39" s="309"/>
      <c r="AP39" s="309">
        <f t="shared" si="0"/>
        <v>1795438</v>
      </c>
      <c r="AQ39" s="309">
        <f t="shared" ref="AQ39:AR54" si="8">AP39</f>
        <v>1795438</v>
      </c>
      <c r="AR39" s="309">
        <f t="shared" si="8"/>
        <v>1795438</v>
      </c>
      <c r="AS39" s="309"/>
      <c r="AT39" s="309"/>
      <c r="AV39" s="311">
        <f t="shared" si="1"/>
        <v>0</v>
      </c>
      <c r="AW39" s="311">
        <f t="shared" si="2"/>
        <v>30522446</v>
      </c>
      <c r="AX39" s="312">
        <f t="shared" si="3"/>
        <v>0</v>
      </c>
    </row>
    <row r="40" spans="1:51">
      <c r="A40" s="291" t="s">
        <v>494</v>
      </c>
      <c r="B40" s="291"/>
      <c r="C40" s="291"/>
      <c r="D40" s="291">
        <v>1160505001</v>
      </c>
      <c r="E40" s="291">
        <v>0</v>
      </c>
      <c r="F40" s="291">
        <v>44680</v>
      </c>
      <c r="G40" s="306">
        <v>43258</v>
      </c>
      <c r="H40" s="306">
        <v>43623</v>
      </c>
      <c r="I40" s="291">
        <v>1645</v>
      </c>
      <c r="J40" s="307">
        <v>16000000</v>
      </c>
      <c r="K40" s="307">
        <v>1440000</v>
      </c>
      <c r="L40" s="307">
        <v>0</v>
      </c>
      <c r="M40" s="291" t="s">
        <v>495</v>
      </c>
      <c r="N40" s="307">
        <v>16000000</v>
      </c>
      <c r="O40" s="307">
        <v>1440000</v>
      </c>
      <c r="P40" s="307">
        <v>13160000</v>
      </c>
      <c r="Q40" s="291">
        <v>1</v>
      </c>
      <c r="R40" s="291" t="s">
        <v>496</v>
      </c>
      <c r="S40" s="291">
        <v>100</v>
      </c>
      <c r="T40" s="307">
        <v>16000000</v>
      </c>
      <c r="U40" s="307">
        <v>1440000</v>
      </c>
      <c r="V40" s="291">
        <v>100</v>
      </c>
      <c r="W40" s="307">
        <v>3796167</v>
      </c>
      <c r="X40" s="291">
        <v>2</v>
      </c>
      <c r="Y40" s="291">
        <v>1160902010</v>
      </c>
      <c r="Z40" s="291">
        <v>2023</v>
      </c>
      <c r="AA40" s="291">
        <v>12</v>
      </c>
      <c r="AB40" s="291">
        <v>5026003002</v>
      </c>
      <c r="AC40" s="291">
        <v>1160903005</v>
      </c>
      <c r="AD40" s="291">
        <v>0</v>
      </c>
      <c r="AE40" s="291">
        <v>0</v>
      </c>
      <c r="AF40" s="291">
        <v>0</v>
      </c>
      <c r="AG40" s="291">
        <v>1160605001</v>
      </c>
      <c r="AH40" s="291">
        <v>1645</v>
      </c>
      <c r="AI40" s="291" t="s">
        <v>497</v>
      </c>
      <c r="AJ40" s="308">
        <v>0.01</v>
      </c>
      <c r="AK40" s="309">
        <f t="shared" si="4"/>
        <v>160000</v>
      </c>
      <c r="AL40" s="309">
        <f t="shared" si="5"/>
        <v>160000</v>
      </c>
      <c r="AM40" s="309">
        <f t="shared" si="5"/>
        <v>160000</v>
      </c>
      <c r="AN40" s="309"/>
      <c r="AO40" s="309"/>
      <c r="AP40" s="309">
        <f t="shared" si="0"/>
        <v>7200</v>
      </c>
      <c r="AQ40" s="309">
        <f t="shared" si="8"/>
        <v>7200</v>
      </c>
      <c r="AR40" s="309">
        <f t="shared" si="8"/>
        <v>7200</v>
      </c>
      <c r="AS40" s="309"/>
      <c r="AT40" s="309"/>
      <c r="AV40" s="311">
        <f t="shared" si="1"/>
        <v>15520000</v>
      </c>
      <c r="AW40" s="311">
        <f t="shared" si="2"/>
        <v>1418400</v>
      </c>
      <c r="AX40" s="312">
        <f t="shared" si="3"/>
        <v>0</v>
      </c>
    </row>
    <row r="41" spans="1:51">
      <c r="A41" s="291" t="s">
        <v>494</v>
      </c>
      <c r="B41" s="291"/>
      <c r="C41" s="291"/>
      <c r="D41" s="291">
        <v>1160505005</v>
      </c>
      <c r="E41" s="291">
        <v>0</v>
      </c>
      <c r="F41" s="291">
        <v>46457</v>
      </c>
      <c r="G41" s="306">
        <v>43550</v>
      </c>
      <c r="H41" s="306">
        <v>43830</v>
      </c>
      <c r="I41" s="291">
        <v>1442</v>
      </c>
      <c r="J41" s="307">
        <v>10389822</v>
      </c>
      <c r="K41" s="307">
        <v>220784</v>
      </c>
      <c r="L41" s="307">
        <v>0</v>
      </c>
      <c r="M41" s="291" t="s">
        <v>495</v>
      </c>
      <c r="N41" s="307">
        <v>10389822</v>
      </c>
      <c r="O41" s="307">
        <v>220784</v>
      </c>
      <c r="P41" s="307">
        <v>7491062</v>
      </c>
      <c r="Q41" s="291">
        <v>1</v>
      </c>
      <c r="R41" s="291" t="s">
        <v>496</v>
      </c>
      <c r="S41" s="291">
        <v>100</v>
      </c>
      <c r="T41" s="307">
        <v>10389822</v>
      </c>
      <c r="U41" s="307">
        <v>220784</v>
      </c>
      <c r="V41" s="291">
        <v>100</v>
      </c>
      <c r="W41" s="307">
        <v>3796167</v>
      </c>
      <c r="X41" s="291">
        <v>13</v>
      </c>
      <c r="Y41" s="291">
        <v>1160902010</v>
      </c>
      <c r="Z41" s="291">
        <v>2023</v>
      </c>
      <c r="AA41" s="291">
        <v>12</v>
      </c>
      <c r="AB41" s="291">
        <v>5026003002</v>
      </c>
      <c r="AC41" s="291">
        <v>1160903005</v>
      </c>
      <c r="AD41" s="291">
        <v>0</v>
      </c>
      <c r="AE41" s="291">
        <v>0</v>
      </c>
      <c r="AF41" s="291">
        <v>0</v>
      </c>
      <c r="AG41" s="291">
        <v>1160605001</v>
      </c>
      <c r="AH41" s="291">
        <v>1645</v>
      </c>
      <c r="AI41" s="291" t="s">
        <v>497</v>
      </c>
      <c r="AJ41" s="308">
        <v>0.01</v>
      </c>
      <c r="AK41" s="309">
        <f t="shared" si="4"/>
        <v>103898.22</v>
      </c>
      <c r="AL41" s="309">
        <f t="shared" si="5"/>
        <v>103898.22</v>
      </c>
      <c r="AM41" s="309">
        <f t="shared" si="5"/>
        <v>103898.22</v>
      </c>
      <c r="AN41" s="309"/>
      <c r="AO41" s="309"/>
      <c r="AP41" s="309">
        <f t="shared" si="0"/>
        <v>1103.92</v>
      </c>
      <c r="AQ41" s="309">
        <f t="shared" si="8"/>
        <v>1103.92</v>
      </c>
      <c r="AR41" s="309">
        <f t="shared" si="8"/>
        <v>1103.92</v>
      </c>
      <c r="AS41" s="309"/>
      <c r="AT41" s="309"/>
      <c r="AV41" s="311">
        <f t="shared" si="1"/>
        <v>10078127.339999998</v>
      </c>
      <c r="AW41" s="311">
        <f t="shared" si="2"/>
        <v>217472.23999999996</v>
      </c>
      <c r="AX41" s="312">
        <f t="shared" si="3"/>
        <v>0</v>
      </c>
    </row>
    <row r="42" spans="1:51">
      <c r="A42" s="291" t="s">
        <v>494</v>
      </c>
      <c r="B42" s="291"/>
      <c r="C42" s="291"/>
      <c r="D42" s="291">
        <v>1160503001</v>
      </c>
      <c r="E42" s="291">
        <v>0</v>
      </c>
      <c r="F42" s="291">
        <v>44903</v>
      </c>
      <c r="G42" s="306">
        <v>43288</v>
      </c>
      <c r="H42" s="306">
        <v>45114</v>
      </c>
      <c r="I42" s="291">
        <v>175</v>
      </c>
      <c r="J42" s="307">
        <v>2307118</v>
      </c>
      <c r="K42" s="307">
        <v>915157</v>
      </c>
      <c r="L42" s="307">
        <v>0</v>
      </c>
      <c r="M42" s="291" t="s">
        <v>495</v>
      </c>
      <c r="N42" s="307">
        <v>2307118</v>
      </c>
      <c r="O42" s="307">
        <v>915157</v>
      </c>
      <c r="P42" s="307">
        <v>201873</v>
      </c>
      <c r="Q42" s="291">
        <v>1</v>
      </c>
      <c r="R42" s="291" t="s">
        <v>494</v>
      </c>
      <c r="S42" s="291">
        <v>100</v>
      </c>
      <c r="T42" s="307">
        <v>2307118</v>
      </c>
      <c r="U42" s="307">
        <v>915157</v>
      </c>
      <c r="V42" s="291">
        <v>100</v>
      </c>
      <c r="W42" s="307">
        <v>7443866</v>
      </c>
      <c r="X42" s="291">
        <v>14</v>
      </c>
      <c r="Y42" s="291">
        <v>1160902006</v>
      </c>
      <c r="Z42" s="291">
        <v>2023</v>
      </c>
      <c r="AA42" s="291">
        <v>12</v>
      </c>
      <c r="AB42" s="291">
        <v>5026003002</v>
      </c>
      <c r="AC42" s="291">
        <v>1160903003</v>
      </c>
      <c r="AD42" s="291">
        <v>0</v>
      </c>
      <c r="AE42" s="291">
        <v>0</v>
      </c>
      <c r="AF42" s="291">
        <v>0</v>
      </c>
      <c r="AG42" s="291">
        <v>1160603001</v>
      </c>
      <c r="AH42" s="291">
        <v>175</v>
      </c>
      <c r="AI42" s="291" t="s">
        <v>500</v>
      </c>
      <c r="AJ42" s="308">
        <v>0.3</v>
      </c>
      <c r="AK42" s="309">
        <f t="shared" si="4"/>
        <v>692135.4</v>
      </c>
      <c r="AL42" s="309">
        <f t="shared" si="5"/>
        <v>692135.4</v>
      </c>
      <c r="AM42" s="309">
        <f t="shared" si="5"/>
        <v>692135.4</v>
      </c>
      <c r="AN42" s="309"/>
      <c r="AO42" s="309"/>
      <c r="AP42" s="309">
        <f t="shared" si="0"/>
        <v>137273.54999999999</v>
      </c>
      <c r="AQ42" s="309">
        <f t="shared" si="8"/>
        <v>137273.54999999999</v>
      </c>
      <c r="AR42" s="309">
        <f t="shared" si="8"/>
        <v>137273.54999999999</v>
      </c>
      <c r="AS42" s="309"/>
      <c r="AT42" s="309"/>
      <c r="AV42" s="311">
        <f t="shared" si="1"/>
        <v>230711.80000000005</v>
      </c>
      <c r="AW42" s="311">
        <f t="shared" si="2"/>
        <v>503336.34999999992</v>
      </c>
      <c r="AX42" s="312">
        <f t="shared" si="3"/>
        <v>0</v>
      </c>
    </row>
    <row r="43" spans="1:51">
      <c r="A43" s="291" t="s">
        <v>494</v>
      </c>
      <c r="B43" s="291"/>
      <c r="C43" s="291"/>
      <c r="D43" s="291">
        <v>1160505001</v>
      </c>
      <c r="E43" s="291">
        <v>0</v>
      </c>
      <c r="F43" s="291">
        <v>44653</v>
      </c>
      <c r="G43" s="306">
        <v>43254</v>
      </c>
      <c r="H43" s="306">
        <v>43619</v>
      </c>
      <c r="I43" s="291">
        <v>1649</v>
      </c>
      <c r="J43" s="307">
        <v>1200000</v>
      </c>
      <c r="K43" s="307">
        <v>108000</v>
      </c>
      <c r="L43" s="307">
        <v>0</v>
      </c>
      <c r="M43" s="291" t="s">
        <v>495</v>
      </c>
      <c r="N43" s="307">
        <v>1200000</v>
      </c>
      <c r="O43" s="307">
        <v>108000</v>
      </c>
      <c r="P43" s="307">
        <v>989400</v>
      </c>
      <c r="Q43" s="291">
        <v>1</v>
      </c>
      <c r="R43" s="291" t="s">
        <v>496</v>
      </c>
      <c r="S43" s="291">
        <v>100</v>
      </c>
      <c r="T43" s="307">
        <v>1200000</v>
      </c>
      <c r="U43" s="307">
        <v>108000</v>
      </c>
      <c r="V43" s="291">
        <v>100</v>
      </c>
      <c r="W43" s="307">
        <v>1443199</v>
      </c>
      <c r="X43" s="291">
        <v>2</v>
      </c>
      <c r="Y43" s="291">
        <v>1160902010</v>
      </c>
      <c r="Z43" s="291">
        <v>2023</v>
      </c>
      <c r="AA43" s="291">
        <v>12</v>
      </c>
      <c r="AB43" s="291">
        <v>5026003002</v>
      </c>
      <c r="AC43" s="291">
        <v>1160903005</v>
      </c>
      <c r="AD43" s="291">
        <v>0</v>
      </c>
      <c r="AE43" s="291">
        <v>0</v>
      </c>
      <c r="AF43" s="291">
        <v>0</v>
      </c>
      <c r="AG43" s="291">
        <v>1160605001</v>
      </c>
      <c r="AH43" s="291">
        <v>1649</v>
      </c>
      <c r="AI43" s="291" t="s">
        <v>497</v>
      </c>
      <c r="AJ43" s="308">
        <v>0.01</v>
      </c>
      <c r="AK43" s="309">
        <f t="shared" si="4"/>
        <v>12000</v>
      </c>
      <c r="AL43" s="309">
        <f t="shared" si="5"/>
        <v>12000</v>
      </c>
      <c r="AM43" s="309">
        <f t="shared" si="5"/>
        <v>12000</v>
      </c>
      <c r="AN43" s="309"/>
      <c r="AO43" s="309"/>
      <c r="AP43" s="309">
        <f t="shared" si="0"/>
        <v>540</v>
      </c>
      <c r="AQ43" s="309">
        <f t="shared" si="8"/>
        <v>540</v>
      </c>
      <c r="AR43" s="309">
        <f t="shared" si="8"/>
        <v>540</v>
      </c>
      <c r="AS43" s="309"/>
      <c r="AT43" s="309"/>
      <c r="AV43" s="311">
        <f t="shared" si="1"/>
        <v>1164000</v>
      </c>
      <c r="AW43" s="311">
        <f t="shared" si="2"/>
        <v>106380</v>
      </c>
      <c r="AX43" s="312">
        <f t="shared" si="3"/>
        <v>0</v>
      </c>
    </row>
    <row r="44" spans="1:51">
      <c r="A44" s="291" t="s">
        <v>494</v>
      </c>
      <c r="B44" s="291"/>
      <c r="C44" s="291"/>
      <c r="D44" s="291">
        <v>1160505001</v>
      </c>
      <c r="E44" s="291">
        <v>0</v>
      </c>
      <c r="F44" s="291">
        <v>45569</v>
      </c>
      <c r="G44" s="306">
        <v>43451</v>
      </c>
      <c r="H44" s="306">
        <v>44182</v>
      </c>
      <c r="I44" s="291">
        <v>1095</v>
      </c>
      <c r="J44" s="307">
        <v>3500000</v>
      </c>
      <c r="K44" s="307">
        <v>356125</v>
      </c>
      <c r="L44" s="307">
        <v>0</v>
      </c>
      <c r="M44" s="291" t="s">
        <v>495</v>
      </c>
      <c r="N44" s="307">
        <v>3500000</v>
      </c>
      <c r="O44" s="307">
        <v>356125</v>
      </c>
      <c r="P44" s="307">
        <v>1916250</v>
      </c>
      <c r="Q44" s="291">
        <v>1</v>
      </c>
      <c r="R44" s="291" t="s">
        <v>496</v>
      </c>
      <c r="S44" s="291">
        <v>100</v>
      </c>
      <c r="T44" s="307">
        <v>3500000</v>
      </c>
      <c r="U44" s="307">
        <v>356125</v>
      </c>
      <c r="V44" s="291">
        <v>100</v>
      </c>
      <c r="W44" s="307">
        <v>3696363</v>
      </c>
      <c r="X44" s="291">
        <v>2</v>
      </c>
      <c r="Y44" s="291">
        <v>1160902010</v>
      </c>
      <c r="Z44" s="291">
        <v>2023</v>
      </c>
      <c r="AA44" s="291">
        <v>12</v>
      </c>
      <c r="AB44" s="291">
        <v>5026003002</v>
      </c>
      <c r="AC44" s="291">
        <v>1160903005</v>
      </c>
      <c r="AD44" s="291">
        <v>0</v>
      </c>
      <c r="AE44" s="291">
        <v>0</v>
      </c>
      <c r="AF44" s="291">
        <v>0</v>
      </c>
      <c r="AG44" s="291">
        <v>1160605001</v>
      </c>
      <c r="AH44" s="291">
        <v>1095</v>
      </c>
      <c r="AI44" s="291" t="s">
        <v>497</v>
      </c>
      <c r="AJ44" s="308">
        <v>0.01</v>
      </c>
      <c r="AK44" s="309">
        <f t="shared" si="4"/>
        <v>35000</v>
      </c>
      <c r="AL44" s="309">
        <f t="shared" si="5"/>
        <v>35000</v>
      </c>
      <c r="AM44" s="309">
        <f t="shared" si="5"/>
        <v>35000</v>
      </c>
      <c r="AN44" s="309"/>
      <c r="AO44" s="309"/>
      <c r="AP44" s="309">
        <f t="shared" si="0"/>
        <v>1780.625</v>
      </c>
      <c r="AQ44" s="309">
        <f t="shared" si="8"/>
        <v>1780.625</v>
      </c>
      <c r="AR44" s="309">
        <f t="shared" si="8"/>
        <v>1780.625</v>
      </c>
      <c r="AS44" s="309"/>
      <c r="AT44" s="309"/>
      <c r="AV44" s="311">
        <f t="shared" si="1"/>
        <v>3395000</v>
      </c>
      <c r="AW44" s="311">
        <f t="shared" si="2"/>
        <v>350783.125</v>
      </c>
      <c r="AX44" s="312">
        <f t="shared" si="3"/>
        <v>0</v>
      </c>
    </row>
    <row r="45" spans="1:51">
      <c r="A45" s="291" t="s">
        <v>494</v>
      </c>
      <c r="B45" s="291"/>
      <c r="C45" s="291"/>
      <c r="D45" s="291">
        <v>1160505004</v>
      </c>
      <c r="E45" s="291">
        <v>32090</v>
      </c>
      <c r="F45" s="291">
        <v>36099</v>
      </c>
      <c r="G45" s="306">
        <v>41837</v>
      </c>
      <c r="H45" s="306">
        <v>42933</v>
      </c>
      <c r="I45" s="291">
        <v>2325</v>
      </c>
      <c r="J45" s="307">
        <v>2603700</v>
      </c>
      <c r="K45" s="307">
        <v>859212</v>
      </c>
      <c r="L45" s="307">
        <v>0</v>
      </c>
      <c r="M45" s="291" t="s">
        <v>495</v>
      </c>
      <c r="N45" s="307">
        <v>2603700</v>
      </c>
      <c r="O45" s="307">
        <v>859212</v>
      </c>
      <c r="P45" s="307">
        <v>3026801</v>
      </c>
      <c r="Q45" s="291">
        <v>1</v>
      </c>
      <c r="R45" s="291" t="s">
        <v>496</v>
      </c>
      <c r="S45" s="291">
        <v>100</v>
      </c>
      <c r="T45" s="307">
        <v>2603700</v>
      </c>
      <c r="U45" s="307">
        <v>859212</v>
      </c>
      <c r="V45" s="291">
        <v>100</v>
      </c>
      <c r="W45" s="307">
        <v>5504856</v>
      </c>
      <c r="X45" s="291">
        <v>5</v>
      </c>
      <c r="Y45" s="291">
        <v>1160902010</v>
      </c>
      <c r="Z45" s="291">
        <v>2023</v>
      </c>
      <c r="AA45" s="291">
        <v>12</v>
      </c>
      <c r="AB45" s="291">
        <v>5026003002</v>
      </c>
      <c r="AC45" s="291">
        <v>1160903005</v>
      </c>
      <c r="AD45" s="291">
        <v>0</v>
      </c>
      <c r="AE45" s="291">
        <v>0</v>
      </c>
      <c r="AF45" s="291">
        <v>0</v>
      </c>
      <c r="AG45" s="291">
        <v>1160605001</v>
      </c>
      <c r="AH45" s="291">
        <v>2325</v>
      </c>
      <c r="AI45" s="291" t="s">
        <v>497</v>
      </c>
      <c r="AJ45" s="308">
        <v>0.01</v>
      </c>
      <c r="AK45" s="309">
        <f t="shared" si="4"/>
        <v>26037</v>
      </c>
      <c r="AL45" s="309">
        <f t="shared" si="5"/>
        <v>26037</v>
      </c>
      <c r="AM45" s="309">
        <f t="shared" si="5"/>
        <v>26037</v>
      </c>
      <c r="AN45" s="309"/>
      <c r="AO45" s="309"/>
      <c r="AP45" s="309">
        <f t="shared" si="0"/>
        <v>4296.0600000000004</v>
      </c>
      <c r="AQ45" s="309">
        <f t="shared" si="8"/>
        <v>4296.0600000000004</v>
      </c>
      <c r="AR45" s="309">
        <f t="shared" si="8"/>
        <v>4296.0600000000004</v>
      </c>
      <c r="AS45" s="309"/>
      <c r="AT45" s="309"/>
      <c r="AV45" s="311">
        <f t="shared" si="1"/>
        <v>2525589</v>
      </c>
      <c r="AW45" s="311">
        <f t="shared" si="2"/>
        <v>846323.81999999983</v>
      </c>
      <c r="AX45" s="312">
        <f t="shared" si="3"/>
        <v>0</v>
      </c>
    </row>
    <row r="46" spans="1:51">
      <c r="A46" s="291" t="s">
        <v>494</v>
      </c>
      <c r="B46" s="291"/>
      <c r="C46" s="291"/>
      <c r="D46" s="291">
        <v>1160505001</v>
      </c>
      <c r="E46" s="291">
        <v>0</v>
      </c>
      <c r="F46" s="291">
        <v>42245</v>
      </c>
      <c r="G46" s="306">
        <v>42877</v>
      </c>
      <c r="H46" s="306">
        <v>43242</v>
      </c>
      <c r="I46" s="291">
        <v>2020</v>
      </c>
      <c r="J46" s="307">
        <v>1500000</v>
      </c>
      <c r="K46" s="307">
        <v>135000</v>
      </c>
      <c r="L46" s="307">
        <v>0</v>
      </c>
      <c r="M46" s="291" t="s">
        <v>495</v>
      </c>
      <c r="N46" s="307">
        <v>1500000</v>
      </c>
      <c r="O46" s="307">
        <v>135000</v>
      </c>
      <c r="P46" s="307">
        <v>1515000</v>
      </c>
      <c r="Q46" s="291">
        <v>1</v>
      </c>
      <c r="R46" s="291" t="s">
        <v>496</v>
      </c>
      <c r="S46" s="291">
        <v>100</v>
      </c>
      <c r="T46" s="307">
        <v>1500000</v>
      </c>
      <c r="U46" s="307">
        <v>135000</v>
      </c>
      <c r="V46" s="291">
        <v>100</v>
      </c>
      <c r="W46" s="307">
        <v>566167</v>
      </c>
      <c r="X46" s="291">
        <v>2</v>
      </c>
      <c r="Y46" s="291">
        <v>1160902010</v>
      </c>
      <c r="Z46" s="291">
        <v>2023</v>
      </c>
      <c r="AA46" s="291">
        <v>12</v>
      </c>
      <c r="AB46" s="291">
        <v>5026003002</v>
      </c>
      <c r="AC46" s="291">
        <v>1160903005</v>
      </c>
      <c r="AD46" s="291">
        <v>0</v>
      </c>
      <c r="AE46" s="291">
        <v>0</v>
      </c>
      <c r="AF46" s="291">
        <v>0</v>
      </c>
      <c r="AG46" s="291">
        <v>1160605001</v>
      </c>
      <c r="AH46" s="291">
        <v>2020</v>
      </c>
      <c r="AI46" s="291" t="s">
        <v>497</v>
      </c>
      <c r="AJ46" s="308">
        <v>0.01</v>
      </c>
      <c r="AK46" s="309">
        <f t="shared" si="4"/>
        <v>15000</v>
      </c>
      <c r="AL46" s="309">
        <f t="shared" si="5"/>
        <v>15000</v>
      </c>
      <c r="AM46" s="309">
        <f t="shared" si="5"/>
        <v>15000</v>
      </c>
      <c r="AN46" s="309"/>
      <c r="AO46" s="309"/>
      <c r="AP46" s="309">
        <f t="shared" si="0"/>
        <v>675</v>
      </c>
      <c r="AQ46" s="309">
        <f t="shared" si="8"/>
        <v>675</v>
      </c>
      <c r="AR46" s="309">
        <f t="shared" si="8"/>
        <v>675</v>
      </c>
      <c r="AS46" s="309"/>
      <c r="AT46" s="309"/>
      <c r="AV46" s="311">
        <f t="shared" si="1"/>
        <v>1455000</v>
      </c>
      <c r="AW46" s="311">
        <f t="shared" si="2"/>
        <v>132975</v>
      </c>
      <c r="AX46" s="312">
        <f t="shared" si="3"/>
        <v>0</v>
      </c>
    </row>
    <row r="47" spans="1:51">
      <c r="A47" s="291" t="s">
        <v>494</v>
      </c>
      <c r="B47" s="291"/>
      <c r="C47" s="291"/>
      <c r="D47" s="291">
        <v>1160505001</v>
      </c>
      <c r="E47" s="291">
        <v>0</v>
      </c>
      <c r="F47" s="291">
        <v>43556</v>
      </c>
      <c r="G47" s="306">
        <v>43136</v>
      </c>
      <c r="H47" s="306">
        <v>43866</v>
      </c>
      <c r="I47" s="291">
        <v>1407</v>
      </c>
      <c r="J47" s="307">
        <v>2000000</v>
      </c>
      <c r="K47" s="307">
        <v>0</v>
      </c>
      <c r="L47" s="307">
        <v>0</v>
      </c>
      <c r="M47" s="291" t="s">
        <v>495</v>
      </c>
      <c r="N47" s="307">
        <v>2000000</v>
      </c>
      <c r="O47" s="307">
        <v>0</v>
      </c>
      <c r="P47" s="307">
        <v>1407000</v>
      </c>
      <c r="Q47" s="291">
        <v>1</v>
      </c>
      <c r="R47" s="291" t="s">
        <v>496</v>
      </c>
      <c r="S47" s="291">
        <v>100</v>
      </c>
      <c r="T47" s="307">
        <v>2000000</v>
      </c>
      <c r="U47" s="307">
        <v>0</v>
      </c>
      <c r="V47" s="291">
        <v>100</v>
      </c>
      <c r="W47" s="307">
        <v>5810131</v>
      </c>
      <c r="X47" s="291">
        <v>2</v>
      </c>
      <c r="Y47" s="291">
        <v>1160902010</v>
      </c>
      <c r="Z47" s="291">
        <v>2023</v>
      </c>
      <c r="AA47" s="291">
        <v>12</v>
      </c>
      <c r="AB47" s="291">
        <v>5026003002</v>
      </c>
      <c r="AC47" s="291">
        <v>1160903005</v>
      </c>
      <c r="AD47" s="291">
        <v>0</v>
      </c>
      <c r="AE47" s="291">
        <v>0</v>
      </c>
      <c r="AF47" s="291">
        <v>0</v>
      </c>
      <c r="AG47" s="291">
        <v>1160605001</v>
      </c>
      <c r="AH47" s="291">
        <v>1407</v>
      </c>
      <c r="AI47" s="291" t="s">
        <v>497</v>
      </c>
      <c r="AJ47" s="308">
        <v>0.01</v>
      </c>
      <c r="AK47" s="309">
        <f t="shared" si="4"/>
        <v>20000</v>
      </c>
      <c r="AL47" s="309">
        <f t="shared" si="5"/>
        <v>20000</v>
      </c>
      <c r="AM47" s="309">
        <f t="shared" si="5"/>
        <v>20000</v>
      </c>
      <c r="AN47" s="309"/>
      <c r="AO47" s="309"/>
      <c r="AP47" s="309">
        <f t="shared" si="0"/>
        <v>0</v>
      </c>
      <c r="AQ47" s="309">
        <f t="shared" si="8"/>
        <v>0</v>
      </c>
      <c r="AR47" s="309">
        <f t="shared" si="8"/>
        <v>0</v>
      </c>
      <c r="AS47" s="309"/>
      <c r="AT47" s="309"/>
      <c r="AV47" s="311">
        <f t="shared" si="1"/>
        <v>1940000</v>
      </c>
      <c r="AW47" s="311">
        <f t="shared" si="2"/>
        <v>0</v>
      </c>
      <c r="AX47" s="312">
        <f t="shared" si="3"/>
        <v>0</v>
      </c>
    </row>
    <row r="48" spans="1:51">
      <c r="A48" s="291" t="s">
        <v>494</v>
      </c>
      <c r="B48" s="291"/>
      <c r="C48" s="291"/>
      <c r="D48" s="291">
        <v>1160505001</v>
      </c>
      <c r="E48" s="291">
        <v>0</v>
      </c>
      <c r="F48" s="291">
        <v>46203</v>
      </c>
      <c r="G48" s="306">
        <v>43520</v>
      </c>
      <c r="H48" s="306">
        <v>44251</v>
      </c>
      <c r="I48" s="291">
        <v>1028</v>
      </c>
      <c r="J48" s="307">
        <v>4000000</v>
      </c>
      <c r="K48" s="307">
        <v>1440000</v>
      </c>
      <c r="L48" s="307">
        <v>0</v>
      </c>
      <c r="M48" s="291" t="s">
        <v>495</v>
      </c>
      <c r="N48" s="307">
        <v>4000000</v>
      </c>
      <c r="O48" s="307">
        <v>1440000</v>
      </c>
      <c r="P48" s="307">
        <v>2056000</v>
      </c>
      <c r="Q48" s="291">
        <v>1</v>
      </c>
      <c r="R48" s="291" t="s">
        <v>496</v>
      </c>
      <c r="S48" s="291">
        <v>100</v>
      </c>
      <c r="T48" s="307">
        <v>4000000</v>
      </c>
      <c r="U48" s="307">
        <v>1440000</v>
      </c>
      <c r="V48" s="291">
        <v>100</v>
      </c>
      <c r="W48" s="307">
        <v>5810131</v>
      </c>
      <c r="X48" s="291">
        <v>2</v>
      </c>
      <c r="Y48" s="291">
        <v>1160902010</v>
      </c>
      <c r="Z48" s="291">
        <v>2023</v>
      </c>
      <c r="AA48" s="291">
        <v>12</v>
      </c>
      <c r="AB48" s="291">
        <v>5026003002</v>
      </c>
      <c r="AC48" s="291">
        <v>1160903005</v>
      </c>
      <c r="AD48" s="291">
        <v>0</v>
      </c>
      <c r="AE48" s="291">
        <v>0</v>
      </c>
      <c r="AF48" s="291">
        <v>0</v>
      </c>
      <c r="AG48" s="291">
        <v>1160605001</v>
      </c>
      <c r="AH48" s="291">
        <v>1407</v>
      </c>
      <c r="AI48" s="291" t="s">
        <v>497</v>
      </c>
      <c r="AJ48" s="308">
        <v>0.01</v>
      </c>
      <c r="AK48" s="309">
        <f t="shared" si="4"/>
        <v>40000</v>
      </c>
      <c r="AL48" s="309">
        <f t="shared" si="5"/>
        <v>40000</v>
      </c>
      <c r="AM48" s="309">
        <f t="shared" si="5"/>
        <v>40000</v>
      </c>
      <c r="AN48" s="309"/>
      <c r="AO48" s="309"/>
      <c r="AP48" s="309">
        <f t="shared" si="0"/>
        <v>7200</v>
      </c>
      <c r="AQ48" s="309">
        <f t="shared" si="8"/>
        <v>7200</v>
      </c>
      <c r="AR48" s="309">
        <f t="shared" si="8"/>
        <v>7200</v>
      </c>
      <c r="AS48" s="309"/>
      <c r="AT48" s="309"/>
      <c r="AV48" s="311">
        <f t="shared" si="1"/>
        <v>3880000</v>
      </c>
      <c r="AW48" s="311">
        <f t="shared" si="2"/>
        <v>1418400</v>
      </c>
      <c r="AX48" s="312">
        <f t="shared" si="3"/>
        <v>0</v>
      </c>
    </row>
    <row r="49" spans="1:51">
      <c r="A49" s="291" t="s">
        <v>494</v>
      </c>
      <c r="B49" s="291"/>
      <c r="C49" s="291"/>
      <c r="D49" s="291">
        <v>1160504001</v>
      </c>
      <c r="E49" s="291">
        <v>0</v>
      </c>
      <c r="F49" s="291">
        <v>44798</v>
      </c>
      <c r="G49" s="306">
        <v>43275</v>
      </c>
      <c r="H49" s="306">
        <v>45101</v>
      </c>
      <c r="I49" s="291">
        <v>188</v>
      </c>
      <c r="J49" s="307">
        <v>3478620</v>
      </c>
      <c r="K49" s="307">
        <v>680079</v>
      </c>
      <c r="L49" s="307">
        <v>0</v>
      </c>
      <c r="M49" s="291" t="s">
        <v>495</v>
      </c>
      <c r="N49" s="307">
        <v>3478620</v>
      </c>
      <c r="O49" s="307">
        <v>680079</v>
      </c>
      <c r="P49" s="307">
        <v>326990</v>
      </c>
      <c r="Q49" s="291">
        <v>1</v>
      </c>
      <c r="R49" s="291" t="s">
        <v>501</v>
      </c>
      <c r="S49" s="291">
        <v>100</v>
      </c>
      <c r="T49" s="307">
        <v>3478620</v>
      </c>
      <c r="U49" s="307">
        <v>680079</v>
      </c>
      <c r="V49" s="291">
        <v>100</v>
      </c>
      <c r="W49" s="307">
        <v>1584948</v>
      </c>
      <c r="X49" s="291">
        <v>2</v>
      </c>
      <c r="Y49" s="291">
        <v>1160902008</v>
      </c>
      <c r="Z49" s="291">
        <v>2023</v>
      </c>
      <c r="AA49" s="291">
        <v>12</v>
      </c>
      <c r="AB49" s="291">
        <v>5026003002</v>
      </c>
      <c r="AC49" s="291">
        <v>1160903004</v>
      </c>
      <c r="AD49" s="291">
        <v>0</v>
      </c>
      <c r="AE49" s="291">
        <v>0</v>
      </c>
      <c r="AF49" s="291">
        <v>0</v>
      </c>
      <c r="AG49" s="291">
        <v>1160604001</v>
      </c>
      <c r="AH49" s="291">
        <v>188</v>
      </c>
      <c r="AI49" s="291" t="s">
        <v>500</v>
      </c>
      <c r="AJ49" s="308">
        <v>0.3</v>
      </c>
      <c r="AK49" s="309">
        <f t="shared" si="4"/>
        <v>1043586</v>
      </c>
      <c r="AL49" s="309">
        <f t="shared" si="5"/>
        <v>1043586</v>
      </c>
      <c r="AM49" s="309">
        <f t="shared" si="5"/>
        <v>1043586</v>
      </c>
      <c r="AN49" s="309"/>
      <c r="AO49" s="309"/>
      <c r="AP49" s="309">
        <f t="shared" si="0"/>
        <v>102011.84999999999</v>
      </c>
      <c r="AQ49" s="309">
        <f t="shared" si="8"/>
        <v>102011.84999999999</v>
      </c>
      <c r="AR49" s="309">
        <f t="shared" si="8"/>
        <v>102011.84999999999</v>
      </c>
      <c r="AS49" s="309"/>
      <c r="AT49" s="309"/>
      <c r="AV49" s="311">
        <f t="shared" si="1"/>
        <v>347862</v>
      </c>
      <c r="AW49" s="311">
        <f t="shared" si="2"/>
        <v>374043.45000000007</v>
      </c>
      <c r="AX49" s="312">
        <f t="shared" si="3"/>
        <v>0</v>
      </c>
    </row>
    <row r="50" spans="1:51">
      <c r="A50" s="291" t="s">
        <v>494</v>
      </c>
      <c r="B50" s="291"/>
      <c r="C50" s="291"/>
      <c r="D50" s="291">
        <v>1160505001</v>
      </c>
      <c r="E50" s="291">
        <v>0</v>
      </c>
      <c r="F50" s="291">
        <v>41419</v>
      </c>
      <c r="G50" s="306">
        <v>42782</v>
      </c>
      <c r="H50" s="306">
        <v>43147</v>
      </c>
      <c r="I50" s="291">
        <v>2116</v>
      </c>
      <c r="J50" s="307">
        <v>2500000</v>
      </c>
      <c r="K50" s="307">
        <v>225000</v>
      </c>
      <c r="L50" s="307">
        <v>0</v>
      </c>
      <c r="M50" s="291" t="s">
        <v>495</v>
      </c>
      <c r="N50" s="307">
        <v>2500000</v>
      </c>
      <c r="O50" s="307">
        <v>225000</v>
      </c>
      <c r="P50" s="307">
        <v>2645000</v>
      </c>
      <c r="Q50" s="291">
        <v>1</v>
      </c>
      <c r="R50" s="291" t="s">
        <v>496</v>
      </c>
      <c r="S50" s="291">
        <v>100</v>
      </c>
      <c r="T50" s="307">
        <v>2500000</v>
      </c>
      <c r="U50" s="307">
        <v>225000</v>
      </c>
      <c r="V50" s="291">
        <v>100</v>
      </c>
      <c r="W50" s="307">
        <v>2943868</v>
      </c>
      <c r="X50" s="291">
        <v>2</v>
      </c>
      <c r="Y50" s="291">
        <v>1160902010</v>
      </c>
      <c r="Z50" s="291">
        <v>2023</v>
      </c>
      <c r="AA50" s="291">
        <v>12</v>
      </c>
      <c r="AB50" s="291">
        <v>5026003002</v>
      </c>
      <c r="AC50" s="291">
        <v>1160903005</v>
      </c>
      <c r="AD50" s="291">
        <v>0</v>
      </c>
      <c r="AE50" s="291">
        <v>0</v>
      </c>
      <c r="AF50" s="291">
        <v>0</v>
      </c>
      <c r="AG50" s="291">
        <v>1160605001</v>
      </c>
      <c r="AH50" s="291">
        <v>2116</v>
      </c>
      <c r="AI50" s="291" t="s">
        <v>497</v>
      </c>
      <c r="AJ50" s="308">
        <v>0.01</v>
      </c>
      <c r="AK50" s="309">
        <f t="shared" si="4"/>
        <v>25000</v>
      </c>
      <c r="AL50" s="309">
        <f t="shared" si="5"/>
        <v>25000</v>
      </c>
      <c r="AM50" s="309">
        <f t="shared" si="5"/>
        <v>25000</v>
      </c>
      <c r="AN50" s="309"/>
      <c r="AO50" s="309"/>
      <c r="AP50" s="309">
        <f t="shared" si="0"/>
        <v>1125</v>
      </c>
      <c r="AQ50" s="309">
        <f t="shared" si="8"/>
        <v>1125</v>
      </c>
      <c r="AR50" s="309">
        <f t="shared" si="8"/>
        <v>1125</v>
      </c>
      <c r="AS50" s="309"/>
      <c r="AT50" s="309"/>
      <c r="AV50" s="311">
        <f t="shared" si="1"/>
        <v>2425000</v>
      </c>
      <c r="AW50" s="311">
        <f t="shared" si="2"/>
        <v>221625</v>
      </c>
      <c r="AX50" s="312">
        <f t="shared" si="3"/>
        <v>0</v>
      </c>
    </row>
    <row r="51" spans="1:51">
      <c r="A51" s="291" t="s">
        <v>494</v>
      </c>
      <c r="B51" s="291"/>
      <c r="C51" s="291"/>
      <c r="D51" s="291">
        <v>1160505001</v>
      </c>
      <c r="E51" s="291">
        <v>0</v>
      </c>
      <c r="F51" s="291">
        <v>44879</v>
      </c>
      <c r="G51" s="306">
        <v>43282</v>
      </c>
      <c r="H51" s="306">
        <v>44378</v>
      </c>
      <c r="I51" s="291">
        <v>901</v>
      </c>
      <c r="J51" s="307">
        <v>3320280</v>
      </c>
      <c r="K51" s="307">
        <v>388475</v>
      </c>
      <c r="L51" s="307">
        <v>0</v>
      </c>
      <c r="M51" s="291" t="s">
        <v>495</v>
      </c>
      <c r="N51" s="307">
        <v>3320280</v>
      </c>
      <c r="O51" s="307">
        <v>388475</v>
      </c>
      <c r="P51" s="307">
        <v>1495786</v>
      </c>
      <c r="Q51" s="291">
        <v>1</v>
      </c>
      <c r="R51" s="291" t="s">
        <v>496</v>
      </c>
      <c r="S51" s="291">
        <v>100</v>
      </c>
      <c r="T51" s="307">
        <v>3320280</v>
      </c>
      <c r="U51" s="307">
        <v>388475</v>
      </c>
      <c r="V51" s="291">
        <v>100</v>
      </c>
      <c r="W51" s="307">
        <v>4573374</v>
      </c>
      <c r="X51" s="291">
        <v>2</v>
      </c>
      <c r="Y51" s="291">
        <v>1160902010</v>
      </c>
      <c r="Z51" s="291">
        <v>2023</v>
      </c>
      <c r="AA51" s="291">
        <v>12</v>
      </c>
      <c r="AB51" s="291">
        <v>5026003002</v>
      </c>
      <c r="AC51" s="291">
        <v>1160903005</v>
      </c>
      <c r="AD51" s="291">
        <v>0</v>
      </c>
      <c r="AE51" s="291">
        <v>0</v>
      </c>
      <c r="AF51" s="291">
        <v>0</v>
      </c>
      <c r="AG51" s="291">
        <v>1160605001</v>
      </c>
      <c r="AH51" s="291">
        <v>901</v>
      </c>
      <c r="AI51" s="291" t="s">
        <v>499</v>
      </c>
      <c r="AJ51" s="308">
        <v>0.05</v>
      </c>
      <c r="AK51" s="309">
        <f t="shared" si="4"/>
        <v>166014</v>
      </c>
      <c r="AL51" s="309">
        <f t="shared" si="5"/>
        <v>166014</v>
      </c>
      <c r="AM51" s="309">
        <f t="shared" si="5"/>
        <v>166014</v>
      </c>
      <c r="AN51" s="309"/>
      <c r="AO51" s="309"/>
      <c r="AP51" s="309">
        <f t="shared" si="0"/>
        <v>9711.875</v>
      </c>
      <c r="AQ51" s="309">
        <f t="shared" si="8"/>
        <v>9711.875</v>
      </c>
      <c r="AR51" s="309">
        <f t="shared" si="8"/>
        <v>9711.875</v>
      </c>
      <c r="AS51" s="309"/>
      <c r="AT51" s="309"/>
      <c r="AV51" s="311">
        <f t="shared" si="1"/>
        <v>2822238</v>
      </c>
      <c r="AW51" s="311">
        <f t="shared" si="2"/>
        <v>359339.375</v>
      </c>
      <c r="AX51" s="312">
        <f t="shared" si="3"/>
        <v>0</v>
      </c>
    </row>
    <row r="52" spans="1:51">
      <c r="A52" s="291" t="s">
        <v>494</v>
      </c>
      <c r="B52" s="291"/>
      <c r="C52" s="291"/>
      <c r="D52" s="291">
        <v>1160505001</v>
      </c>
      <c r="E52" s="291">
        <v>0</v>
      </c>
      <c r="F52" s="291">
        <v>45920</v>
      </c>
      <c r="G52" s="306">
        <v>43499</v>
      </c>
      <c r="H52" s="306">
        <v>44595</v>
      </c>
      <c r="I52" s="291">
        <v>689</v>
      </c>
      <c r="J52" s="307">
        <v>3000000</v>
      </c>
      <c r="K52" s="307">
        <v>810000</v>
      </c>
      <c r="L52" s="307">
        <v>0</v>
      </c>
      <c r="M52" s="291" t="s">
        <v>495</v>
      </c>
      <c r="N52" s="307">
        <v>3000000</v>
      </c>
      <c r="O52" s="307">
        <v>810000</v>
      </c>
      <c r="P52" s="307">
        <v>1033500</v>
      </c>
      <c r="Q52" s="291">
        <v>1</v>
      </c>
      <c r="R52" s="291" t="s">
        <v>496</v>
      </c>
      <c r="S52" s="291">
        <v>100</v>
      </c>
      <c r="T52" s="307">
        <v>3000000</v>
      </c>
      <c r="U52" s="307">
        <v>810000</v>
      </c>
      <c r="V52" s="291">
        <v>100</v>
      </c>
      <c r="W52" s="307">
        <v>4573374</v>
      </c>
      <c r="X52" s="291">
        <v>14</v>
      </c>
      <c r="Y52" s="291">
        <v>1160902010</v>
      </c>
      <c r="Z52" s="291">
        <v>2023</v>
      </c>
      <c r="AA52" s="291">
        <v>12</v>
      </c>
      <c r="AB52" s="291">
        <v>5026003002</v>
      </c>
      <c r="AC52" s="291">
        <v>1160903005</v>
      </c>
      <c r="AD52" s="291">
        <v>0</v>
      </c>
      <c r="AE52" s="291">
        <v>0</v>
      </c>
      <c r="AF52" s="291">
        <v>0</v>
      </c>
      <c r="AG52" s="291">
        <v>1160605001</v>
      </c>
      <c r="AH52" s="291">
        <v>901</v>
      </c>
      <c r="AI52" s="291" t="s">
        <v>499</v>
      </c>
      <c r="AJ52" s="308">
        <v>0.05</v>
      </c>
      <c r="AK52" s="309">
        <f t="shared" si="4"/>
        <v>150000</v>
      </c>
      <c r="AL52" s="309">
        <f t="shared" si="5"/>
        <v>150000</v>
      </c>
      <c r="AM52" s="309">
        <f t="shared" si="5"/>
        <v>150000</v>
      </c>
      <c r="AN52" s="309"/>
      <c r="AO52" s="309"/>
      <c r="AP52" s="309">
        <f t="shared" si="0"/>
        <v>20250</v>
      </c>
      <c r="AQ52" s="309">
        <f t="shared" si="8"/>
        <v>20250</v>
      </c>
      <c r="AR52" s="309">
        <f t="shared" si="8"/>
        <v>20250</v>
      </c>
      <c r="AS52" s="309"/>
      <c r="AT52" s="309"/>
      <c r="AV52" s="311">
        <f t="shared" si="1"/>
        <v>2550000</v>
      </c>
      <c r="AW52" s="311">
        <f t="shared" si="2"/>
        <v>749250</v>
      </c>
      <c r="AX52" s="312">
        <f t="shared" si="3"/>
        <v>0</v>
      </c>
    </row>
    <row r="53" spans="1:51">
      <c r="A53" s="291" t="s">
        <v>494</v>
      </c>
      <c r="B53" s="291"/>
      <c r="C53" s="291"/>
      <c r="D53" s="291">
        <v>1160505001</v>
      </c>
      <c r="E53" s="291">
        <v>0</v>
      </c>
      <c r="F53" s="291">
        <v>45980</v>
      </c>
      <c r="G53" s="306">
        <v>43505</v>
      </c>
      <c r="H53" s="306">
        <v>44601</v>
      </c>
      <c r="I53" s="291">
        <v>683</v>
      </c>
      <c r="J53" s="307">
        <v>7000000</v>
      </c>
      <c r="K53" s="307">
        <v>2384167</v>
      </c>
      <c r="L53" s="307">
        <v>0</v>
      </c>
      <c r="M53" s="291" t="s">
        <v>495</v>
      </c>
      <c r="N53" s="307">
        <v>7000000</v>
      </c>
      <c r="O53" s="307">
        <v>2384167</v>
      </c>
      <c r="P53" s="307">
        <v>2390500</v>
      </c>
      <c r="Q53" s="291">
        <v>1</v>
      </c>
      <c r="R53" s="291" t="s">
        <v>496</v>
      </c>
      <c r="S53" s="291">
        <v>100</v>
      </c>
      <c r="T53" s="307">
        <v>7000000</v>
      </c>
      <c r="U53" s="307">
        <v>2384167</v>
      </c>
      <c r="V53" s="291">
        <v>100</v>
      </c>
      <c r="W53" s="307">
        <v>4554723</v>
      </c>
      <c r="X53" s="291">
        <v>2</v>
      </c>
      <c r="Y53" s="291">
        <v>1160902010</v>
      </c>
      <c r="Z53" s="291">
        <v>2023</v>
      </c>
      <c r="AA53" s="291">
        <v>12</v>
      </c>
      <c r="AB53" s="291">
        <v>5026003002</v>
      </c>
      <c r="AC53" s="291">
        <v>1160903005</v>
      </c>
      <c r="AD53" s="291">
        <v>0</v>
      </c>
      <c r="AE53" s="291">
        <v>0</v>
      </c>
      <c r="AF53" s="291">
        <v>0</v>
      </c>
      <c r="AG53" s="291">
        <v>1160605001</v>
      </c>
      <c r="AH53" s="291">
        <v>683</v>
      </c>
      <c r="AI53" s="291" t="s">
        <v>498</v>
      </c>
      <c r="AJ53" s="308">
        <v>0.1</v>
      </c>
      <c r="AK53" s="309">
        <f t="shared" si="4"/>
        <v>700000</v>
      </c>
      <c r="AL53" s="309">
        <f t="shared" si="5"/>
        <v>700000</v>
      </c>
      <c r="AM53" s="309">
        <f t="shared" si="5"/>
        <v>700000</v>
      </c>
      <c r="AN53" s="309"/>
      <c r="AO53" s="309"/>
      <c r="AP53" s="309">
        <f t="shared" si="0"/>
        <v>119208.35</v>
      </c>
      <c r="AQ53" s="309">
        <f t="shared" si="8"/>
        <v>119208.35</v>
      </c>
      <c r="AR53" s="309">
        <f t="shared" si="8"/>
        <v>119208.35</v>
      </c>
      <c r="AS53" s="309"/>
      <c r="AT53" s="309"/>
      <c r="AV53" s="311">
        <f t="shared" si="1"/>
        <v>4900000</v>
      </c>
      <c r="AW53" s="311">
        <f t="shared" si="2"/>
        <v>2026541.9499999997</v>
      </c>
      <c r="AX53" s="312">
        <f t="shared" si="3"/>
        <v>0</v>
      </c>
    </row>
    <row r="54" spans="1:51">
      <c r="A54" s="291" t="s">
        <v>494</v>
      </c>
      <c r="B54" s="291"/>
      <c r="C54" s="291"/>
      <c r="D54" s="291">
        <v>1160505001</v>
      </c>
      <c r="E54" s="291">
        <v>0</v>
      </c>
      <c r="F54" s="291">
        <v>44040</v>
      </c>
      <c r="G54" s="306">
        <v>43177</v>
      </c>
      <c r="H54" s="306">
        <v>44273</v>
      </c>
      <c r="I54" s="291">
        <v>1004</v>
      </c>
      <c r="J54" s="307">
        <v>10000000</v>
      </c>
      <c r="K54" s="307">
        <v>5400000</v>
      </c>
      <c r="L54" s="307">
        <v>0</v>
      </c>
      <c r="M54" s="291" t="s">
        <v>495</v>
      </c>
      <c r="N54" s="307">
        <v>10000000</v>
      </c>
      <c r="O54" s="307">
        <v>5400000</v>
      </c>
      <c r="P54" s="307">
        <v>5020000</v>
      </c>
      <c r="Q54" s="291">
        <v>1</v>
      </c>
      <c r="R54" s="291" t="s">
        <v>496</v>
      </c>
      <c r="S54" s="291">
        <v>100</v>
      </c>
      <c r="T54" s="307">
        <v>10000000</v>
      </c>
      <c r="U54" s="307">
        <v>5400000</v>
      </c>
      <c r="V54" s="291">
        <v>300</v>
      </c>
      <c r="W54" s="307">
        <v>2799596</v>
      </c>
      <c r="X54" s="291">
        <v>2</v>
      </c>
      <c r="Y54" s="291">
        <v>1160902010</v>
      </c>
      <c r="Z54" s="291">
        <v>2023</v>
      </c>
      <c r="AA54" s="291">
        <v>12</v>
      </c>
      <c r="AB54" s="291">
        <v>5026003002</v>
      </c>
      <c r="AC54" s="291">
        <v>1160903005</v>
      </c>
      <c r="AD54" s="291">
        <v>0</v>
      </c>
      <c r="AE54" s="291">
        <v>0</v>
      </c>
      <c r="AF54" s="291">
        <v>0</v>
      </c>
      <c r="AG54" s="291">
        <v>1160605001</v>
      </c>
      <c r="AH54" s="291">
        <v>1573</v>
      </c>
      <c r="AI54" s="291" t="s">
        <v>497</v>
      </c>
      <c r="AJ54" s="308">
        <v>0.01</v>
      </c>
      <c r="AK54" s="309">
        <f t="shared" si="4"/>
        <v>100000</v>
      </c>
      <c r="AL54" s="309">
        <f t="shared" si="5"/>
        <v>100000</v>
      </c>
      <c r="AM54" s="309">
        <f t="shared" si="5"/>
        <v>100000</v>
      </c>
      <c r="AN54" s="309"/>
      <c r="AO54" s="309"/>
      <c r="AP54" s="309">
        <f t="shared" si="0"/>
        <v>27000</v>
      </c>
      <c r="AQ54" s="309">
        <f t="shared" si="8"/>
        <v>27000</v>
      </c>
      <c r="AR54" s="309">
        <f t="shared" si="8"/>
        <v>27000</v>
      </c>
      <c r="AS54" s="309"/>
      <c r="AT54" s="309"/>
      <c r="AV54" s="311">
        <f t="shared" si="1"/>
        <v>9700000</v>
      </c>
      <c r="AW54" s="311">
        <f t="shared" si="2"/>
        <v>5319000</v>
      </c>
      <c r="AX54" s="312">
        <f t="shared" si="3"/>
        <v>0</v>
      </c>
    </row>
    <row r="55" spans="1:51">
      <c r="A55" s="291" t="s">
        <v>494</v>
      </c>
      <c r="B55" s="291"/>
      <c r="C55" s="291"/>
      <c r="D55" s="291">
        <v>1160505002</v>
      </c>
      <c r="E55" s="291">
        <v>0</v>
      </c>
      <c r="F55" s="291">
        <v>45221</v>
      </c>
      <c r="G55" s="306">
        <v>43331</v>
      </c>
      <c r="H55" s="306">
        <v>43696</v>
      </c>
      <c r="I55" s="291">
        <v>1573</v>
      </c>
      <c r="J55" s="307">
        <v>1264660</v>
      </c>
      <c r="K55" s="307">
        <v>0</v>
      </c>
      <c r="L55" s="307">
        <v>0</v>
      </c>
      <c r="M55" s="291" t="s">
        <v>495</v>
      </c>
      <c r="N55" s="307">
        <v>1264660</v>
      </c>
      <c r="O55" s="307">
        <v>0</v>
      </c>
      <c r="P55" s="307">
        <v>994655</v>
      </c>
      <c r="Q55" s="291">
        <v>1</v>
      </c>
      <c r="R55" s="291" t="s">
        <v>496</v>
      </c>
      <c r="S55" s="291">
        <v>100</v>
      </c>
      <c r="T55" s="307">
        <v>1264660</v>
      </c>
      <c r="U55" s="307">
        <v>0</v>
      </c>
      <c r="V55" s="291">
        <v>300</v>
      </c>
      <c r="W55" s="307">
        <v>2799596</v>
      </c>
      <c r="X55" s="291">
        <v>6</v>
      </c>
      <c r="Y55" s="291">
        <v>1160902010</v>
      </c>
      <c r="Z55" s="291">
        <v>2023</v>
      </c>
      <c r="AA55" s="291">
        <v>12</v>
      </c>
      <c r="AB55" s="291">
        <v>5026003002</v>
      </c>
      <c r="AC55" s="291">
        <v>1160903005</v>
      </c>
      <c r="AD55" s="291">
        <v>0</v>
      </c>
      <c r="AE55" s="291">
        <v>0</v>
      </c>
      <c r="AF55" s="291">
        <v>0</v>
      </c>
      <c r="AG55" s="291">
        <v>1160605001</v>
      </c>
      <c r="AH55" s="291">
        <v>1573</v>
      </c>
      <c r="AI55" s="291" t="s">
        <v>497</v>
      </c>
      <c r="AJ55" s="308">
        <v>0.01</v>
      </c>
      <c r="AK55" s="309">
        <f t="shared" si="4"/>
        <v>12646.6</v>
      </c>
      <c r="AL55" s="309">
        <f t="shared" si="5"/>
        <v>12646.6</v>
      </c>
      <c r="AM55" s="309">
        <f t="shared" si="5"/>
        <v>12646.6</v>
      </c>
      <c r="AN55" s="309"/>
      <c r="AO55" s="309"/>
      <c r="AP55" s="309">
        <f t="shared" si="0"/>
        <v>0</v>
      </c>
      <c r="AQ55" s="309">
        <f t="shared" ref="AQ55:AR70" si="9">AP55</f>
        <v>0</v>
      </c>
      <c r="AR55" s="309">
        <f t="shared" si="9"/>
        <v>0</v>
      </c>
      <c r="AS55" s="309"/>
      <c r="AT55" s="309"/>
      <c r="AV55" s="311">
        <f t="shared" si="1"/>
        <v>1226720.1999999997</v>
      </c>
      <c r="AW55" s="311">
        <f t="shared" si="2"/>
        <v>0</v>
      </c>
      <c r="AX55" s="312">
        <f t="shared" si="3"/>
        <v>0</v>
      </c>
    </row>
    <row r="56" spans="1:51">
      <c r="A56" s="291" t="s">
        <v>494</v>
      </c>
      <c r="B56" s="291"/>
      <c r="C56" s="291"/>
      <c r="D56" s="291">
        <v>1160505001</v>
      </c>
      <c r="E56" s="291">
        <v>0</v>
      </c>
      <c r="F56" s="291">
        <v>41655</v>
      </c>
      <c r="G56" s="306">
        <v>42806</v>
      </c>
      <c r="H56" s="306">
        <v>43902</v>
      </c>
      <c r="I56" s="291">
        <v>1370</v>
      </c>
      <c r="J56" s="307">
        <v>995092</v>
      </c>
      <c r="K56" s="307">
        <v>17940</v>
      </c>
      <c r="L56" s="307">
        <v>0</v>
      </c>
      <c r="M56" s="291" t="s">
        <v>495</v>
      </c>
      <c r="N56" s="307">
        <v>995092</v>
      </c>
      <c r="O56" s="307">
        <v>17940</v>
      </c>
      <c r="P56" s="307">
        <v>681638</v>
      </c>
      <c r="Q56" s="291">
        <v>1</v>
      </c>
      <c r="R56" s="291" t="s">
        <v>496</v>
      </c>
      <c r="S56" s="291">
        <v>100</v>
      </c>
      <c r="T56" s="307">
        <v>995092</v>
      </c>
      <c r="U56" s="307">
        <v>17940</v>
      </c>
      <c r="V56" s="291">
        <v>100</v>
      </c>
      <c r="W56" s="307">
        <v>1415051</v>
      </c>
      <c r="X56" s="291">
        <v>14</v>
      </c>
      <c r="Y56" s="291">
        <v>1160902010</v>
      </c>
      <c r="Z56" s="291">
        <v>2023</v>
      </c>
      <c r="AA56" s="291">
        <v>12</v>
      </c>
      <c r="AB56" s="291">
        <v>5026003002</v>
      </c>
      <c r="AC56" s="291">
        <v>1160903005</v>
      </c>
      <c r="AD56" s="291">
        <v>0</v>
      </c>
      <c r="AE56" s="291">
        <v>0</v>
      </c>
      <c r="AF56" s="291">
        <v>0</v>
      </c>
      <c r="AG56" s="291">
        <v>1160605001</v>
      </c>
      <c r="AH56" s="291">
        <v>1370</v>
      </c>
      <c r="AI56" s="291" t="s">
        <v>497</v>
      </c>
      <c r="AJ56" s="308">
        <v>0.01</v>
      </c>
      <c r="AK56" s="309">
        <f t="shared" si="4"/>
        <v>9950.92</v>
      </c>
      <c r="AL56" s="309">
        <f t="shared" si="5"/>
        <v>9950.92</v>
      </c>
      <c r="AM56" s="309">
        <f t="shared" si="5"/>
        <v>9950.92</v>
      </c>
      <c r="AN56" s="309"/>
      <c r="AO56" s="309"/>
      <c r="AP56" s="309">
        <f t="shared" si="0"/>
        <v>89.7</v>
      </c>
      <c r="AQ56" s="309">
        <f t="shared" si="9"/>
        <v>89.7</v>
      </c>
      <c r="AR56" s="309">
        <f t="shared" si="9"/>
        <v>89.7</v>
      </c>
      <c r="AS56" s="309"/>
      <c r="AT56" s="309"/>
      <c r="AV56" s="311">
        <f t="shared" si="1"/>
        <v>965239.23999999987</v>
      </c>
      <c r="AW56" s="311">
        <f t="shared" si="2"/>
        <v>17670.899999999998</v>
      </c>
      <c r="AX56" s="312">
        <f t="shared" si="3"/>
        <v>0</v>
      </c>
    </row>
    <row r="57" spans="1:51">
      <c r="A57" s="291" t="s">
        <v>494</v>
      </c>
      <c r="B57" s="291"/>
      <c r="C57" s="291"/>
      <c r="D57" s="291">
        <v>1160505001</v>
      </c>
      <c r="E57" s="291">
        <v>0</v>
      </c>
      <c r="F57" s="291">
        <v>43821</v>
      </c>
      <c r="G57" s="306">
        <v>43156</v>
      </c>
      <c r="H57" s="306">
        <v>44617</v>
      </c>
      <c r="I57" s="291">
        <v>667</v>
      </c>
      <c r="J57" s="307">
        <v>2500000</v>
      </c>
      <c r="K57" s="307">
        <v>900000</v>
      </c>
      <c r="L57" s="307">
        <v>0</v>
      </c>
      <c r="M57" s="291" t="s">
        <v>495</v>
      </c>
      <c r="N57" s="307">
        <v>2500000</v>
      </c>
      <c r="O57" s="307">
        <v>900000</v>
      </c>
      <c r="P57" s="307">
        <v>833750</v>
      </c>
      <c r="Q57" s="291">
        <v>1</v>
      </c>
      <c r="R57" s="291" t="s">
        <v>496</v>
      </c>
      <c r="S57" s="291">
        <v>100</v>
      </c>
      <c r="T57" s="307">
        <v>2500000</v>
      </c>
      <c r="U57" s="307">
        <v>900000</v>
      </c>
      <c r="V57" s="291">
        <v>100</v>
      </c>
      <c r="W57" s="307">
        <v>1415051</v>
      </c>
      <c r="X57" s="291">
        <v>14</v>
      </c>
      <c r="Y57" s="291">
        <v>1160902010</v>
      </c>
      <c r="Z57" s="291">
        <v>2023</v>
      </c>
      <c r="AA57" s="291">
        <v>12</v>
      </c>
      <c r="AB57" s="291">
        <v>5026003002</v>
      </c>
      <c r="AC57" s="291">
        <v>1160903005</v>
      </c>
      <c r="AD57" s="291">
        <v>0</v>
      </c>
      <c r="AE57" s="291">
        <v>0</v>
      </c>
      <c r="AF57" s="291">
        <v>0</v>
      </c>
      <c r="AG57" s="291">
        <v>1160605001</v>
      </c>
      <c r="AH57" s="291">
        <v>1370</v>
      </c>
      <c r="AI57" s="291" t="s">
        <v>497</v>
      </c>
      <c r="AJ57" s="308">
        <v>0.01</v>
      </c>
      <c r="AK57" s="309">
        <f t="shared" si="4"/>
        <v>25000</v>
      </c>
      <c r="AL57" s="309">
        <f t="shared" si="5"/>
        <v>25000</v>
      </c>
      <c r="AM57" s="309">
        <f t="shared" si="5"/>
        <v>25000</v>
      </c>
      <c r="AN57" s="309"/>
      <c r="AO57" s="309"/>
      <c r="AP57" s="309">
        <f t="shared" si="0"/>
        <v>4500</v>
      </c>
      <c r="AQ57" s="309">
        <f t="shared" si="9"/>
        <v>4500</v>
      </c>
      <c r="AR57" s="309">
        <f t="shared" si="9"/>
        <v>4500</v>
      </c>
      <c r="AS57" s="309"/>
      <c r="AT57" s="309"/>
      <c r="AV57" s="311">
        <f t="shared" si="1"/>
        <v>2425000</v>
      </c>
      <c r="AW57" s="311">
        <f t="shared" si="2"/>
        <v>886500</v>
      </c>
      <c r="AX57" s="312">
        <f t="shared" si="3"/>
        <v>0</v>
      </c>
    </row>
    <row r="58" spans="1:51">
      <c r="A58" s="291" t="s">
        <v>494</v>
      </c>
      <c r="B58" s="291"/>
      <c r="C58" s="291"/>
      <c r="D58" s="291">
        <v>1160505001</v>
      </c>
      <c r="E58" s="291">
        <v>0</v>
      </c>
      <c r="F58" s="291">
        <v>45821</v>
      </c>
      <c r="G58" s="306">
        <v>43491</v>
      </c>
      <c r="H58" s="306">
        <v>43856</v>
      </c>
      <c r="I58" s="291">
        <v>1416</v>
      </c>
      <c r="J58" s="307">
        <v>1819627</v>
      </c>
      <c r="K58" s="307">
        <v>0</v>
      </c>
      <c r="L58" s="307">
        <v>0</v>
      </c>
      <c r="M58" s="291" t="s">
        <v>495</v>
      </c>
      <c r="N58" s="307">
        <v>1819627</v>
      </c>
      <c r="O58" s="307">
        <v>0</v>
      </c>
      <c r="P58" s="307">
        <v>1288296</v>
      </c>
      <c r="Q58" s="291">
        <v>1</v>
      </c>
      <c r="R58" s="291" t="s">
        <v>496</v>
      </c>
      <c r="S58" s="291">
        <v>100</v>
      </c>
      <c r="T58" s="307">
        <v>1819627</v>
      </c>
      <c r="U58" s="307">
        <v>0</v>
      </c>
      <c r="V58" s="291">
        <v>100</v>
      </c>
      <c r="W58" s="307">
        <v>1798898</v>
      </c>
      <c r="X58" s="291">
        <v>2</v>
      </c>
      <c r="Y58" s="291">
        <v>1160902010</v>
      </c>
      <c r="Z58" s="291">
        <v>2023</v>
      </c>
      <c r="AA58" s="291">
        <v>12</v>
      </c>
      <c r="AB58" s="291">
        <v>5026003002</v>
      </c>
      <c r="AC58" s="291">
        <v>1160903005</v>
      </c>
      <c r="AD58" s="291">
        <v>0</v>
      </c>
      <c r="AE58" s="291">
        <v>0</v>
      </c>
      <c r="AF58" s="291">
        <v>0</v>
      </c>
      <c r="AG58" s="291">
        <v>1160605001</v>
      </c>
      <c r="AH58" s="291">
        <v>1416</v>
      </c>
      <c r="AI58" s="291" t="s">
        <v>497</v>
      </c>
      <c r="AJ58" s="308">
        <v>0.01</v>
      </c>
      <c r="AK58" s="309">
        <f t="shared" si="4"/>
        <v>18196.27</v>
      </c>
      <c r="AL58" s="309">
        <f t="shared" si="5"/>
        <v>18196.27</v>
      </c>
      <c r="AM58" s="309">
        <f t="shared" si="5"/>
        <v>18196.27</v>
      </c>
      <c r="AN58" s="309"/>
      <c r="AO58" s="309"/>
      <c r="AP58" s="309">
        <f t="shared" si="0"/>
        <v>0</v>
      </c>
      <c r="AQ58" s="309">
        <f t="shared" si="9"/>
        <v>0</v>
      </c>
      <c r="AR58" s="309">
        <f t="shared" si="9"/>
        <v>0</v>
      </c>
      <c r="AS58" s="309"/>
      <c r="AT58" s="309"/>
      <c r="AV58" s="311">
        <f t="shared" si="1"/>
        <v>1765038.19</v>
      </c>
      <c r="AW58" s="311">
        <f t="shared" si="2"/>
        <v>0</v>
      </c>
      <c r="AX58" s="312">
        <f t="shared" si="3"/>
        <v>0</v>
      </c>
    </row>
    <row r="59" spans="1:51">
      <c r="A59" s="291" t="s">
        <v>494</v>
      </c>
      <c r="B59" s="291"/>
      <c r="C59" s="291"/>
      <c r="D59" s="291">
        <v>1160505001</v>
      </c>
      <c r="E59" s="291">
        <v>0</v>
      </c>
      <c r="F59" s="291">
        <v>43467</v>
      </c>
      <c r="G59" s="306">
        <v>43129</v>
      </c>
      <c r="H59" s="306">
        <v>43859</v>
      </c>
      <c r="I59" s="291">
        <v>1413</v>
      </c>
      <c r="J59" s="307">
        <v>10000000</v>
      </c>
      <c r="K59" s="307">
        <v>0</v>
      </c>
      <c r="L59" s="307">
        <v>0</v>
      </c>
      <c r="M59" s="291" t="s">
        <v>495</v>
      </c>
      <c r="N59" s="307">
        <v>10000000</v>
      </c>
      <c r="O59" s="307">
        <v>0</v>
      </c>
      <c r="P59" s="307">
        <v>7065000</v>
      </c>
      <c r="Q59" s="291">
        <v>1</v>
      </c>
      <c r="R59" s="291" t="s">
        <v>496</v>
      </c>
      <c r="S59" s="291">
        <v>100</v>
      </c>
      <c r="T59" s="307">
        <v>10000000</v>
      </c>
      <c r="U59" s="307">
        <v>0</v>
      </c>
      <c r="V59" s="291">
        <v>300</v>
      </c>
      <c r="W59" s="307">
        <v>5734320</v>
      </c>
      <c r="X59" s="291">
        <v>2</v>
      </c>
      <c r="Y59" s="291">
        <v>1160902010</v>
      </c>
      <c r="Z59" s="291">
        <v>2023</v>
      </c>
      <c r="AA59" s="291">
        <v>12</v>
      </c>
      <c r="AB59" s="291">
        <v>5026003002</v>
      </c>
      <c r="AC59" s="291">
        <v>1160903005</v>
      </c>
      <c r="AD59" s="291">
        <v>0</v>
      </c>
      <c r="AE59" s="291">
        <v>0</v>
      </c>
      <c r="AF59" s="291">
        <v>0</v>
      </c>
      <c r="AG59" s="291">
        <v>1160605001</v>
      </c>
      <c r="AH59" s="291">
        <v>1413</v>
      </c>
      <c r="AI59" s="291" t="s">
        <v>497</v>
      </c>
      <c r="AJ59" s="308">
        <v>0.01</v>
      </c>
      <c r="AK59" s="309">
        <f t="shared" si="4"/>
        <v>100000</v>
      </c>
      <c r="AL59" s="309">
        <f t="shared" si="5"/>
        <v>100000</v>
      </c>
      <c r="AM59" s="309">
        <f t="shared" si="5"/>
        <v>100000</v>
      </c>
      <c r="AN59" s="309"/>
      <c r="AO59" s="309"/>
      <c r="AP59" s="309">
        <f t="shared" si="0"/>
        <v>0</v>
      </c>
      <c r="AQ59" s="309">
        <f t="shared" si="9"/>
        <v>0</v>
      </c>
      <c r="AR59" s="309">
        <f t="shared" si="9"/>
        <v>0</v>
      </c>
      <c r="AS59" s="309"/>
      <c r="AT59" s="309"/>
      <c r="AV59" s="311">
        <f t="shared" si="1"/>
        <v>9700000</v>
      </c>
      <c r="AW59" s="311">
        <f t="shared" si="2"/>
        <v>0</v>
      </c>
      <c r="AX59" s="312">
        <f t="shared" si="3"/>
        <v>0</v>
      </c>
    </row>
    <row r="60" spans="1:51">
      <c r="A60" s="291" t="s">
        <v>494</v>
      </c>
      <c r="B60" s="291"/>
      <c r="C60" s="291"/>
      <c r="D60" s="291">
        <v>1160405004</v>
      </c>
      <c r="E60" s="291">
        <v>42081</v>
      </c>
      <c r="F60" s="291">
        <v>47166</v>
      </c>
      <c r="G60" s="306">
        <v>43674</v>
      </c>
      <c r="H60" s="306">
        <v>44770</v>
      </c>
      <c r="I60" s="291">
        <v>514</v>
      </c>
      <c r="J60" s="307">
        <v>111489281</v>
      </c>
      <c r="K60" s="307">
        <v>60204204</v>
      </c>
      <c r="L60" s="307">
        <v>573671000</v>
      </c>
      <c r="M60" s="291" t="s">
        <v>495</v>
      </c>
      <c r="N60" s="307">
        <v>0</v>
      </c>
      <c r="O60" s="307">
        <v>60204204</v>
      </c>
      <c r="P60" s="307">
        <v>28652745</v>
      </c>
      <c r="Q60" s="291">
        <v>2</v>
      </c>
      <c r="R60" s="291" t="s">
        <v>496</v>
      </c>
      <c r="S60" s="291">
        <v>100</v>
      </c>
      <c r="T60" s="307">
        <v>0</v>
      </c>
      <c r="U60" s="307">
        <v>60204204</v>
      </c>
      <c r="V60" s="291">
        <v>300</v>
      </c>
      <c r="W60" s="307">
        <v>30671806</v>
      </c>
      <c r="X60" s="291">
        <v>5</v>
      </c>
      <c r="Y60" s="291">
        <v>1160902008</v>
      </c>
      <c r="Z60" s="291">
        <v>2023</v>
      </c>
      <c r="AA60" s="291">
        <v>12</v>
      </c>
      <c r="AB60" s="291">
        <v>5026003002</v>
      </c>
      <c r="AC60" s="291">
        <v>1160903005</v>
      </c>
      <c r="AD60" s="291">
        <v>0</v>
      </c>
      <c r="AE60" s="291">
        <v>0</v>
      </c>
      <c r="AF60" s="291">
        <v>1</v>
      </c>
      <c r="AG60" s="291">
        <v>1160605001</v>
      </c>
      <c r="AH60" s="291">
        <v>514</v>
      </c>
      <c r="AI60" s="291" t="s">
        <v>498</v>
      </c>
      <c r="AJ60" s="308">
        <v>0.1</v>
      </c>
      <c r="AK60" s="309">
        <f t="shared" si="4"/>
        <v>11148928.100000001</v>
      </c>
      <c r="AL60" s="309">
        <f t="shared" si="5"/>
        <v>11148928.100000001</v>
      </c>
      <c r="AM60" s="309">
        <f t="shared" si="5"/>
        <v>11148928.100000001</v>
      </c>
      <c r="AN60" s="309"/>
      <c r="AO60" s="309"/>
      <c r="AP60" s="309">
        <f t="shared" si="0"/>
        <v>3010210.2</v>
      </c>
      <c r="AQ60" s="309">
        <f t="shared" si="9"/>
        <v>3010210.2</v>
      </c>
      <c r="AR60" s="309">
        <f t="shared" si="9"/>
        <v>3010210.2</v>
      </c>
      <c r="AS60" s="309"/>
      <c r="AT60" s="309"/>
      <c r="AV60" s="311">
        <f t="shared" si="1"/>
        <v>78042496.700000018</v>
      </c>
      <c r="AW60" s="311">
        <f t="shared" si="2"/>
        <v>51173573.399999991</v>
      </c>
      <c r="AX60" s="312">
        <f t="shared" si="3"/>
        <v>111489281</v>
      </c>
      <c r="AY60" s="312">
        <f>+AX60-L60</f>
        <v>-462181719</v>
      </c>
    </row>
    <row r="61" spans="1:51">
      <c r="A61" s="291" t="s">
        <v>494</v>
      </c>
      <c r="B61" s="291"/>
      <c r="C61" s="291"/>
      <c r="D61" s="291">
        <v>1160405004</v>
      </c>
      <c r="E61" s="291">
        <v>0</v>
      </c>
      <c r="F61" s="291">
        <v>41132</v>
      </c>
      <c r="G61" s="306">
        <v>43674</v>
      </c>
      <c r="H61" s="306">
        <v>44770</v>
      </c>
      <c r="I61" s="291">
        <v>514</v>
      </c>
      <c r="J61" s="307">
        <v>0</v>
      </c>
      <c r="K61" s="307">
        <v>44499380</v>
      </c>
      <c r="L61" s="307">
        <v>0</v>
      </c>
      <c r="M61" s="291" t="s">
        <v>495</v>
      </c>
      <c r="N61" s="307">
        <v>0</v>
      </c>
      <c r="O61" s="307">
        <v>44499380</v>
      </c>
      <c r="P61" s="307">
        <v>0</v>
      </c>
      <c r="Q61" s="291">
        <v>2</v>
      </c>
      <c r="R61" s="291" t="s">
        <v>496</v>
      </c>
      <c r="S61" s="291">
        <v>100</v>
      </c>
      <c r="T61" s="307">
        <v>0</v>
      </c>
      <c r="U61" s="307">
        <v>44499380</v>
      </c>
      <c r="V61" s="291">
        <v>300</v>
      </c>
      <c r="W61" s="307">
        <v>30671806</v>
      </c>
      <c r="X61" s="291">
        <v>5</v>
      </c>
      <c r="Y61" s="291">
        <v>1160902008</v>
      </c>
      <c r="Z61" s="291">
        <v>2023</v>
      </c>
      <c r="AA61" s="291">
        <v>12</v>
      </c>
      <c r="AB61" s="291">
        <v>5026003002</v>
      </c>
      <c r="AC61" s="291">
        <v>1160903005</v>
      </c>
      <c r="AD61" s="291">
        <v>0</v>
      </c>
      <c r="AE61" s="291">
        <v>0</v>
      </c>
      <c r="AF61" s="291">
        <v>1</v>
      </c>
      <c r="AG61" s="291">
        <v>1160605001</v>
      </c>
      <c r="AH61" s="291">
        <v>514</v>
      </c>
      <c r="AI61" s="291" t="s">
        <v>498</v>
      </c>
      <c r="AJ61" s="308">
        <v>0.1</v>
      </c>
      <c r="AK61" s="309">
        <f t="shared" si="4"/>
        <v>0</v>
      </c>
      <c r="AL61" s="309">
        <f t="shared" si="5"/>
        <v>0</v>
      </c>
      <c r="AM61" s="309">
        <f t="shared" si="5"/>
        <v>0</v>
      </c>
      <c r="AN61" s="309"/>
      <c r="AO61" s="309"/>
      <c r="AP61" s="309">
        <f t="shared" si="0"/>
        <v>2224969</v>
      </c>
      <c r="AQ61" s="309">
        <f t="shared" si="9"/>
        <v>2224969</v>
      </c>
      <c r="AR61" s="309">
        <f t="shared" si="9"/>
        <v>2224969</v>
      </c>
      <c r="AS61" s="309"/>
      <c r="AT61" s="309"/>
      <c r="AV61" s="311">
        <f t="shared" si="1"/>
        <v>0</v>
      </c>
      <c r="AW61" s="311">
        <f t="shared" si="2"/>
        <v>37824473</v>
      </c>
      <c r="AX61" s="312">
        <f t="shared" si="3"/>
        <v>0</v>
      </c>
    </row>
    <row r="62" spans="1:51">
      <c r="A62" s="291" t="s">
        <v>494</v>
      </c>
      <c r="B62" s="291"/>
      <c r="C62" s="291"/>
      <c r="D62" s="291">
        <v>1160505001</v>
      </c>
      <c r="E62" s="291">
        <v>0</v>
      </c>
      <c r="F62" s="291">
        <v>43541</v>
      </c>
      <c r="G62" s="306">
        <v>43135</v>
      </c>
      <c r="H62" s="306">
        <v>44231</v>
      </c>
      <c r="I62" s="291">
        <v>1048</v>
      </c>
      <c r="J62" s="307">
        <v>6666000</v>
      </c>
      <c r="K62" s="307">
        <v>1622060</v>
      </c>
      <c r="L62" s="307">
        <v>0</v>
      </c>
      <c r="M62" s="291" t="s">
        <v>495</v>
      </c>
      <c r="N62" s="307">
        <v>6666000</v>
      </c>
      <c r="O62" s="307">
        <v>1622060</v>
      </c>
      <c r="P62" s="307">
        <v>3492984</v>
      </c>
      <c r="Q62" s="291">
        <v>1</v>
      </c>
      <c r="R62" s="291" t="s">
        <v>496</v>
      </c>
      <c r="S62" s="291">
        <v>100</v>
      </c>
      <c r="T62" s="307">
        <v>6666000</v>
      </c>
      <c r="U62" s="307">
        <v>1622060</v>
      </c>
      <c r="V62" s="291">
        <v>300</v>
      </c>
      <c r="W62" s="307">
        <v>9658729</v>
      </c>
      <c r="X62" s="291">
        <v>2</v>
      </c>
      <c r="Y62" s="291">
        <v>1160902010</v>
      </c>
      <c r="Z62" s="291">
        <v>2023</v>
      </c>
      <c r="AA62" s="291">
        <v>12</v>
      </c>
      <c r="AB62" s="291">
        <v>5026003002</v>
      </c>
      <c r="AC62" s="291">
        <v>1160903005</v>
      </c>
      <c r="AD62" s="291">
        <v>0</v>
      </c>
      <c r="AE62" s="291">
        <v>0</v>
      </c>
      <c r="AF62" s="291">
        <v>0</v>
      </c>
      <c r="AG62" s="291">
        <v>1160605001</v>
      </c>
      <c r="AH62" s="291">
        <v>1048</v>
      </c>
      <c r="AI62" s="291" t="s">
        <v>499</v>
      </c>
      <c r="AJ62" s="308">
        <v>0.05</v>
      </c>
      <c r="AK62" s="309">
        <f t="shared" si="4"/>
        <v>333300</v>
      </c>
      <c r="AL62" s="309">
        <f t="shared" si="5"/>
        <v>333300</v>
      </c>
      <c r="AM62" s="309">
        <f t="shared" si="5"/>
        <v>333300</v>
      </c>
      <c r="AN62" s="309"/>
      <c r="AO62" s="309"/>
      <c r="AP62" s="309">
        <f t="shared" si="0"/>
        <v>40551.5</v>
      </c>
      <c r="AQ62" s="309">
        <f t="shared" si="9"/>
        <v>40551.5</v>
      </c>
      <c r="AR62" s="309">
        <f t="shared" si="9"/>
        <v>40551.5</v>
      </c>
      <c r="AS62" s="309"/>
      <c r="AT62" s="309"/>
      <c r="AV62" s="311">
        <f t="shared" si="1"/>
        <v>5666100</v>
      </c>
      <c r="AW62" s="311">
        <f t="shared" si="2"/>
        <v>1500405.5</v>
      </c>
      <c r="AX62" s="312">
        <f t="shared" si="3"/>
        <v>0</v>
      </c>
    </row>
    <row r="63" spans="1:51">
      <c r="A63" s="291" t="s">
        <v>494</v>
      </c>
      <c r="B63" s="291"/>
      <c r="C63" s="291"/>
      <c r="D63" s="291">
        <v>1160505001</v>
      </c>
      <c r="E63" s="291">
        <v>0</v>
      </c>
      <c r="F63" s="291">
        <v>46072</v>
      </c>
      <c r="G63" s="306">
        <v>43511</v>
      </c>
      <c r="H63" s="306">
        <v>44607</v>
      </c>
      <c r="I63" s="291">
        <v>677</v>
      </c>
      <c r="J63" s="307">
        <v>10000000</v>
      </c>
      <c r="K63" s="307">
        <v>2700000</v>
      </c>
      <c r="L63" s="307">
        <v>0</v>
      </c>
      <c r="M63" s="291" t="s">
        <v>495</v>
      </c>
      <c r="N63" s="307">
        <v>10000000</v>
      </c>
      <c r="O63" s="307">
        <v>2700000</v>
      </c>
      <c r="P63" s="307">
        <v>3385000</v>
      </c>
      <c r="Q63" s="291">
        <v>1</v>
      </c>
      <c r="R63" s="291" t="s">
        <v>496</v>
      </c>
      <c r="S63" s="291">
        <v>100</v>
      </c>
      <c r="T63" s="307">
        <v>10000000</v>
      </c>
      <c r="U63" s="307">
        <v>2700000</v>
      </c>
      <c r="V63" s="291">
        <v>300</v>
      </c>
      <c r="W63" s="307">
        <v>9658729</v>
      </c>
      <c r="X63" s="291">
        <v>2</v>
      </c>
      <c r="Y63" s="291">
        <v>1160902010</v>
      </c>
      <c r="Z63" s="291">
        <v>2023</v>
      </c>
      <c r="AA63" s="291">
        <v>12</v>
      </c>
      <c r="AB63" s="291">
        <v>5026003002</v>
      </c>
      <c r="AC63" s="291">
        <v>1160903005</v>
      </c>
      <c r="AD63" s="291">
        <v>0</v>
      </c>
      <c r="AE63" s="291">
        <v>0</v>
      </c>
      <c r="AF63" s="291">
        <v>0</v>
      </c>
      <c r="AG63" s="291">
        <v>1160605001</v>
      </c>
      <c r="AH63" s="291">
        <v>1048</v>
      </c>
      <c r="AI63" s="291" t="s">
        <v>499</v>
      </c>
      <c r="AJ63" s="308">
        <v>0.05</v>
      </c>
      <c r="AK63" s="309">
        <f t="shared" si="4"/>
        <v>500000</v>
      </c>
      <c r="AL63" s="309">
        <f t="shared" si="5"/>
        <v>500000</v>
      </c>
      <c r="AM63" s="309">
        <f t="shared" si="5"/>
        <v>500000</v>
      </c>
      <c r="AN63" s="309"/>
      <c r="AO63" s="309"/>
      <c r="AP63" s="309">
        <f t="shared" si="0"/>
        <v>67500</v>
      </c>
      <c r="AQ63" s="309">
        <f t="shared" si="9"/>
        <v>67500</v>
      </c>
      <c r="AR63" s="309">
        <f t="shared" si="9"/>
        <v>67500</v>
      </c>
      <c r="AS63" s="309"/>
      <c r="AT63" s="309"/>
      <c r="AV63" s="311">
        <f t="shared" si="1"/>
        <v>8500000</v>
      </c>
      <c r="AW63" s="311">
        <f t="shared" si="2"/>
        <v>2497500</v>
      </c>
      <c r="AX63" s="312">
        <f t="shared" si="3"/>
        <v>0</v>
      </c>
    </row>
    <row r="64" spans="1:51">
      <c r="A64" s="291" t="s">
        <v>494</v>
      </c>
      <c r="B64" s="291"/>
      <c r="C64" s="291"/>
      <c r="D64" s="291">
        <v>1160505004</v>
      </c>
      <c r="E64" s="291">
        <v>30486</v>
      </c>
      <c r="F64" s="291">
        <v>35092</v>
      </c>
      <c r="G64" s="306">
        <v>41719</v>
      </c>
      <c r="H64" s="306">
        <v>42815</v>
      </c>
      <c r="I64" s="291">
        <v>2441</v>
      </c>
      <c r="J64" s="307">
        <v>2605000</v>
      </c>
      <c r="K64" s="307">
        <v>113027</v>
      </c>
      <c r="L64" s="307">
        <v>0</v>
      </c>
      <c r="M64" s="291" t="s">
        <v>495</v>
      </c>
      <c r="N64" s="307">
        <v>2605000</v>
      </c>
      <c r="O64" s="307">
        <v>113027</v>
      </c>
      <c r="P64" s="307">
        <v>3179403</v>
      </c>
      <c r="Q64" s="291">
        <v>1</v>
      </c>
      <c r="R64" s="291" t="s">
        <v>496</v>
      </c>
      <c r="S64" s="291">
        <v>100</v>
      </c>
      <c r="T64" s="307">
        <v>2605000</v>
      </c>
      <c r="U64" s="307">
        <v>113027</v>
      </c>
      <c r="V64" s="291">
        <v>300</v>
      </c>
      <c r="W64" s="307">
        <v>8515214</v>
      </c>
      <c r="X64" s="291">
        <v>5</v>
      </c>
      <c r="Y64" s="291">
        <v>1160902010</v>
      </c>
      <c r="Z64" s="291">
        <v>2023</v>
      </c>
      <c r="AA64" s="291">
        <v>12</v>
      </c>
      <c r="AB64" s="291">
        <v>5026003002</v>
      </c>
      <c r="AC64" s="291">
        <v>1160903005</v>
      </c>
      <c r="AD64" s="291">
        <v>0</v>
      </c>
      <c r="AE64" s="291">
        <v>0</v>
      </c>
      <c r="AF64" s="291">
        <v>0</v>
      </c>
      <c r="AG64" s="291">
        <v>1160605001</v>
      </c>
      <c r="AH64" s="291">
        <v>2441</v>
      </c>
      <c r="AI64" s="291" t="s">
        <v>497</v>
      </c>
      <c r="AJ64" s="308">
        <v>0.01</v>
      </c>
      <c r="AK64" s="309">
        <f t="shared" si="4"/>
        <v>26050</v>
      </c>
      <c r="AL64" s="309">
        <f t="shared" si="5"/>
        <v>26050</v>
      </c>
      <c r="AM64" s="309">
        <f t="shared" si="5"/>
        <v>26050</v>
      </c>
      <c r="AN64" s="309"/>
      <c r="AO64" s="309"/>
      <c r="AP64" s="309">
        <f t="shared" si="0"/>
        <v>565.13499999999999</v>
      </c>
      <c r="AQ64" s="309">
        <f t="shared" si="9"/>
        <v>565.13499999999999</v>
      </c>
      <c r="AR64" s="309">
        <f t="shared" si="9"/>
        <v>565.13499999999999</v>
      </c>
      <c r="AS64" s="309"/>
      <c r="AT64" s="309"/>
      <c r="AV64" s="311">
        <f t="shared" si="1"/>
        <v>2526850</v>
      </c>
      <c r="AW64" s="311">
        <f t="shared" si="2"/>
        <v>111331.59500000002</v>
      </c>
      <c r="AX64" s="312">
        <f t="shared" si="3"/>
        <v>0</v>
      </c>
    </row>
    <row r="65" spans="1:50">
      <c r="A65" s="291" t="s">
        <v>494</v>
      </c>
      <c r="B65" s="291"/>
      <c r="C65" s="291"/>
      <c r="D65" s="291">
        <v>1160505004</v>
      </c>
      <c r="E65" s="291">
        <v>39472</v>
      </c>
      <c r="F65" s="291">
        <v>41846</v>
      </c>
      <c r="G65" s="306">
        <v>42827</v>
      </c>
      <c r="H65" s="306">
        <v>43923</v>
      </c>
      <c r="I65" s="291">
        <v>1350</v>
      </c>
      <c r="J65" s="307">
        <v>1301819</v>
      </c>
      <c r="K65" s="307">
        <v>42562</v>
      </c>
      <c r="L65" s="307">
        <v>0</v>
      </c>
      <c r="M65" s="291" t="s">
        <v>495</v>
      </c>
      <c r="N65" s="307">
        <v>1301819</v>
      </c>
      <c r="O65" s="307">
        <v>42562</v>
      </c>
      <c r="P65" s="307">
        <v>878728</v>
      </c>
      <c r="Q65" s="291">
        <v>1</v>
      </c>
      <c r="R65" s="291" t="s">
        <v>496</v>
      </c>
      <c r="S65" s="291">
        <v>100</v>
      </c>
      <c r="T65" s="307">
        <v>1301819</v>
      </c>
      <c r="U65" s="307">
        <v>42562</v>
      </c>
      <c r="V65" s="291">
        <v>300</v>
      </c>
      <c r="W65" s="307">
        <v>3165708</v>
      </c>
      <c r="X65" s="291">
        <v>5</v>
      </c>
      <c r="Y65" s="291">
        <v>1160902010</v>
      </c>
      <c r="Z65" s="291">
        <v>2023</v>
      </c>
      <c r="AA65" s="291">
        <v>12</v>
      </c>
      <c r="AB65" s="291">
        <v>5026003002</v>
      </c>
      <c r="AC65" s="291">
        <v>1160903005</v>
      </c>
      <c r="AD65" s="291">
        <v>0</v>
      </c>
      <c r="AE65" s="291">
        <v>0</v>
      </c>
      <c r="AF65" s="291">
        <v>0</v>
      </c>
      <c r="AG65" s="291">
        <v>1160605001</v>
      </c>
      <c r="AH65" s="291">
        <v>1415</v>
      </c>
      <c r="AI65" s="291" t="s">
        <v>497</v>
      </c>
      <c r="AJ65" s="308">
        <v>0.01</v>
      </c>
      <c r="AK65" s="309">
        <f t="shared" si="4"/>
        <v>13018.19</v>
      </c>
      <c r="AL65" s="309">
        <f t="shared" si="5"/>
        <v>13018.19</v>
      </c>
      <c r="AM65" s="309">
        <f t="shared" si="5"/>
        <v>13018.19</v>
      </c>
      <c r="AN65" s="309"/>
      <c r="AO65" s="309"/>
      <c r="AP65" s="309">
        <f t="shared" si="0"/>
        <v>212.81</v>
      </c>
      <c r="AQ65" s="309">
        <f t="shared" si="9"/>
        <v>212.81</v>
      </c>
      <c r="AR65" s="309">
        <f t="shared" si="9"/>
        <v>212.81</v>
      </c>
      <c r="AS65" s="309"/>
      <c r="AT65" s="309"/>
      <c r="AV65" s="311">
        <f t="shared" si="1"/>
        <v>1262764.4300000002</v>
      </c>
      <c r="AW65" s="311">
        <f t="shared" si="2"/>
        <v>41923.570000000007</v>
      </c>
      <c r="AX65" s="312">
        <f t="shared" si="3"/>
        <v>0</v>
      </c>
    </row>
    <row r="66" spans="1:50">
      <c r="A66" s="291" t="s">
        <v>494</v>
      </c>
      <c r="B66" s="291"/>
      <c r="C66" s="291"/>
      <c r="D66" s="291">
        <v>1160505001</v>
      </c>
      <c r="E66" s="291">
        <v>0</v>
      </c>
      <c r="F66" s="291">
        <v>45844</v>
      </c>
      <c r="G66" s="306">
        <v>43492</v>
      </c>
      <c r="H66" s="306">
        <v>43857</v>
      </c>
      <c r="I66" s="291">
        <v>1415</v>
      </c>
      <c r="J66" s="307">
        <v>750000</v>
      </c>
      <c r="K66" s="307">
        <v>0</v>
      </c>
      <c r="L66" s="307">
        <v>0</v>
      </c>
      <c r="M66" s="291" t="s">
        <v>495</v>
      </c>
      <c r="N66" s="307">
        <v>750000</v>
      </c>
      <c r="O66" s="307">
        <v>0</v>
      </c>
      <c r="P66" s="307">
        <v>530625</v>
      </c>
      <c r="Q66" s="291">
        <v>1</v>
      </c>
      <c r="R66" s="291" t="s">
        <v>496</v>
      </c>
      <c r="S66" s="291">
        <v>100</v>
      </c>
      <c r="T66" s="307">
        <v>750000</v>
      </c>
      <c r="U66" s="307">
        <v>0</v>
      </c>
      <c r="V66" s="291">
        <v>300</v>
      </c>
      <c r="W66" s="307">
        <v>3165708</v>
      </c>
      <c r="X66" s="291">
        <v>15</v>
      </c>
      <c r="Y66" s="291">
        <v>1160902010</v>
      </c>
      <c r="Z66" s="291">
        <v>2023</v>
      </c>
      <c r="AA66" s="291">
        <v>12</v>
      </c>
      <c r="AB66" s="291">
        <v>5026003002</v>
      </c>
      <c r="AC66" s="291">
        <v>1160903005</v>
      </c>
      <c r="AD66" s="291">
        <v>0</v>
      </c>
      <c r="AE66" s="291">
        <v>0</v>
      </c>
      <c r="AF66" s="291">
        <v>0</v>
      </c>
      <c r="AG66" s="291">
        <v>1160605001</v>
      </c>
      <c r="AH66" s="291">
        <v>1415</v>
      </c>
      <c r="AI66" s="291" t="s">
        <v>497</v>
      </c>
      <c r="AJ66" s="308">
        <v>0.01</v>
      </c>
      <c r="AK66" s="309">
        <f t="shared" si="4"/>
        <v>7500</v>
      </c>
      <c r="AL66" s="309">
        <f t="shared" si="5"/>
        <v>7500</v>
      </c>
      <c r="AM66" s="309">
        <f t="shared" si="5"/>
        <v>7500</v>
      </c>
      <c r="AN66" s="309"/>
      <c r="AO66" s="309"/>
      <c r="AP66" s="309">
        <f t="shared" si="0"/>
        <v>0</v>
      </c>
      <c r="AQ66" s="309">
        <f t="shared" si="9"/>
        <v>0</v>
      </c>
      <c r="AR66" s="309">
        <f t="shared" si="9"/>
        <v>0</v>
      </c>
      <c r="AS66" s="309"/>
      <c r="AT66" s="309"/>
      <c r="AV66" s="311">
        <f t="shared" si="1"/>
        <v>727500</v>
      </c>
      <c r="AW66" s="311">
        <f t="shared" si="2"/>
        <v>0</v>
      </c>
      <c r="AX66" s="312">
        <f t="shared" si="3"/>
        <v>0</v>
      </c>
    </row>
    <row r="67" spans="1:50">
      <c r="A67" s="291" t="s">
        <v>494</v>
      </c>
      <c r="B67" s="291"/>
      <c r="C67" s="291"/>
      <c r="D67" s="291">
        <v>1160505001</v>
      </c>
      <c r="E67" s="291">
        <v>0</v>
      </c>
      <c r="F67" s="291">
        <v>46312</v>
      </c>
      <c r="G67" s="306">
        <v>43533</v>
      </c>
      <c r="H67" s="306">
        <v>44629</v>
      </c>
      <c r="I67" s="291">
        <v>653</v>
      </c>
      <c r="J67" s="307">
        <v>3000000</v>
      </c>
      <c r="K67" s="307">
        <v>810000</v>
      </c>
      <c r="L67" s="307">
        <v>0</v>
      </c>
      <c r="M67" s="291" t="s">
        <v>495</v>
      </c>
      <c r="N67" s="307">
        <v>3000000</v>
      </c>
      <c r="O67" s="307">
        <v>810000</v>
      </c>
      <c r="P67" s="307">
        <v>979500</v>
      </c>
      <c r="Q67" s="291">
        <v>1</v>
      </c>
      <c r="R67" s="291" t="s">
        <v>496</v>
      </c>
      <c r="S67" s="291">
        <v>100</v>
      </c>
      <c r="T67" s="307">
        <v>3000000</v>
      </c>
      <c r="U67" s="307">
        <v>810000</v>
      </c>
      <c r="V67" s="291">
        <v>300</v>
      </c>
      <c r="W67" s="307">
        <v>2214620</v>
      </c>
      <c r="X67" s="291">
        <v>2</v>
      </c>
      <c r="Y67" s="291">
        <v>1160902010</v>
      </c>
      <c r="Z67" s="291">
        <v>2023</v>
      </c>
      <c r="AA67" s="291">
        <v>12</v>
      </c>
      <c r="AB67" s="291">
        <v>5026003002</v>
      </c>
      <c r="AC67" s="291">
        <v>1160903005</v>
      </c>
      <c r="AD67" s="291">
        <v>0</v>
      </c>
      <c r="AE67" s="291">
        <v>0</v>
      </c>
      <c r="AF67" s="291">
        <v>0</v>
      </c>
      <c r="AG67" s="291">
        <v>1160605001</v>
      </c>
      <c r="AH67" s="291">
        <v>653</v>
      </c>
      <c r="AI67" s="291" t="s">
        <v>498</v>
      </c>
      <c r="AJ67" s="308">
        <v>0.1</v>
      </c>
      <c r="AK67" s="309">
        <f t="shared" si="4"/>
        <v>300000</v>
      </c>
      <c r="AL67" s="309">
        <f t="shared" si="5"/>
        <v>300000</v>
      </c>
      <c r="AM67" s="309">
        <f t="shared" si="5"/>
        <v>300000</v>
      </c>
      <c r="AN67" s="309"/>
      <c r="AO67" s="309"/>
      <c r="AP67" s="309">
        <f t="shared" si="0"/>
        <v>40500</v>
      </c>
      <c r="AQ67" s="309">
        <f t="shared" si="9"/>
        <v>40500</v>
      </c>
      <c r="AR67" s="309">
        <f t="shared" si="9"/>
        <v>40500</v>
      </c>
      <c r="AS67" s="309"/>
      <c r="AT67" s="309"/>
      <c r="AV67" s="311">
        <f t="shared" si="1"/>
        <v>2100000</v>
      </c>
      <c r="AW67" s="311">
        <f t="shared" si="2"/>
        <v>688500</v>
      </c>
      <c r="AX67" s="312">
        <f t="shared" si="3"/>
        <v>0</v>
      </c>
    </row>
    <row r="68" spans="1:50">
      <c r="A68" s="291" t="s">
        <v>494</v>
      </c>
      <c r="B68" s="291"/>
      <c r="C68" s="291"/>
      <c r="D68" s="291">
        <v>1160505004</v>
      </c>
      <c r="E68" s="291">
        <v>32965</v>
      </c>
      <c r="F68" s="291">
        <v>37688</v>
      </c>
      <c r="G68" s="306">
        <v>42113</v>
      </c>
      <c r="H68" s="306">
        <v>43209</v>
      </c>
      <c r="I68" s="291">
        <v>2053</v>
      </c>
      <c r="J68" s="307">
        <v>1500000</v>
      </c>
      <c r="K68" s="307">
        <v>495000</v>
      </c>
      <c r="L68" s="307">
        <v>0</v>
      </c>
      <c r="M68" s="291" t="s">
        <v>495</v>
      </c>
      <c r="N68" s="307">
        <v>1500000</v>
      </c>
      <c r="O68" s="307">
        <v>495000</v>
      </c>
      <c r="P68" s="307">
        <v>1539750</v>
      </c>
      <c r="Q68" s="291">
        <v>1</v>
      </c>
      <c r="R68" s="291" t="s">
        <v>496</v>
      </c>
      <c r="S68" s="291">
        <v>100</v>
      </c>
      <c r="T68" s="307">
        <v>1500000</v>
      </c>
      <c r="U68" s="307">
        <v>495000</v>
      </c>
      <c r="V68" s="291">
        <v>200</v>
      </c>
      <c r="W68" s="307">
        <v>973913</v>
      </c>
      <c r="X68" s="291">
        <v>5</v>
      </c>
      <c r="Y68" s="291">
        <v>1160902010</v>
      </c>
      <c r="Z68" s="291">
        <v>2023</v>
      </c>
      <c r="AA68" s="291">
        <v>12</v>
      </c>
      <c r="AB68" s="291">
        <v>5026003002</v>
      </c>
      <c r="AC68" s="291">
        <v>1160903005</v>
      </c>
      <c r="AD68" s="291">
        <v>0</v>
      </c>
      <c r="AE68" s="291">
        <v>0</v>
      </c>
      <c r="AF68" s="291">
        <v>0</v>
      </c>
      <c r="AG68" s="291">
        <v>1160605001</v>
      </c>
      <c r="AH68" s="291">
        <v>2053</v>
      </c>
      <c r="AI68" s="291" t="s">
        <v>497</v>
      </c>
      <c r="AJ68" s="308">
        <v>0.01</v>
      </c>
      <c r="AK68" s="309">
        <f t="shared" si="4"/>
        <v>15000</v>
      </c>
      <c r="AL68" s="309">
        <f t="shared" si="5"/>
        <v>15000</v>
      </c>
      <c r="AM68" s="309">
        <f t="shared" si="5"/>
        <v>15000</v>
      </c>
      <c r="AN68" s="309"/>
      <c r="AO68" s="309"/>
      <c r="AP68" s="309">
        <f t="shared" si="0"/>
        <v>2475</v>
      </c>
      <c r="AQ68" s="309">
        <f t="shared" si="9"/>
        <v>2475</v>
      </c>
      <c r="AR68" s="309">
        <f t="shared" si="9"/>
        <v>2475</v>
      </c>
      <c r="AS68" s="309"/>
      <c r="AT68" s="309"/>
      <c r="AV68" s="311">
        <f t="shared" si="1"/>
        <v>1455000</v>
      </c>
      <c r="AW68" s="311">
        <f t="shared" si="2"/>
        <v>487575</v>
      </c>
      <c r="AX68" s="312">
        <f t="shared" si="3"/>
        <v>0</v>
      </c>
    </row>
    <row r="69" spans="1:50">
      <c r="A69" s="291" t="s">
        <v>494</v>
      </c>
      <c r="B69" s="291"/>
      <c r="C69" s="291"/>
      <c r="D69" s="291">
        <v>1160505001</v>
      </c>
      <c r="E69" s="291">
        <v>0</v>
      </c>
      <c r="F69" s="291">
        <v>45364</v>
      </c>
      <c r="G69" s="306">
        <v>43380</v>
      </c>
      <c r="H69" s="306">
        <v>44111</v>
      </c>
      <c r="I69" s="291">
        <v>1165</v>
      </c>
      <c r="J69" s="307">
        <v>1400000</v>
      </c>
      <c r="K69" s="307">
        <v>504000</v>
      </c>
      <c r="L69" s="307">
        <v>0</v>
      </c>
      <c r="M69" s="291" t="s">
        <v>495</v>
      </c>
      <c r="N69" s="307">
        <v>1400000</v>
      </c>
      <c r="O69" s="307">
        <v>504000</v>
      </c>
      <c r="P69" s="307">
        <v>815500</v>
      </c>
      <c r="Q69" s="291">
        <v>1</v>
      </c>
      <c r="R69" s="291" t="s">
        <v>496</v>
      </c>
      <c r="S69" s="291">
        <v>100</v>
      </c>
      <c r="T69" s="307">
        <v>1400000</v>
      </c>
      <c r="U69" s="307">
        <v>504000</v>
      </c>
      <c r="V69" s="291">
        <v>100</v>
      </c>
      <c r="W69" s="307">
        <v>1697838</v>
      </c>
      <c r="X69" s="291">
        <v>2</v>
      </c>
      <c r="Y69" s="291">
        <v>1160902010</v>
      </c>
      <c r="Z69" s="291">
        <v>2023</v>
      </c>
      <c r="AA69" s="291">
        <v>12</v>
      </c>
      <c r="AB69" s="291">
        <v>5026003002</v>
      </c>
      <c r="AC69" s="291">
        <v>1160903005</v>
      </c>
      <c r="AD69" s="291">
        <v>0</v>
      </c>
      <c r="AE69" s="291">
        <v>0</v>
      </c>
      <c r="AF69" s="291">
        <v>0</v>
      </c>
      <c r="AG69" s="291">
        <v>1160605001</v>
      </c>
      <c r="AH69" s="291">
        <v>1165</v>
      </c>
      <c r="AI69" s="291" t="s">
        <v>497</v>
      </c>
      <c r="AJ69" s="308">
        <v>0.01</v>
      </c>
      <c r="AK69" s="309">
        <f t="shared" si="4"/>
        <v>14000</v>
      </c>
      <c r="AL69" s="309">
        <f t="shared" si="5"/>
        <v>14000</v>
      </c>
      <c r="AM69" s="309">
        <f t="shared" si="5"/>
        <v>14000</v>
      </c>
      <c r="AN69" s="309"/>
      <c r="AO69" s="309"/>
      <c r="AP69" s="309">
        <f t="shared" si="0"/>
        <v>2520</v>
      </c>
      <c r="AQ69" s="309">
        <f t="shared" si="9"/>
        <v>2520</v>
      </c>
      <c r="AR69" s="309">
        <f t="shared" si="9"/>
        <v>2520</v>
      </c>
      <c r="AS69" s="309"/>
      <c r="AT69" s="309"/>
      <c r="AV69" s="311">
        <f t="shared" si="1"/>
        <v>1358000</v>
      </c>
      <c r="AW69" s="311">
        <f t="shared" si="2"/>
        <v>496440</v>
      </c>
      <c r="AX69" s="312">
        <f t="shared" si="3"/>
        <v>0</v>
      </c>
    </row>
    <row r="70" spans="1:50">
      <c r="A70" s="291" t="s">
        <v>494</v>
      </c>
      <c r="B70" s="291"/>
      <c r="C70" s="291"/>
      <c r="D70" s="291">
        <v>1160505001</v>
      </c>
      <c r="E70" s="291">
        <v>0</v>
      </c>
      <c r="F70" s="291">
        <v>46537</v>
      </c>
      <c r="G70" s="306">
        <v>43561</v>
      </c>
      <c r="H70" s="306">
        <v>43927</v>
      </c>
      <c r="I70" s="291">
        <v>1346</v>
      </c>
      <c r="J70" s="307">
        <v>2000000</v>
      </c>
      <c r="K70" s="307">
        <v>180000</v>
      </c>
      <c r="L70" s="307">
        <v>0</v>
      </c>
      <c r="M70" s="291" t="s">
        <v>495</v>
      </c>
      <c r="N70" s="307">
        <v>2000000</v>
      </c>
      <c r="O70" s="307">
        <v>180000</v>
      </c>
      <c r="P70" s="307">
        <v>1346000</v>
      </c>
      <c r="Q70" s="291">
        <v>1</v>
      </c>
      <c r="R70" s="291" t="s">
        <v>496</v>
      </c>
      <c r="S70" s="291">
        <v>100</v>
      </c>
      <c r="T70" s="307">
        <v>2000000</v>
      </c>
      <c r="U70" s="307">
        <v>180000</v>
      </c>
      <c r="V70" s="291">
        <v>100</v>
      </c>
      <c r="W70" s="307">
        <v>4455181</v>
      </c>
      <c r="X70" s="291">
        <v>2</v>
      </c>
      <c r="Y70" s="291">
        <v>1160902010</v>
      </c>
      <c r="Z70" s="291">
        <v>2023</v>
      </c>
      <c r="AA70" s="291">
        <v>12</v>
      </c>
      <c r="AB70" s="291">
        <v>5026003002</v>
      </c>
      <c r="AC70" s="291">
        <v>1160903005</v>
      </c>
      <c r="AD70" s="291">
        <v>0</v>
      </c>
      <c r="AE70" s="291">
        <v>0</v>
      </c>
      <c r="AF70" s="291">
        <v>0</v>
      </c>
      <c r="AG70" s="291">
        <v>1160605001</v>
      </c>
      <c r="AH70" s="291">
        <v>1346</v>
      </c>
      <c r="AI70" s="291" t="s">
        <v>497</v>
      </c>
      <c r="AJ70" s="308">
        <v>0.01</v>
      </c>
      <c r="AK70" s="309">
        <f t="shared" si="4"/>
        <v>20000</v>
      </c>
      <c r="AL70" s="309">
        <f t="shared" si="5"/>
        <v>20000</v>
      </c>
      <c r="AM70" s="309">
        <f t="shared" si="5"/>
        <v>20000</v>
      </c>
      <c r="AN70" s="309"/>
      <c r="AO70" s="309"/>
      <c r="AP70" s="309">
        <f t="shared" ref="AP70:AP133" si="10">+K70*(AJ70/2)</f>
        <v>900</v>
      </c>
      <c r="AQ70" s="309">
        <f t="shared" si="9"/>
        <v>900</v>
      </c>
      <c r="AR70" s="309">
        <f t="shared" si="9"/>
        <v>900</v>
      </c>
      <c r="AS70" s="309"/>
      <c r="AT70" s="309"/>
      <c r="AV70" s="311">
        <f t="shared" ref="AV70:AV133" si="11">J70-AK70-AL70-AM70</f>
        <v>1940000</v>
      </c>
      <c r="AW70" s="311">
        <f t="shared" ref="AW70:AW133" si="12">+K70-AP70-AQ70-AR70</f>
        <v>177300</v>
      </c>
      <c r="AX70" s="312">
        <f t="shared" ref="AX70:AX133" si="13">+J70-N70</f>
        <v>0</v>
      </c>
    </row>
    <row r="71" spans="1:50">
      <c r="A71" s="291" t="s">
        <v>494</v>
      </c>
      <c r="B71" s="291"/>
      <c r="C71" s="291"/>
      <c r="D71" s="291">
        <v>1160505001</v>
      </c>
      <c r="E71" s="291">
        <v>0</v>
      </c>
      <c r="F71" s="291">
        <v>41623</v>
      </c>
      <c r="G71" s="306">
        <v>42804</v>
      </c>
      <c r="H71" s="306">
        <v>44265</v>
      </c>
      <c r="I71" s="291">
        <v>1012</v>
      </c>
      <c r="J71" s="307">
        <v>707696</v>
      </c>
      <c r="K71" s="307">
        <v>22882</v>
      </c>
      <c r="L71" s="307">
        <v>0</v>
      </c>
      <c r="M71" s="291" t="s">
        <v>495</v>
      </c>
      <c r="N71" s="307">
        <v>707696</v>
      </c>
      <c r="O71" s="307">
        <v>22882</v>
      </c>
      <c r="P71" s="307">
        <v>358094</v>
      </c>
      <c r="Q71" s="291">
        <v>1</v>
      </c>
      <c r="R71" s="291" t="s">
        <v>496</v>
      </c>
      <c r="S71" s="291">
        <v>100</v>
      </c>
      <c r="T71" s="307">
        <v>707696</v>
      </c>
      <c r="U71" s="307">
        <v>22882</v>
      </c>
      <c r="V71" s="291">
        <v>100</v>
      </c>
      <c r="W71" s="307">
        <v>2302585</v>
      </c>
      <c r="X71" s="291">
        <v>14</v>
      </c>
      <c r="Y71" s="291">
        <v>1160902010</v>
      </c>
      <c r="Z71" s="291">
        <v>2023</v>
      </c>
      <c r="AA71" s="291">
        <v>12</v>
      </c>
      <c r="AB71" s="291">
        <v>5026003002</v>
      </c>
      <c r="AC71" s="291">
        <v>1160903005</v>
      </c>
      <c r="AD71" s="291">
        <v>0</v>
      </c>
      <c r="AE71" s="291">
        <v>0</v>
      </c>
      <c r="AF71" s="291">
        <v>0</v>
      </c>
      <c r="AG71" s="291">
        <v>1160605001</v>
      </c>
      <c r="AH71" s="291">
        <v>1012</v>
      </c>
      <c r="AI71" s="291" t="s">
        <v>499</v>
      </c>
      <c r="AJ71" s="308">
        <v>0.05</v>
      </c>
      <c r="AK71" s="309">
        <f t="shared" ref="AK71:AK134" si="14">+$J71*$AJ71</f>
        <v>35384.800000000003</v>
      </c>
      <c r="AL71" s="309">
        <f t="shared" ref="AL71:AM134" si="15">IF(($J71-$AK71)&gt;0,$J71*$AJ71,0)</f>
        <v>35384.800000000003</v>
      </c>
      <c r="AM71" s="309">
        <f t="shared" si="15"/>
        <v>35384.800000000003</v>
      </c>
      <c r="AN71" s="309"/>
      <c r="AO71" s="309"/>
      <c r="AP71" s="309">
        <f t="shared" si="10"/>
        <v>572.05000000000007</v>
      </c>
      <c r="AQ71" s="309">
        <f t="shared" ref="AQ71:AR86" si="16">AP71</f>
        <v>572.05000000000007</v>
      </c>
      <c r="AR71" s="309">
        <f t="shared" si="16"/>
        <v>572.05000000000007</v>
      </c>
      <c r="AS71" s="309"/>
      <c r="AT71" s="309"/>
      <c r="AV71" s="311">
        <f t="shared" si="11"/>
        <v>601541.59999999986</v>
      </c>
      <c r="AW71" s="311">
        <f t="shared" si="12"/>
        <v>21165.850000000002</v>
      </c>
      <c r="AX71" s="312">
        <f t="shared" si="13"/>
        <v>0</v>
      </c>
    </row>
    <row r="72" spans="1:50">
      <c r="A72" s="291" t="s">
        <v>494</v>
      </c>
      <c r="B72" s="291"/>
      <c r="C72" s="291"/>
      <c r="D72" s="291">
        <v>1160505001</v>
      </c>
      <c r="E72" s="291">
        <v>0</v>
      </c>
      <c r="F72" s="291">
        <v>43852</v>
      </c>
      <c r="G72" s="306">
        <v>43157</v>
      </c>
      <c r="H72" s="306">
        <v>43887</v>
      </c>
      <c r="I72" s="291">
        <v>1386</v>
      </c>
      <c r="J72" s="307">
        <v>2000000</v>
      </c>
      <c r="K72" s="307">
        <v>600000</v>
      </c>
      <c r="L72" s="307">
        <v>0</v>
      </c>
      <c r="M72" s="291" t="s">
        <v>495</v>
      </c>
      <c r="N72" s="307">
        <v>2000000</v>
      </c>
      <c r="O72" s="307">
        <v>600000</v>
      </c>
      <c r="P72" s="307">
        <v>1386000</v>
      </c>
      <c r="Q72" s="291">
        <v>1</v>
      </c>
      <c r="R72" s="291" t="s">
        <v>496</v>
      </c>
      <c r="S72" s="291">
        <v>100</v>
      </c>
      <c r="T72" s="307">
        <v>2000000</v>
      </c>
      <c r="U72" s="307">
        <v>600000</v>
      </c>
      <c r="V72" s="291">
        <v>400</v>
      </c>
      <c r="W72" s="307">
        <v>2432528</v>
      </c>
      <c r="X72" s="291">
        <v>2</v>
      </c>
      <c r="Y72" s="291">
        <v>1160902010</v>
      </c>
      <c r="Z72" s="291">
        <v>2023</v>
      </c>
      <c r="AA72" s="291">
        <v>12</v>
      </c>
      <c r="AB72" s="291">
        <v>5026003002</v>
      </c>
      <c r="AC72" s="291">
        <v>1160903005</v>
      </c>
      <c r="AD72" s="291">
        <v>0</v>
      </c>
      <c r="AE72" s="291">
        <v>0</v>
      </c>
      <c r="AF72" s="291">
        <v>0</v>
      </c>
      <c r="AG72" s="291">
        <v>1160605001</v>
      </c>
      <c r="AH72" s="291">
        <v>1386</v>
      </c>
      <c r="AI72" s="291" t="s">
        <v>497</v>
      </c>
      <c r="AJ72" s="308">
        <v>0.01</v>
      </c>
      <c r="AK72" s="309">
        <f t="shared" si="14"/>
        <v>20000</v>
      </c>
      <c r="AL72" s="309">
        <f t="shared" si="15"/>
        <v>20000</v>
      </c>
      <c r="AM72" s="309">
        <f t="shared" si="15"/>
        <v>20000</v>
      </c>
      <c r="AN72" s="309"/>
      <c r="AO72" s="309"/>
      <c r="AP72" s="309">
        <f t="shared" si="10"/>
        <v>3000</v>
      </c>
      <c r="AQ72" s="309">
        <f t="shared" si="16"/>
        <v>3000</v>
      </c>
      <c r="AR72" s="309">
        <f t="shared" si="16"/>
        <v>3000</v>
      </c>
      <c r="AS72" s="309"/>
      <c r="AT72" s="309"/>
      <c r="AV72" s="311">
        <f t="shared" si="11"/>
        <v>1940000</v>
      </c>
      <c r="AW72" s="311">
        <f t="shared" si="12"/>
        <v>591000</v>
      </c>
      <c r="AX72" s="312">
        <f t="shared" si="13"/>
        <v>0</v>
      </c>
    </row>
    <row r="73" spans="1:50">
      <c r="A73" s="291" t="s">
        <v>494</v>
      </c>
      <c r="B73" s="291"/>
      <c r="C73" s="291"/>
      <c r="D73" s="291">
        <v>1160505001</v>
      </c>
      <c r="E73" s="291">
        <v>0</v>
      </c>
      <c r="F73" s="291">
        <v>44412</v>
      </c>
      <c r="G73" s="306">
        <v>43223</v>
      </c>
      <c r="H73" s="306">
        <v>44319</v>
      </c>
      <c r="I73" s="291">
        <v>959</v>
      </c>
      <c r="J73" s="307">
        <v>15000000</v>
      </c>
      <c r="K73" s="307">
        <v>8100000</v>
      </c>
      <c r="L73" s="307">
        <v>0</v>
      </c>
      <c r="M73" s="291" t="s">
        <v>495</v>
      </c>
      <c r="N73" s="307">
        <v>15000000</v>
      </c>
      <c r="O73" s="307">
        <v>8100000</v>
      </c>
      <c r="P73" s="307">
        <v>7192500</v>
      </c>
      <c r="Q73" s="291">
        <v>1</v>
      </c>
      <c r="R73" s="291" t="s">
        <v>496</v>
      </c>
      <c r="S73" s="291">
        <v>100</v>
      </c>
      <c r="T73" s="307">
        <v>15000000</v>
      </c>
      <c r="U73" s="307">
        <v>8100000</v>
      </c>
      <c r="V73" s="291">
        <v>300</v>
      </c>
      <c r="W73" s="307">
        <v>6038604</v>
      </c>
      <c r="X73" s="291">
        <v>14</v>
      </c>
      <c r="Y73" s="291">
        <v>1160902010</v>
      </c>
      <c r="Z73" s="291">
        <v>2023</v>
      </c>
      <c r="AA73" s="291">
        <v>12</v>
      </c>
      <c r="AB73" s="291">
        <v>5026003002</v>
      </c>
      <c r="AC73" s="291">
        <v>1160903005</v>
      </c>
      <c r="AD73" s="291">
        <v>0</v>
      </c>
      <c r="AE73" s="291">
        <v>0</v>
      </c>
      <c r="AF73" s="291">
        <v>0</v>
      </c>
      <c r="AG73" s="291">
        <v>1160605001</v>
      </c>
      <c r="AH73" s="291">
        <v>959</v>
      </c>
      <c r="AI73" s="291" t="s">
        <v>499</v>
      </c>
      <c r="AJ73" s="308">
        <v>0.05</v>
      </c>
      <c r="AK73" s="309">
        <f t="shared" si="14"/>
        <v>750000</v>
      </c>
      <c r="AL73" s="309">
        <f t="shared" si="15"/>
        <v>750000</v>
      </c>
      <c r="AM73" s="309">
        <f t="shared" si="15"/>
        <v>750000</v>
      </c>
      <c r="AN73" s="309"/>
      <c r="AO73" s="309"/>
      <c r="AP73" s="309">
        <f t="shared" si="10"/>
        <v>202500</v>
      </c>
      <c r="AQ73" s="309">
        <f t="shared" si="16"/>
        <v>202500</v>
      </c>
      <c r="AR73" s="309">
        <f t="shared" si="16"/>
        <v>202500</v>
      </c>
      <c r="AS73" s="309"/>
      <c r="AT73" s="309"/>
      <c r="AV73" s="311">
        <f t="shared" si="11"/>
        <v>12750000</v>
      </c>
      <c r="AW73" s="311">
        <f t="shared" si="12"/>
        <v>7492500</v>
      </c>
      <c r="AX73" s="312">
        <f t="shared" si="13"/>
        <v>0</v>
      </c>
    </row>
    <row r="74" spans="1:50">
      <c r="A74" s="291" t="s">
        <v>494</v>
      </c>
      <c r="B74" s="291"/>
      <c r="C74" s="291"/>
      <c r="D74" s="291">
        <v>1160505004</v>
      </c>
      <c r="E74" s="291">
        <v>34151</v>
      </c>
      <c r="F74" s="291">
        <v>37496</v>
      </c>
      <c r="G74" s="306">
        <v>42079</v>
      </c>
      <c r="H74" s="306">
        <v>43175</v>
      </c>
      <c r="I74" s="291">
        <v>2086</v>
      </c>
      <c r="J74" s="307">
        <v>1200000</v>
      </c>
      <c r="K74" s="307">
        <v>396000</v>
      </c>
      <c r="L74" s="307">
        <v>0</v>
      </c>
      <c r="M74" s="291" t="s">
        <v>495</v>
      </c>
      <c r="N74" s="307">
        <v>1200000</v>
      </c>
      <c r="O74" s="307">
        <v>396000</v>
      </c>
      <c r="P74" s="307">
        <v>1251600</v>
      </c>
      <c r="Q74" s="291">
        <v>1</v>
      </c>
      <c r="R74" s="291" t="s">
        <v>496</v>
      </c>
      <c r="S74" s="291">
        <v>100</v>
      </c>
      <c r="T74" s="307">
        <v>1200000</v>
      </c>
      <c r="U74" s="307">
        <v>396000</v>
      </c>
      <c r="V74" s="291">
        <v>200</v>
      </c>
      <c r="W74" s="307">
        <v>2025034</v>
      </c>
      <c r="X74" s="291">
        <v>5</v>
      </c>
      <c r="Y74" s="291">
        <v>1160902010</v>
      </c>
      <c r="Z74" s="291">
        <v>2023</v>
      </c>
      <c r="AA74" s="291">
        <v>12</v>
      </c>
      <c r="AB74" s="291">
        <v>5026003002</v>
      </c>
      <c r="AC74" s="291">
        <v>1160903005</v>
      </c>
      <c r="AD74" s="291">
        <v>0</v>
      </c>
      <c r="AE74" s="291">
        <v>0</v>
      </c>
      <c r="AF74" s="291">
        <v>0</v>
      </c>
      <c r="AG74" s="291">
        <v>1160605001</v>
      </c>
      <c r="AH74" s="291">
        <v>2086</v>
      </c>
      <c r="AI74" s="291" t="s">
        <v>497</v>
      </c>
      <c r="AJ74" s="308">
        <v>0.01</v>
      </c>
      <c r="AK74" s="309">
        <f t="shared" si="14"/>
        <v>12000</v>
      </c>
      <c r="AL74" s="309">
        <f t="shared" si="15"/>
        <v>12000</v>
      </c>
      <c r="AM74" s="309">
        <f t="shared" si="15"/>
        <v>12000</v>
      </c>
      <c r="AN74" s="309"/>
      <c r="AO74" s="309"/>
      <c r="AP74" s="309">
        <f t="shared" si="10"/>
        <v>1980</v>
      </c>
      <c r="AQ74" s="309">
        <f t="shared" si="16"/>
        <v>1980</v>
      </c>
      <c r="AR74" s="309">
        <f t="shared" si="16"/>
        <v>1980</v>
      </c>
      <c r="AS74" s="309"/>
      <c r="AT74" s="309"/>
      <c r="AV74" s="311">
        <f t="shared" si="11"/>
        <v>1164000</v>
      </c>
      <c r="AW74" s="311">
        <f t="shared" si="12"/>
        <v>390060</v>
      </c>
      <c r="AX74" s="312">
        <f t="shared" si="13"/>
        <v>0</v>
      </c>
    </row>
    <row r="75" spans="1:50">
      <c r="A75" s="291" t="s">
        <v>494</v>
      </c>
      <c r="B75" s="291"/>
      <c r="C75" s="291"/>
      <c r="D75" s="291">
        <v>1160505001</v>
      </c>
      <c r="E75" s="291">
        <v>0</v>
      </c>
      <c r="F75" s="291">
        <v>45560</v>
      </c>
      <c r="G75" s="306">
        <v>43450</v>
      </c>
      <c r="H75" s="306">
        <v>43815</v>
      </c>
      <c r="I75" s="291">
        <v>1456</v>
      </c>
      <c r="J75" s="307">
        <v>9000000</v>
      </c>
      <c r="K75" s="307">
        <v>0</v>
      </c>
      <c r="L75" s="307">
        <v>0</v>
      </c>
      <c r="M75" s="291" t="s">
        <v>495</v>
      </c>
      <c r="N75" s="307">
        <v>9000000</v>
      </c>
      <c r="O75" s="307">
        <v>0</v>
      </c>
      <c r="P75" s="307">
        <v>6552000</v>
      </c>
      <c r="Q75" s="291">
        <v>1</v>
      </c>
      <c r="R75" s="291" t="s">
        <v>496</v>
      </c>
      <c r="S75" s="291">
        <v>100</v>
      </c>
      <c r="T75" s="307">
        <v>9000000</v>
      </c>
      <c r="U75" s="307">
        <v>0</v>
      </c>
      <c r="V75" s="291">
        <v>100</v>
      </c>
      <c r="W75" s="307">
        <v>7327050</v>
      </c>
      <c r="X75" s="291">
        <v>2</v>
      </c>
      <c r="Y75" s="291">
        <v>1160902010</v>
      </c>
      <c r="Z75" s="291">
        <v>2023</v>
      </c>
      <c r="AA75" s="291">
        <v>12</v>
      </c>
      <c r="AB75" s="291">
        <v>5026003002</v>
      </c>
      <c r="AC75" s="291">
        <v>1160903005</v>
      </c>
      <c r="AD75" s="291">
        <v>0</v>
      </c>
      <c r="AE75" s="291">
        <v>0</v>
      </c>
      <c r="AF75" s="291">
        <v>0</v>
      </c>
      <c r="AG75" s="291">
        <v>1160605001</v>
      </c>
      <c r="AH75" s="291">
        <v>1456</v>
      </c>
      <c r="AI75" s="291" t="s">
        <v>497</v>
      </c>
      <c r="AJ75" s="308">
        <v>0.01</v>
      </c>
      <c r="AK75" s="309">
        <f t="shared" si="14"/>
        <v>90000</v>
      </c>
      <c r="AL75" s="309">
        <f t="shared" si="15"/>
        <v>90000</v>
      </c>
      <c r="AM75" s="309">
        <f t="shared" si="15"/>
        <v>90000</v>
      </c>
      <c r="AN75" s="309"/>
      <c r="AO75" s="309"/>
      <c r="AP75" s="309">
        <f t="shared" si="10"/>
        <v>0</v>
      </c>
      <c r="AQ75" s="309">
        <f t="shared" si="16"/>
        <v>0</v>
      </c>
      <c r="AR75" s="309">
        <f t="shared" si="16"/>
        <v>0</v>
      </c>
      <c r="AS75" s="309"/>
      <c r="AT75" s="309"/>
      <c r="AV75" s="311">
        <f t="shared" si="11"/>
        <v>8730000</v>
      </c>
      <c r="AW75" s="311">
        <f t="shared" si="12"/>
        <v>0</v>
      </c>
      <c r="AX75" s="312">
        <f t="shared" si="13"/>
        <v>0</v>
      </c>
    </row>
    <row r="76" spans="1:50">
      <c r="A76" s="291" t="s">
        <v>494</v>
      </c>
      <c r="B76" s="291"/>
      <c r="C76" s="291"/>
      <c r="D76" s="291">
        <v>1160505002</v>
      </c>
      <c r="E76" s="291">
        <v>0</v>
      </c>
      <c r="F76" s="291">
        <v>46519</v>
      </c>
      <c r="G76" s="306">
        <v>43556</v>
      </c>
      <c r="H76" s="306">
        <v>43922</v>
      </c>
      <c r="I76" s="291">
        <v>1351</v>
      </c>
      <c r="J76" s="307">
        <v>4975500</v>
      </c>
      <c r="K76" s="307">
        <v>447792</v>
      </c>
      <c r="L76" s="307">
        <v>0</v>
      </c>
      <c r="M76" s="291" t="s">
        <v>495</v>
      </c>
      <c r="N76" s="307">
        <v>4975500</v>
      </c>
      <c r="O76" s="307">
        <v>447792</v>
      </c>
      <c r="P76" s="307">
        <v>3360950</v>
      </c>
      <c r="Q76" s="291">
        <v>1</v>
      </c>
      <c r="R76" s="291" t="s">
        <v>496</v>
      </c>
      <c r="S76" s="291">
        <v>100</v>
      </c>
      <c r="T76" s="307">
        <v>4975500</v>
      </c>
      <c r="U76" s="307">
        <v>447792</v>
      </c>
      <c r="V76" s="291">
        <v>100</v>
      </c>
      <c r="W76" s="307">
        <v>5537913</v>
      </c>
      <c r="X76" s="291">
        <v>6</v>
      </c>
      <c r="Y76" s="291">
        <v>1160902010</v>
      </c>
      <c r="Z76" s="291">
        <v>2023</v>
      </c>
      <c r="AA76" s="291">
        <v>12</v>
      </c>
      <c r="AB76" s="291">
        <v>5026003002</v>
      </c>
      <c r="AC76" s="291">
        <v>1160903005</v>
      </c>
      <c r="AD76" s="291">
        <v>0</v>
      </c>
      <c r="AE76" s="291">
        <v>0</v>
      </c>
      <c r="AF76" s="291">
        <v>0</v>
      </c>
      <c r="AG76" s="291">
        <v>1160605001</v>
      </c>
      <c r="AH76" s="291">
        <v>1351</v>
      </c>
      <c r="AI76" s="291" t="s">
        <v>497</v>
      </c>
      <c r="AJ76" s="308">
        <v>0.01</v>
      </c>
      <c r="AK76" s="309">
        <f t="shared" si="14"/>
        <v>49755</v>
      </c>
      <c r="AL76" s="309">
        <f t="shared" si="15"/>
        <v>49755</v>
      </c>
      <c r="AM76" s="309">
        <f t="shared" si="15"/>
        <v>49755</v>
      </c>
      <c r="AN76" s="309"/>
      <c r="AO76" s="309"/>
      <c r="AP76" s="309">
        <f t="shared" si="10"/>
        <v>2238.96</v>
      </c>
      <c r="AQ76" s="309">
        <f t="shared" si="16"/>
        <v>2238.96</v>
      </c>
      <c r="AR76" s="309">
        <f t="shared" si="16"/>
        <v>2238.96</v>
      </c>
      <c r="AS76" s="309"/>
      <c r="AT76" s="309"/>
      <c r="AV76" s="311">
        <f t="shared" si="11"/>
        <v>4826235</v>
      </c>
      <c r="AW76" s="311">
        <f t="shared" si="12"/>
        <v>441075.11999999994</v>
      </c>
      <c r="AX76" s="312">
        <f t="shared" si="13"/>
        <v>0</v>
      </c>
    </row>
    <row r="77" spans="1:50">
      <c r="A77" s="291" t="s">
        <v>494</v>
      </c>
      <c r="B77" s="291"/>
      <c r="C77" s="291"/>
      <c r="D77" s="291">
        <v>1160505001</v>
      </c>
      <c r="E77" s="291">
        <v>0</v>
      </c>
      <c r="F77" s="291">
        <v>44192</v>
      </c>
      <c r="G77" s="306">
        <v>43198</v>
      </c>
      <c r="H77" s="306">
        <v>43929</v>
      </c>
      <c r="I77" s="291">
        <v>1344</v>
      </c>
      <c r="J77" s="307">
        <v>2000000</v>
      </c>
      <c r="K77" s="307">
        <v>0</v>
      </c>
      <c r="L77" s="307">
        <v>0</v>
      </c>
      <c r="M77" s="291" t="s">
        <v>495</v>
      </c>
      <c r="N77" s="307">
        <v>2000000</v>
      </c>
      <c r="O77" s="307">
        <v>0</v>
      </c>
      <c r="P77" s="307">
        <v>1344000</v>
      </c>
      <c r="Q77" s="291">
        <v>1</v>
      </c>
      <c r="R77" s="291" t="s">
        <v>496</v>
      </c>
      <c r="S77" s="291">
        <v>100</v>
      </c>
      <c r="T77" s="307">
        <v>2000000</v>
      </c>
      <c r="U77" s="307">
        <v>0</v>
      </c>
      <c r="V77" s="291">
        <v>100</v>
      </c>
      <c r="W77" s="307">
        <v>5151471</v>
      </c>
      <c r="X77" s="291">
        <v>2</v>
      </c>
      <c r="Y77" s="291">
        <v>1160902010</v>
      </c>
      <c r="Z77" s="291">
        <v>2023</v>
      </c>
      <c r="AA77" s="291">
        <v>12</v>
      </c>
      <c r="AB77" s="291">
        <v>5026003002</v>
      </c>
      <c r="AC77" s="291">
        <v>1160903005</v>
      </c>
      <c r="AD77" s="291">
        <v>0</v>
      </c>
      <c r="AE77" s="291">
        <v>0</v>
      </c>
      <c r="AF77" s="291">
        <v>0</v>
      </c>
      <c r="AG77" s="291">
        <v>1160605001</v>
      </c>
      <c r="AH77" s="291">
        <v>1344</v>
      </c>
      <c r="AI77" s="291" t="s">
        <v>497</v>
      </c>
      <c r="AJ77" s="308">
        <v>0.01</v>
      </c>
      <c r="AK77" s="309">
        <f t="shared" si="14"/>
        <v>20000</v>
      </c>
      <c r="AL77" s="309">
        <f t="shared" si="15"/>
        <v>20000</v>
      </c>
      <c r="AM77" s="309">
        <f t="shared" si="15"/>
        <v>20000</v>
      </c>
      <c r="AN77" s="309"/>
      <c r="AO77" s="309"/>
      <c r="AP77" s="309">
        <f t="shared" si="10"/>
        <v>0</v>
      </c>
      <c r="AQ77" s="309">
        <f t="shared" si="16"/>
        <v>0</v>
      </c>
      <c r="AR77" s="309">
        <f t="shared" si="16"/>
        <v>0</v>
      </c>
      <c r="AS77" s="309"/>
      <c r="AT77" s="309"/>
      <c r="AV77" s="311">
        <f t="shared" si="11"/>
        <v>1940000</v>
      </c>
      <c r="AW77" s="311">
        <f t="shared" si="12"/>
        <v>0</v>
      </c>
      <c r="AX77" s="312">
        <f t="shared" si="13"/>
        <v>0</v>
      </c>
    </row>
    <row r="78" spans="1:50">
      <c r="A78" s="291" t="s">
        <v>494</v>
      </c>
      <c r="B78" s="291"/>
      <c r="C78" s="291"/>
      <c r="D78" s="291">
        <v>1160505001</v>
      </c>
      <c r="E78" s="291">
        <v>0</v>
      </c>
      <c r="F78" s="291">
        <v>44503</v>
      </c>
      <c r="G78" s="306">
        <v>43237</v>
      </c>
      <c r="H78" s="306">
        <v>43968</v>
      </c>
      <c r="I78" s="291">
        <v>1305</v>
      </c>
      <c r="J78" s="307">
        <v>1800000</v>
      </c>
      <c r="K78" s="307">
        <v>0</v>
      </c>
      <c r="L78" s="307">
        <v>0</v>
      </c>
      <c r="M78" s="291" t="s">
        <v>495</v>
      </c>
      <c r="N78" s="307">
        <v>1800000</v>
      </c>
      <c r="O78" s="307">
        <v>0</v>
      </c>
      <c r="P78" s="307">
        <v>1174500</v>
      </c>
      <c r="Q78" s="291">
        <v>1</v>
      </c>
      <c r="R78" s="291" t="s">
        <v>496</v>
      </c>
      <c r="S78" s="291">
        <v>100</v>
      </c>
      <c r="T78" s="307">
        <v>1800000</v>
      </c>
      <c r="U78" s="307">
        <v>0</v>
      </c>
      <c r="V78" s="291">
        <v>100</v>
      </c>
      <c r="W78" s="307">
        <v>5151471</v>
      </c>
      <c r="X78" s="291">
        <v>2</v>
      </c>
      <c r="Y78" s="291">
        <v>1160902010</v>
      </c>
      <c r="Z78" s="291">
        <v>2023</v>
      </c>
      <c r="AA78" s="291">
        <v>12</v>
      </c>
      <c r="AB78" s="291">
        <v>5026003002</v>
      </c>
      <c r="AC78" s="291">
        <v>1160903005</v>
      </c>
      <c r="AD78" s="291">
        <v>0</v>
      </c>
      <c r="AE78" s="291">
        <v>0</v>
      </c>
      <c r="AF78" s="291">
        <v>0</v>
      </c>
      <c r="AG78" s="291">
        <v>1160605001</v>
      </c>
      <c r="AH78" s="291">
        <v>1344</v>
      </c>
      <c r="AI78" s="291" t="s">
        <v>497</v>
      </c>
      <c r="AJ78" s="308">
        <v>0.01</v>
      </c>
      <c r="AK78" s="309">
        <f t="shared" si="14"/>
        <v>18000</v>
      </c>
      <c r="AL78" s="309">
        <f t="shared" si="15"/>
        <v>18000</v>
      </c>
      <c r="AM78" s="309">
        <f t="shared" si="15"/>
        <v>18000</v>
      </c>
      <c r="AN78" s="309"/>
      <c r="AO78" s="309"/>
      <c r="AP78" s="309">
        <f t="shared" si="10"/>
        <v>0</v>
      </c>
      <c r="AQ78" s="309">
        <f t="shared" si="16"/>
        <v>0</v>
      </c>
      <c r="AR78" s="309">
        <f t="shared" si="16"/>
        <v>0</v>
      </c>
      <c r="AS78" s="309"/>
      <c r="AT78" s="309"/>
      <c r="AV78" s="311">
        <f t="shared" si="11"/>
        <v>1746000</v>
      </c>
      <c r="AW78" s="311">
        <f t="shared" si="12"/>
        <v>0</v>
      </c>
      <c r="AX78" s="312">
        <f t="shared" si="13"/>
        <v>0</v>
      </c>
    </row>
    <row r="79" spans="1:50">
      <c r="A79" s="291" t="s">
        <v>494</v>
      </c>
      <c r="B79" s="291"/>
      <c r="C79" s="291"/>
      <c r="D79" s="291">
        <v>1160505001</v>
      </c>
      <c r="E79" s="291">
        <v>0</v>
      </c>
      <c r="F79" s="291">
        <v>42253</v>
      </c>
      <c r="G79" s="306">
        <v>42878</v>
      </c>
      <c r="H79" s="306">
        <v>43974</v>
      </c>
      <c r="I79" s="291">
        <v>1299</v>
      </c>
      <c r="J79" s="307">
        <v>4000000</v>
      </c>
      <c r="K79" s="307">
        <v>0</v>
      </c>
      <c r="L79" s="307">
        <v>0</v>
      </c>
      <c r="M79" s="291" t="s">
        <v>495</v>
      </c>
      <c r="N79" s="307">
        <v>4000000</v>
      </c>
      <c r="O79" s="307">
        <v>0</v>
      </c>
      <c r="P79" s="307">
        <v>2598000</v>
      </c>
      <c r="Q79" s="291">
        <v>1</v>
      </c>
      <c r="R79" s="291" t="s">
        <v>496</v>
      </c>
      <c r="S79" s="291">
        <v>100</v>
      </c>
      <c r="T79" s="307">
        <v>4000000</v>
      </c>
      <c r="U79" s="307">
        <v>0</v>
      </c>
      <c r="V79" s="291">
        <v>300</v>
      </c>
      <c r="W79" s="307">
        <v>13653756</v>
      </c>
      <c r="X79" s="291">
        <v>2</v>
      </c>
      <c r="Y79" s="291">
        <v>1160902010</v>
      </c>
      <c r="Z79" s="291">
        <v>2023</v>
      </c>
      <c r="AA79" s="291">
        <v>12</v>
      </c>
      <c r="AB79" s="291">
        <v>5026003002</v>
      </c>
      <c r="AC79" s="291">
        <v>1160903005</v>
      </c>
      <c r="AD79" s="291">
        <v>0</v>
      </c>
      <c r="AE79" s="291">
        <v>0</v>
      </c>
      <c r="AF79" s="291">
        <v>0</v>
      </c>
      <c r="AG79" s="291">
        <v>1160605001</v>
      </c>
      <c r="AH79" s="291">
        <v>1461</v>
      </c>
      <c r="AI79" s="291" t="s">
        <v>497</v>
      </c>
      <c r="AJ79" s="308">
        <v>0.01</v>
      </c>
      <c r="AK79" s="309">
        <f t="shared" si="14"/>
        <v>40000</v>
      </c>
      <c r="AL79" s="309">
        <f t="shared" si="15"/>
        <v>40000</v>
      </c>
      <c r="AM79" s="309">
        <f t="shared" si="15"/>
        <v>40000</v>
      </c>
      <c r="AN79" s="309"/>
      <c r="AO79" s="309"/>
      <c r="AP79" s="309">
        <f t="shared" si="10"/>
        <v>0</v>
      </c>
      <c r="AQ79" s="309">
        <f t="shared" si="16"/>
        <v>0</v>
      </c>
      <c r="AR79" s="309">
        <f t="shared" si="16"/>
        <v>0</v>
      </c>
      <c r="AS79" s="309"/>
      <c r="AT79" s="309"/>
      <c r="AV79" s="311">
        <f t="shared" si="11"/>
        <v>3880000</v>
      </c>
      <c r="AW79" s="311">
        <f t="shared" si="12"/>
        <v>0</v>
      </c>
      <c r="AX79" s="312">
        <f t="shared" si="13"/>
        <v>0</v>
      </c>
    </row>
    <row r="80" spans="1:50">
      <c r="A80" s="291" t="s">
        <v>494</v>
      </c>
      <c r="B80" s="291"/>
      <c r="C80" s="291"/>
      <c r="D80" s="291">
        <v>1160505001</v>
      </c>
      <c r="E80" s="291">
        <v>0</v>
      </c>
      <c r="F80" s="291">
        <v>47075</v>
      </c>
      <c r="G80" s="306">
        <v>43657</v>
      </c>
      <c r="H80" s="306">
        <v>43810</v>
      </c>
      <c r="I80" s="291">
        <v>1461</v>
      </c>
      <c r="J80" s="307">
        <v>4000000</v>
      </c>
      <c r="K80" s="307">
        <v>0</v>
      </c>
      <c r="L80" s="307">
        <v>0</v>
      </c>
      <c r="M80" s="291" t="s">
        <v>495</v>
      </c>
      <c r="N80" s="307">
        <v>4000000</v>
      </c>
      <c r="O80" s="307">
        <v>0</v>
      </c>
      <c r="P80" s="307">
        <v>2922000</v>
      </c>
      <c r="Q80" s="291">
        <v>1</v>
      </c>
      <c r="R80" s="291" t="s">
        <v>496</v>
      </c>
      <c r="S80" s="291">
        <v>100</v>
      </c>
      <c r="T80" s="307">
        <v>4000000</v>
      </c>
      <c r="U80" s="307">
        <v>0</v>
      </c>
      <c r="V80" s="291">
        <v>300</v>
      </c>
      <c r="W80" s="307">
        <v>13653756</v>
      </c>
      <c r="X80" s="291">
        <v>2</v>
      </c>
      <c r="Y80" s="291">
        <v>1160902010</v>
      </c>
      <c r="Z80" s="291">
        <v>2023</v>
      </c>
      <c r="AA80" s="291">
        <v>12</v>
      </c>
      <c r="AB80" s="291">
        <v>5026003002</v>
      </c>
      <c r="AC80" s="291">
        <v>1160903005</v>
      </c>
      <c r="AD80" s="291">
        <v>0</v>
      </c>
      <c r="AE80" s="291">
        <v>0</v>
      </c>
      <c r="AF80" s="291">
        <v>0</v>
      </c>
      <c r="AG80" s="291">
        <v>1160605001</v>
      </c>
      <c r="AH80" s="291">
        <v>1461</v>
      </c>
      <c r="AI80" s="291" t="s">
        <v>497</v>
      </c>
      <c r="AJ80" s="308">
        <v>0.01</v>
      </c>
      <c r="AK80" s="309">
        <f t="shared" si="14"/>
        <v>40000</v>
      </c>
      <c r="AL80" s="309">
        <f t="shared" si="15"/>
        <v>40000</v>
      </c>
      <c r="AM80" s="309">
        <f t="shared" si="15"/>
        <v>40000</v>
      </c>
      <c r="AN80" s="309"/>
      <c r="AO80" s="309"/>
      <c r="AP80" s="309">
        <f t="shared" si="10"/>
        <v>0</v>
      </c>
      <c r="AQ80" s="309">
        <f t="shared" si="16"/>
        <v>0</v>
      </c>
      <c r="AR80" s="309">
        <f t="shared" si="16"/>
        <v>0</v>
      </c>
      <c r="AS80" s="309"/>
      <c r="AT80" s="309"/>
      <c r="AV80" s="311">
        <f t="shared" si="11"/>
        <v>3880000</v>
      </c>
      <c r="AW80" s="311">
        <f t="shared" si="12"/>
        <v>0</v>
      </c>
      <c r="AX80" s="312">
        <f t="shared" si="13"/>
        <v>0</v>
      </c>
    </row>
    <row r="81" spans="1:51">
      <c r="A81" s="291" t="s">
        <v>494</v>
      </c>
      <c r="B81" s="291"/>
      <c r="C81" s="291"/>
      <c r="D81" s="291">
        <v>1160505002</v>
      </c>
      <c r="E81" s="291">
        <v>0</v>
      </c>
      <c r="F81" s="291">
        <v>43484</v>
      </c>
      <c r="G81" s="306">
        <v>43129</v>
      </c>
      <c r="H81" s="306">
        <v>43859</v>
      </c>
      <c r="I81" s="291">
        <v>1413</v>
      </c>
      <c r="J81" s="307">
        <v>15686000</v>
      </c>
      <c r="K81" s="307">
        <v>0</v>
      </c>
      <c r="L81" s="307">
        <v>0</v>
      </c>
      <c r="M81" s="291" t="s">
        <v>495</v>
      </c>
      <c r="N81" s="307">
        <v>15686000</v>
      </c>
      <c r="O81" s="307">
        <v>0</v>
      </c>
      <c r="P81" s="307">
        <v>11082159</v>
      </c>
      <c r="Q81" s="291">
        <v>1</v>
      </c>
      <c r="R81" s="291" t="s">
        <v>496</v>
      </c>
      <c r="S81" s="291">
        <v>100</v>
      </c>
      <c r="T81" s="307">
        <v>15686000</v>
      </c>
      <c r="U81" s="307">
        <v>0</v>
      </c>
      <c r="V81" s="291">
        <v>300</v>
      </c>
      <c r="W81" s="307">
        <v>13653756</v>
      </c>
      <c r="X81" s="291">
        <v>6</v>
      </c>
      <c r="Y81" s="291">
        <v>1160902010</v>
      </c>
      <c r="Z81" s="291">
        <v>2023</v>
      </c>
      <c r="AA81" s="291">
        <v>12</v>
      </c>
      <c r="AB81" s="291">
        <v>5026003002</v>
      </c>
      <c r="AC81" s="291">
        <v>1160903005</v>
      </c>
      <c r="AD81" s="291">
        <v>0</v>
      </c>
      <c r="AE81" s="291">
        <v>0</v>
      </c>
      <c r="AF81" s="291">
        <v>0</v>
      </c>
      <c r="AG81" s="291">
        <v>1160605001</v>
      </c>
      <c r="AH81" s="291">
        <v>1461</v>
      </c>
      <c r="AI81" s="291" t="s">
        <v>497</v>
      </c>
      <c r="AJ81" s="308">
        <v>0.01</v>
      </c>
      <c r="AK81" s="309">
        <f t="shared" si="14"/>
        <v>156860</v>
      </c>
      <c r="AL81" s="309">
        <f t="shared" si="15"/>
        <v>156860</v>
      </c>
      <c r="AM81" s="309">
        <f t="shared" si="15"/>
        <v>156860</v>
      </c>
      <c r="AN81" s="309"/>
      <c r="AO81" s="309"/>
      <c r="AP81" s="309">
        <f t="shared" si="10"/>
        <v>0</v>
      </c>
      <c r="AQ81" s="309">
        <f t="shared" si="16"/>
        <v>0</v>
      </c>
      <c r="AR81" s="309">
        <f t="shared" si="16"/>
        <v>0</v>
      </c>
      <c r="AS81" s="309"/>
      <c r="AT81" s="309"/>
      <c r="AV81" s="311">
        <f t="shared" si="11"/>
        <v>15215420</v>
      </c>
      <c r="AW81" s="311">
        <f t="shared" si="12"/>
        <v>0</v>
      </c>
      <c r="AX81" s="312">
        <f t="shared" si="13"/>
        <v>0</v>
      </c>
    </row>
    <row r="82" spans="1:51">
      <c r="A82" s="291" t="s">
        <v>494</v>
      </c>
      <c r="B82" s="291"/>
      <c r="C82" s="291"/>
      <c r="D82" s="291">
        <v>1160405004</v>
      </c>
      <c r="E82" s="291">
        <v>30999</v>
      </c>
      <c r="F82" s="291">
        <v>294</v>
      </c>
      <c r="G82" s="306">
        <v>41727</v>
      </c>
      <c r="H82" s="306">
        <v>42823</v>
      </c>
      <c r="I82" s="291">
        <v>2433</v>
      </c>
      <c r="J82" s="307">
        <v>2975933</v>
      </c>
      <c r="K82" s="307">
        <v>360083</v>
      </c>
      <c r="L82" s="307">
        <v>0</v>
      </c>
      <c r="M82" s="291" t="s">
        <v>495</v>
      </c>
      <c r="N82" s="307">
        <v>2975933</v>
      </c>
      <c r="O82" s="307">
        <v>360083</v>
      </c>
      <c r="P82" s="307">
        <v>3620222</v>
      </c>
      <c r="Q82" s="291">
        <v>2</v>
      </c>
      <c r="R82" s="291" t="s">
        <v>496</v>
      </c>
      <c r="S82" s="291">
        <v>100</v>
      </c>
      <c r="T82" s="307">
        <v>2975933</v>
      </c>
      <c r="U82" s="307">
        <v>360083</v>
      </c>
      <c r="V82" s="291">
        <v>200</v>
      </c>
      <c r="W82" s="307">
        <v>14007113</v>
      </c>
      <c r="X82" s="291">
        <v>5</v>
      </c>
      <c r="Y82" s="291">
        <v>1160902009</v>
      </c>
      <c r="Z82" s="291">
        <v>2023</v>
      </c>
      <c r="AA82" s="291">
        <v>12</v>
      </c>
      <c r="AB82" s="291">
        <v>5026003002</v>
      </c>
      <c r="AC82" s="291">
        <v>1160903005</v>
      </c>
      <c r="AD82" s="291">
        <v>0</v>
      </c>
      <c r="AE82" s="291">
        <v>0</v>
      </c>
      <c r="AF82" s="291">
        <v>1</v>
      </c>
      <c r="AG82" s="291">
        <v>1160605001</v>
      </c>
      <c r="AH82" s="291">
        <v>2433</v>
      </c>
      <c r="AI82" s="291" t="s">
        <v>497</v>
      </c>
      <c r="AJ82" s="308">
        <v>0.01</v>
      </c>
      <c r="AK82" s="309">
        <f t="shared" si="14"/>
        <v>29759.33</v>
      </c>
      <c r="AL82" s="309">
        <f t="shared" si="15"/>
        <v>29759.33</v>
      </c>
      <c r="AM82" s="309">
        <f t="shared" si="15"/>
        <v>29759.33</v>
      </c>
      <c r="AN82" s="309"/>
      <c r="AO82" s="309"/>
      <c r="AP82" s="309">
        <f t="shared" si="10"/>
        <v>1800.415</v>
      </c>
      <c r="AQ82" s="309">
        <f t="shared" si="16"/>
        <v>1800.415</v>
      </c>
      <c r="AR82" s="309">
        <f t="shared" si="16"/>
        <v>1800.415</v>
      </c>
      <c r="AS82" s="309"/>
      <c r="AT82" s="309"/>
      <c r="AV82" s="311">
        <f t="shared" si="11"/>
        <v>2886655.01</v>
      </c>
      <c r="AW82" s="311">
        <f t="shared" si="12"/>
        <v>354681.75500000006</v>
      </c>
      <c r="AX82" s="312">
        <f t="shared" si="13"/>
        <v>0</v>
      </c>
    </row>
    <row r="83" spans="1:51">
      <c r="A83" s="291" t="s">
        <v>494</v>
      </c>
      <c r="B83" s="291"/>
      <c r="C83" s="291"/>
      <c r="D83" s="291">
        <v>1160405004</v>
      </c>
      <c r="E83" s="291">
        <v>32265</v>
      </c>
      <c r="F83" s="291">
        <v>349</v>
      </c>
      <c r="G83" s="306">
        <v>41793</v>
      </c>
      <c r="H83" s="306">
        <v>42889</v>
      </c>
      <c r="I83" s="291">
        <v>2369</v>
      </c>
      <c r="J83" s="307">
        <v>15066000</v>
      </c>
      <c r="K83" s="307">
        <v>2020937</v>
      </c>
      <c r="L83" s="307">
        <v>0</v>
      </c>
      <c r="M83" s="291" t="s">
        <v>495</v>
      </c>
      <c r="N83" s="307">
        <v>15066000</v>
      </c>
      <c r="O83" s="307">
        <v>2020937</v>
      </c>
      <c r="P83" s="307">
        <v>17845677</v>
      </c>
      <c r="Q83" s="291">
        <v>2</v>
      </c>
      <c r="R83" s="291" t="s">
        <v>496</v>
      </c>
      <c r="S83" s="291">
        <v>100</v>
      </c>
      <c r="T83" s="307">
        <v>15066000</v>
      </c>
      <c r="U83" s="307">
        <v>2020937</v>
      </c>
      <c r="V83" s="291">
        <v>200</v>
      </c>
      <c r="W83" s="307">
        <v>14007113</v>
      </c>
      <c r="X83" s="291">
        <v>5</v>
      </c>
      <c r="Y83" s="291">
        <v>1160902009</v>
      </c>
      <c r="Z83" s="291">
        <v>2023</v>
      </c>
      <c r="AA83" s="291">
        <v>12</v>
      </c>
      <c r="AB83" s="291">
        <v>5026003002</v>
      </c>
      <c r="AC83" s="291">
        <v>1160903005</v>
      </c>
      <c r="AD83" s="291">
        <v>0</v>
      </c>
      <c r="AE83" s="291">
        <v>0</v>
      </c>
      <c r="AF83" s="291">
        <v>1</v>
      </c>
      <c r="AG83" s="291">
        <v>1160605001</v>
      </c>
      <c r="AH83" s="291">
        <v>2433</v>
      </c>
      <c r="AI83" s="291" t="s">
        <v>497</v>
      </c>
      <c r="AJ83" s="308">
        <v>0.01</v>
      </c>
      <c r="AK83" s="309">
        <f t="shared" si="14"/>
        <v>150660</v>
      </c>
      <c r="AL83" s="309">
        <f t="shared" si="15"/>
        <v>150660</v>
      </c>
      <c r="AM83" s="309">
        <f t="shared" si="15"/>
        <v>150660</v>
      </c>
      <c r="AN83" s="309"/>
      <c r="AO83" s="309"/>
      <c r="AP83" s="309">
        <f t="shared" si="10"/>
        <v>10104.684999999999</v>
      </c>
      <c r="AQ83" s="309">
        <f t="shared" si="16"/>
        <v>10104.684999999999</v>
      </c>
      <c r="AR83" s="309">
        <f t="shared" si="16"/>
        <v>10104.684999999999</v>
      </c>
      <c r="AS83" s="309"/>
      <c r="AT83" s="309"/>
      <c r="AV83" s="311">
        <f t="shared" si="11"/>
        <v>14614020</v>
      </c>
      <c r="AW83" s="311">
        <f t="shared" si="12"/>
        <v>1990622.9449999998</v>
      </c>
      <c r="AX83" s="312">
        <f t="shared" si="13"/>
        <v>0</v>
      </c>
    </row>
    <row r="84" spans="1:51">
      <c r="A84" s="291" t="s">
        <v>494</v>
      </c>
      <c r="B84" s="291"/>
      <c r="C84" s="291"/>
      <c r="D84" s="291">
        <v>1160505001</v>
      </c>
      <c r="E84" s="291">
        <v>0</v>
      </c>
      <c r="F84" s="291">
        <v>46374</v>
      </c>
      <c r="G84" s="306">
        <v>43540</v>
      </c>
      <c r="H84" s="306">
        <v>43906</v>
      </c>
      <c r="I84" s="291">
        <v>1366</v>
      </c>
      <c r="J84" s="307">
        <v>15500000</v>
      </c>
      <c r="K84" s="307">
        <v>0</v>
      </c>
      <c r="L84" s="307">
        <v>0</v>
      </c>
      <c r="M84" s="291" t="s">
        <v>495</v>
      </c>
      <c r="N84" s="307">
        <v>15500000</v>
      </c>
      <c r="O84" s="307">
        <v>0</v>
      </c>
      <c r="P84" s="307">
        <v>10586500</v>
      </c>
      <c r="Q84" s="291">
        <v>1</v>
      </c>
      <c r="R84" s="291" t="s">
        <v>496</v>
      </c>
      <c r="S84" s="291">
        <v>100</v>
      </c>
      <c r="T84" s="307">
        <v>15500000</v>
      </c>
      <c r="U84" s="307">
        <v>0</v>
      </c>
      <c r="V84" s="291">
        <v>100</v>
      </c>
      <c r="W84" s="307">
        <v>11326357.359999999</v>
      </c>
      <c r="X84" s="291">
        <v>2</v>
      </c>
      <c r="Y84" s="291">
        <v>1160902010</v>
      </c>
      <c r="Z84" s="291">
        <v>2023</v>
      </c>
      <c r="AA84" s="291">
        <v>12</v>
      </c>
      <c r="AB84" s="291">
        <v>5026003002</v>
      </c>
      <c r="AC84" s="291">
        <v>1160903005</v>
      </c>
      <c r="AD84" s="291">
        <v>0</v>
      </c>
      <c r="AE84" s="291">
        <v>0</v>
      </c>
      <c r="AF84" s="291">
        <v>0</v>
      </c>
      <c r="AG84" s="291">
        <v>1160605001</v>
      </c>
      <c r="AH84" s="291">
        <v>1366</v>
      </c>
      <c r="AI84" s="291" t="s">
        <v>497</v>
      </c>
      <c r="AJ84" s="308">
        <v>0.01</v>
      </c>
      <c r="AK84" s="309">
        <f t="shared" si="14"/>
        <v>155000</v>
      </c>
      <c r="AL84" s="309">
        <f t="shared" si="15"/>
        <v>155000</v>
      </c>
      <c r="AM84" s="309">
        <f t="shared" si="15"/>
        <v>155000</v>
      </c>
      <c r="AN84" s="309"/>
      <c r="AO84" s="309"/>
      <c r="AP84" s="309">
        <f t="shared" si="10"/>
        <v>0</v>
      </c>
      <c r="AQ84" s="309">
        <f t="shared" si="16"/>
        <v>0</v>
      </c>
      <c r="AR84" s="309">
        <f t="shared" si="16"/>
        <v>0</v>
      </c>
      <c r="AS84" s="309"/>
      <c r="AT84" s="309"/>
      <c r="AV84" s="311">
        <f t="shared" si="11"/>
        <v>15035000</v>
      </c>
      <c r="AW84" s="311">
        <f t="shared" si="12"/>
        <v>0</v>
      </c>
      <c r="AX84" s="312">
        <f t="shared" si="13"/>
        <v>0</v>
      </c>
    </row>
    <row r="85" spans="1:51">
      <c r="A85" s="291" t="s">
        <v>494</v>
      </c>
      <c r="B85" s="291"/>
      <c r="C85" s="291"/>
      <c r="D85" s="291">
        <v>1160505001</v>
      </c>
      <c r="E85" s="291">
        <v>0</v>
      </c>
      <c r="F85" s="291">
        <v>46588</v>
      </c>
      <c r="G85" s="306">
        <v>43570</v>
      </c>
      <c r="H85" s="306">
        <v>44666</v>
      </c>
      <c r="I85" s="291">
        <v>617</v>
      </c>
      <c r="J85" s="307">
        <v>3958174</v>
      </c>
      <c r="K85" s="307">
        <v>65970</v>
      </c>
      <c r="L85" s="307">
        <v>0</v>
      </c>
      <c r="M85" s="291" t="s">
        <v>495</v>
      </c>
      <c r="N85" s="307">
        <v>3958174</v>
      </c>
      <c r="O85" s="307">
        <v>65970</v>
      </c>
      <c r="P85" s="307">
        <v>1221097</v>
      </c>
      <c r="Q85" s="291">
        <v>1</v>
      </c>
      <c r="R85" s="291" t="s">
        <v>496</v>
      </c>
      <c r="S85" s="291">
        <v>100</v>
      </c>
      <c r="T85" s="307">
        <v>3958174</v>
      </c>
      <c r="U85" s="307">
        <v>65970</v>
      </c>
      <c r="V85" s="291">
        <v>300</v>
      </c>
      <c r="W85" s="307">
        <v>3174403</v>
      </c>
      <c r="X85" s="291">
        <v>2</v>
      </c>
      <c r="Y85" s="291">
        <v>1160902010</v>
      </c>
      <c r="Z85" s="291">
        <v>2023</v>
      </c>
      <c r="AA85" s="291">
        <v>12</v>
      </c>
      <c r="AB85" s="291">
        <v>5026003002</v>
      </c>
      <c r="AC85" s="291">
        <v>1160903005</v>
      </c>
      <c r="AD85" s="291">
        <v>0</v>
      </c>
      <c r="AE85" s="291">
        <v>0</v>
      </c>
      <c r="AF85" s="291">
        <v>0</v>
      </c>
      <c r="AG85" s="291">
        <v>1160605001</v>
      </c>
      <c r="AH85" s="291">
        <v>617</v>
      </c>
      <c r="AI85" s="291" t="s">
        <v>498</v>
      </c>
      <c r="AJ85" s="308">
        <v>0.1</v>
      </c>
      <c r="AK85" s="309">
        <f t="shared" si="14"/>
        <v>395817.4</v>
      </c>
      <c r="AL85" s="309">
        <f t="shared" si="15"/>
        <v>395817.4</v>
      </c>
      <c r="AM85" s="309">
        <f t="shared" si="15"/>
        <v>395817.4</v>
      </c>
      <c r="AN85" s="309"/>
      <c r="AO85" s="309"/>
      <c r="AP85" s="309">
        <f t="shared" si="10"/>
        <v>3298.5</v>
      </c>
      <c r="AQ85" s="309">
        <f t="shared" si="16"/>
        <v>3298.5</v>
      </c>
      <c r="AR85" s="309">
        <f t="shared" si="16"/>
        <v>3298.5</v>
      </c>
      <c r="AS85" s="309"/>
      <c r="AT85" s="309"/>
      <c r="AV85" s="311">
        <f t="shared" si="11"/>
        <v>2770721.8000000003</v>
      </c>
      <c r="AW85" s="311">
        <f t="shared" si="12"/>
        <v>56074.5</v>
      </c>
      <c r="AX85" s="312">
        <f t="shared" si="13"/>
        <v>0</v>
      </c>
    </row>
    <row r="86" spans="1:51">
      <c r="A86" s="291" t="s">
        <v>494</v>
      </c>
      <c r="B86" s="291"/>
      <c r="C86" s="291"/>
      <c r="D86" s="291">
        <v>1160505001</v>
      </c>
      <c r="E86" s="291">
        <v>0</v>
      </c>
      <c r="F86" s="291">
        <v>43159</v>
      </c>
      <c r="G86" s="306">
        <v>43086</v>
      </c>
      <c r="H86" s="306">
        <v>43816</v>
      </c>
      <c r="I86" s="291">
        <v>1455</v>
      </c>
      <c r="J86" s="307">
        <v>12500000</v>
      </c>
      <c r="K86" s="307">
        <v>0</v>
      </c>
      <c r="L86" s="307">
        <v>0</v>
      </c>
      <c r="M86" s="291" t="s">
        <v>495</v>
      </c>
      <c r="N86" s="307">
        <v>12500000</v>
      </c>
      <c r="O86" s="307">
        <v>0</v>
      </c>
      <c r="P86" s="307">
        <v>9093750</v>
      </c>
      <c r="Q86" s="291">
        <v>1</v>
      </c>
      <c r="R86" s="291" t="s">
        <v>496</v>
      </c>
      <c r="S86" s="291">
        <v>100</v>
      </c>
      <c r="T86" s="307">
        <v>12500000</v>
      </c>
      <c r="U86" s="307">
        <v>0</v>
      </c>
      <c r="V86" s="291">
        <v>100</v>
      </c>
      <c r="W86" s="307">
        <v>10356496</v>
      </c>
      <c r="X86" s="291">
        <v>2</v>
      </c>
      <c r="Y86" s="291">
        <v>1160902010</v>
      </c>
      <c r="Z86" s="291">
        <v>2023</v>
      </c>
      <c r="AA86" s="291">
        <v>12</v>
      </c>
      <c r="AB86" s="291">
        <v>5026003002</v>
      </c>
      <c r="AC86" s="291">
        <v>1160903005</v>
      </c>
      <c r="AD86" s="291">
        <v>0</v>
      </c>
      <c r="AE86" s="291">
        <v>0</v>
      </c>
      <c r="AF86" s="291">
        <v>0</v>
      </c>
      <c r="AG86" s="291">
        <v>1160605001</v>
      </c>
      <c r="AH86" s="291">
        <v>1455</v>
      </c>
      <c r="AI86" s="291" t="s">
        <v>497</v>
      </c>
      <c r="AJ86" s="308">
        <v>0.01</v>
      </c>
      <c r="AK86" s="309">
        <f t="shared" si="14"/>
        <v>125000</v>
      </c>
      <c r="AL86" s="309">
        <f t="shared" si="15"/>
        <v>125000</v>
      </c>
      <c r="AM86" s="309">
        <f t="shared" si="15"/>
        <v>125000</v>
      </c>
      <c r="AN86" s="309"/>
      <c r="AO86" s="309"/>
      <c r="AP86" s="309">
        <f t="shared" si="10"/>
        <v>0</v>
      </c>
      <c r="AQ86" s="309">
        <f t="shared" si="16"/>
        <v>0</v>
      </c>
      <c r="AR86" s="309">
        <f t="shared" si="16"/>
        <v>0</v>
      </c>
      <c r="AS86" s="309"/>
      <c r="AT86" s="309"/>
      <c r="AV86" s="311">
        <f t="shared" si="11"/>
        <v>12125000</v>
      </c>
      <c r="AW86" s="311">
        <f t="shared" si="12"/>
        <v>0</v>
      </c>
      <c r="AX86" s="312">
        <f t="shared" si="13"/>
        <v>0</v>
      </c>
    </row>
    <row r="87" spans="1:51">
      <c r="A87" s="291" t="s">
        <v>494</v>
      </c>
      <c r="B87" s="291"/>
      <c r="C87" s="291"/>
      <c r="D87" s="291">
        <v>1160405001</v>
      </c>
      <c r="E87" s="291">
        <v>0</v>
      </c>
      <c r="F87" s="291">
        <v>44305</v>
      </c>
      <c r="G87" s="306">
        <v>43210</v>
      </c>
      <c r="H87" s="306">
        <v>44306</v>
      </c>
      <c r="I87" s="291">
        <v>972</v>
      </c>
      <c r="J87" s="307">
        <v>75000000</v>
      </c>
      <c r="K87" s="307">
        <v>8238379</v>
      </c>
      <c r="L87" s="307">
        <v>0</v>
      </c>
      <c r="M87" s="291" t="s">
        <v>495</v>
      </c>
      <c r="N87" s="307">
        <v>75000000</v>
      </c>
      <c r="O87" s="307">
        <v>8238379</v>
      </c>
      <c r="P87" s="307">
        <v>36450000</v>
      </c>
      <c r="Q87" s="291">
        <v>2</v>
      </c>
      <c r="R87" s="291" t="s">
        <v>496</v>
      </c>
      <c r="S87" s="291">
        <v>100</v>
      </c>
      <c r="T87" s="307">
        <v>75000000</v>
      </c>
      <c r="U87" s="307">
        <v>8238379</v>
      </c>
      <c r="V87" s="291">
        <v>100</v>
      </c>
      <c r="W87" s="307">
        <v>10356496</v>
      </c>
      <c r="X87" s="291">
        <v>2</v>
      </c>
      <c r="Y87" s="291">
        <v>1160902009</v>
      </c>
      <c r="Z87" s="291">
        <v>2023</v>
      </c>
      <c r="AA87" s="291">
        <v>12</v>
      </c>
      <c r="AB87" s="291">
        <v>5026003002</v>
      </c>
      <c r="AC87" s="291">
        <v>1160903005</v>
      </c>
      <c r="AD87" s="291">
        <v>0</v>
      </c>
      <c r="AE87" s="291">
        <v>0</v>
      </c>
      <c r="AF87" s="291">
        <v>1</v>
      </c>
      <c r="AG87" s="291">
        <v>1160605001</v>
      </c>
      <c r="AH87" s="291">
        <v>1455</v>
      </c>
      <c r="AI87" s="291" t="s">
        <v>497</v>
      </c>
      <c r="AJ87" s="308">
        <v>0.01</v>
      </c>
      <c r="AK87" s="309">
        <f t="shared" si="14"/>
        <v>750000</v>
      </c>
      <c r="AL87" s="309">
        <f t="shared" si="15"/>
        <v>750000</v>
      </c>
      <c r="AM87" s="309">
        <f t="shared" si="15"/>
        <v>750000</v>
      </c>
      <c r="AN87" s="309"/>
      <c r="AO87" s="309"/>
      <c r="AP87" s="309">
        <f t="shared" si="10"/>
        <v>41191.895000000004</v>
      </c>
      <c r="AQ87" s="309">
        <f t="shared" ref="AQ87:AR102" si="17">AP87</f>
        <v>41191.895000000004</v>
      </c>
      <c r="AR87" s="309">
        <f t="shared" si="17"/>
        <v>41191.895000000004</v>
      </c>
      <c r="AS87" s="309"/>
      <c r="AT87" s="309"/>
      <c r="AV87" s="311">
        <f t="shared" si="11"/>
        <v>72750000</v>
      </c>
      <c r="AW87" s="311">
        <f t="shared" si="12"/>
        <v>8114803.3150000013</v>
      </c>
      <c r="AX87" s="312">
        <f t="shared" si="13"/>
        <v>0</v>
      </c>
    </row>
    <row r="88" spans="1:51">
      <c r="A88" s="291" t="s">
        <v>494</v>
      </c>
      <c r="B88" s="291"/>
      <c r="C88" s="291"/>
      <c r="D88" s="291">
        <v>1160505001</v>
      </c>
      <c r="E88" s="291">
        <v>0</v>
      </c>
      <c r="F88" s="291">
        <v>45751</v>
      </c>
      <c r="G88" s="306">
        <v>43478</v>
      </c>
      <c r="H88" s="306">
        <v>43843</v>
      </c>
      <c r="I88" s="291">
        <v>1429</v>
      </c>
      <c r="J88" s="307">
        <v>12500000</v>
      </c>
      <c r="K88" s="307">
        <v>0</v>
      </c>
      <c r="L88" s="307">
        <v>0</v>
      </c>
      <c r="M88" s="291" t="s">
        <v>495</v>
      </c>
      <c r="N88" s="307">
        <v>12500000</v>
      </c>
      <c r="O88" s="307">
        <v>0</v>
      </c>
      <c r="P88" s="307">
        <v>8931250</v>
      </c>
      <c r="Q88" s="291">
        <v>1</v>
      </c>
      <c r="R88" s="291" t="s">
        <v>496</v>
      </c>
      <c r="S88" s="291">
        <v>100</v>
      </c>
      <c r="T88" s="307">
        <v>12500000</v>
      </c>
      <c r="U88" s="307">
        <v>0</v>
      </c>
      <c r="V88" s="291">
        <v>100</v>
      </c>
      <c r="W88" s="307">
        <v>10356496</v>
      </c>
      <c r="X88" s="291">
        <v>2</v>
      </c>
      <c r="Y88" s="291">
        <v>1160902010</v>
      </c>
      <c r="Z88" s="291">
        <v>2023</v>
      </c>
      <c r="AA88" s="291">
        <v>12</v>
      </c>
      <c r="AB88" s="291">
        <v>5026003002</v>
      </c>
      <c r="AC88" s="291">
        <v>1160903005</v>
      </c>
      <c r="AD88" s="291">
        <v>0</v>
      </c>
      <c r="AE88" s="291">
        <v>0</v>
      </c>
      <c r="AF88" s="291">
        <v>0</v>
      </c>
      <c r="AG88" s="291">
        <v>1160605001</v>
      </c>
      <c r="AH88" s="291">
        <v>1455</v>
      </c>
      <c r="AI88" s="291" t="s">
        <v>497</v>
      </c>
      <c r="AJ88" s="308">
        <v>0.01</v>
      </c>
      <c r="AK88" s="309">
        <f t="shared" si="14"/>
        <v>125000</v>
      </c>
      <c r="AL88" s="309">
        <f t="shared" si="15"/>
        <v>125000</v>
      </c>
      <c r="AM88" s="309">
        <f t="shared" si="15"/>
        <v>125000</v>
      </c>
      <c r="AN88" s="309"/>
      <c r="AO88" s="309"/>
      <c r="AP88" s="309">
        <f t="shared" si="10"/>
        <v>0</v>
      </c>
      <c r="AQ88" s="309">
        <f t="shared" si="17"/>
        <v>0</v>
      </c>
      <c r="AR88" s="309">
        <f t="shared" si="17"/>
        <v>0</v>
      </c>
      <c r="AS88" s="309"/>
      <c r="AT88" s="309"/>
      <c r="AV88" s="311">
        <f t="shared" si="11"/>
        <v>12125000</v>
      </c>
      <c r="AW88" s="311">
        <f t="shared" si="12"/>
        <v>0</v>
      </c>
      <c r="AX88" s="312">
        <f t="shared" si="13"/>
        <v>0</v>
      </c>
    </row>
    <row r="89" spans="1:51">
      <c r="A89" s="291" t="s">
        <v>494</v>
      </c>
      <c r="B89" s="291"/>
      <c r="C89" s="291"/>
      <c r="D89" s="291">
        <v>1160505001</v>
      </c>
      <c r="E89" s="291">
        <v>0</v>
      </c>
      <c r="F89" s="291">
        <v>41327</v>
      </c>
      <c r="G89" s="306">
        <v>42771</v>
      </c>
      <c r="H89" s="306">
        <v>43501</v>
      </c>
      <c r="I89" s="291">
        <v>1767</v>
      </c>
      <c r="J89" s="307">
        <v>6200000</v>
      </c>
      <c r="K89" s="307">
        <v>1240008</v>
      </c>
      <c r="L89" s="307">
        <v>0</v>
      </c>
      <c r="M89" s="291" t="s">
        <v>495</v>
      </c>
      <c r="N89" s="307">
        <v>6200000</v>
      </c>
      <c r="O89" s="307">
        <v>1240008</v>
      </c>
      <c r="P89" s="307">
        <v>5477700</v>
      </c>
      <c r="Q89" s="291">
        <v>1</v>
      </c>
      <c r="R89" s="291" t="s">
        <v>496</v>
      </c>
      <c r="S89" s="291">
        <v>100</v>
      </c>
      <c r="T89" s="307">
        <v>6200000</v>
      </c>
      <c r="U89" s="307">
        <v>1240008</v>
      </c>
      <c r="V89" s="291">
        <v>100</v>
      </c>
      <c r="W89" s="307">
        <v>1427264</v>
      </c>
      <c r="X89" s="291">
        <v>2</v>
      </c>
      <c r="Y89" s="291">
        <v>1160902010</v>
      </c>
      <c r="Z89" s="291">
        <v>2023</v>
      </c>
      <c r="AA89" s="291">
        <v>12</v>
      </c>
      <c r="AB89" s="291">
        <v>5026003002</v>
      </c>
      <c r="AC89" s="291">
        <v>1160903005</v>
      </c>
      <c r="AD89" s="291">
        <v>0</v>
      </c>
      <c r="AE89" s="291">
        <v>0</v>
      </c>
      <c r="AF89" s="291">
        <v>0</v>
      </c>
      <c r="AG89" s="291">
        <v>1160605001</v>
      </c>
      <c r="AH89" s="291">
        <v>1767</v>
      </c>
      <c r="AI89" s="291" t="s">
        <v>497</v>
      </c>
      <c r="AJ89" s="308">
        <v>0.01</v>
      </c>
      <c r="AK89" s="309">
        <f t="shared" si="14"/>
        <v>62000</v>
      </c>
      <c r="AL89" s="309">
        <f t="shared" si="15"/>
        <v>62000</v>
      </c>
      <c r="AM89" s="309">
        <f t="shared" si="15"/>
        <v>62000</v>
      </c>
      <c r="AN89" s="309"/>
      <c r="AO89" s="309"/>
      <c r="AP89" s="309">
        <f t="shared" si="10"/>
        <v>6200.04</v>
      </c>
      <c r="AQ89" s="309">
        <f t="shared" si="17"/>
        <v>6200.04</v>
      </c>
      <c r="AR89" s="309">
        <f t="shared" si="17"/>
        <v>6200.04</v>
      </c>
      <c r="AS89" s="309"/>
      <c r="AT89" s="309"/>
      <c r="AV89" s="311">
        <f t="shared" si="11"/>
        <v>6014000</v>
      </c>
      <c r="AW89" s="311">
        <f t="shared" si="12"/>
        <v>1221407.8799999999</v>
      </c>
      <c r="AX89" s="312">
        <f t="shared" si="13"/>
        <v>0</v>
      </c>
    </row>
    <row r="90" spans="1:51">
      <c r="A90" s="291" t="s">
        <v>494</v>
      </c>
      <c r="B90" s="291"/>
      <c r="C90" s="291"/>
      <c r="D90" s="291">
        <v>1160501001</v>
      </c>
      <c r="E90" s="291">
        <v>0</v>
      </c>
      <c r="F90" s="291">
        <v>46543</v>
      </c>
      <c r="G90" s="306">
        <v>43562</v>
      </c>
      <c r="H90" s="306">
        <v>45389</v>
      </c>
      <c r="I90" s="291">
        <v>0</v>
      </c>
      <c r="J90" s="307">
        <v>12500000</v>
      </c>
      <c r="K90" s="307">
        <v>3089375</v>
      </c>
      <c r="L90" s="307">
        <v>0</v>
      </c>
      <c r="M90" s="291" t="s">
        <v>495</v>
      </c>
      <c r="N90" s="307">
        <v>0</v>
      </c>
      <c r="O90" s="307">
        <v>0</v>
      </c>
      <c r="P90" s="307">
        <v>0</v>
      </c>
      <c r="Q90" s="291">
        <v>1</v>
      </c>
      <c r="R90" s="291" t="s">
        <v>502</v>
      </c>
      <c r="S90" s="291">
        <v>0</v>
      </c>
      <c r="T90" s="307">
        <v>0</v>
      </c>
      <c r="U90" s="307">
        <v>0</v>
      </c>
      <c r="V90" s="291">
        <v>100</v>
      </c>
      <c r="W90" s="307">
        <v>5576243</v>
      </c>
      <c r="X90" s="291">
        <v>2</v>
      </c>
      <c r="Y90" s="291">
        <v>1160902002</v>
      </c>
      <c r="Z90" s="291">
        <v>2023</v>
      </c>
      <c r="AA90" s="291">
        <v>12</v>
      </c>
      <c r="AB90" s="291">
        <v>5026003002</v>
      </c>
      <c r="AC90" s="291">
        <v>1160903001</v>
      </c>
      <c r="AD90" s="291">
        <v>0</v>
      </c>
      <c r="AE90" s="291">
        <v>0</v>
      </c>
      <c r="AF90" s="291">
        <v>0</v>
      </c>
      <c r="AG90" s="291">
        <v>1160601004</v>
      </c>
      <c r="AH90" s="291">
        <v>0</v>
      </c>
      <c r="AI90" s="291" t="s">
        <v>500</v>
      </c>
      <c r="AJ90" s="308">
        <v>0.3</v>
      </c>
      <c r="AK90" s="309">
        <f t="shared" si="14"/>
        <v>3750000</v>
      </c>
      <c r="AL90" s="309">
        <f t="shared" si="15"/>
        <v>3750000</v>
      </c>
      <c r="AM90" s="309">
        <f t="shared" si="15"/>
        <v>3750000</v>
      </c>
      <c r="AN90" s="309"/>
      <c r="AO90" s="309"/>
      <c r="AP90" s="309">
        <f t="shared" si="10"/>
        <v>463406.25</v>
      </c>
      <c r="AQ90" s="309">
        <f t="shared" si="17"/>
        <v>463406.25</v>
      </c>
      <c r="AR90" s="309">
        <f t="shared" si="17"/>
        <v>463406.25</v>
      </c>
      <c r="AS90" s="309"/>
      <c r="AT90" s="309"/>
      <c r="AV90" s="311">
        <f t="shared" si="11"/>
        <v>1250000</v>
      </c>
      <c r="AW90" s="311">
        <f t="shared" si="12"/>
        <v>1699156.25</v>
      </c>
      <c r="AX90" s="312">
        <f t="shared" si="13"/>
        <v>12500000</v>
      </c>
      <c r="AY90" s="312">
        <f>+AX90-L90</f>
        <v>12500000</v>
      </c>
    </row>
    <row r="91" spans="1:51">
      <c r="A91" s="291" t="s">
        <v>494</v>
      </c>
      <c r="B91" s="291"/>
      <c r="C91" s="291"/>
      <c r="D91" s="291">
        <v>1160505002</v>
      </c>
      <c r="E91" s="291">
        <v>0</v>
      </c>
      <c r="F91" s="291">
        <v>46156</v>
      </c>
      <c r="G91" s="306">
        <v>43514</v>
      </c>
      <c r="H91" s="306">
        <v>43879</v>
      </c>
      <c r="I91" s="291">
        <v>1394</v>
      </c>
      <c r="J91" s="307">
        <v>1396338</v>
      </c>
      <c r="K91" s="307">
        <v>0</v>
      </c>
      <c r="L91" s="307">
        <v>0</v>
      </c>
      <c r="M91" s="291" t="s">
        <v>495</v>
      </c>
      <c r="N91" s="307">
        <v>1396338</v>
      </c>
      <c r="O91" s="307">
        <v>0</v>
      </c>
      <c r="P91" s="307">
        <v>973248</v>
      </c>
      <c r="Q91" s="291">
        <v>1</v>
      </c>
      <c r="R91" s="291" t="s">
        <v>496</v>
      </c>
      <c r="S91" s="291">
        <v>100</v>
      </c>
      <c r="T91" s="307">
        <v>1396338</v>
      </c>
      <c r="U91" s="307">
        <v>0</v>
      </c>
      <c r="V91" s="291">
        <v>300</v>
      </c>
      <c r="W91" s="307">
        <v>6301164</v>
      </c>
      <c r="X91" s="291">
        <v>6</v>
      </c>
      <c r="Y91" s="291">
        <v>1160902010</v>
      </c>
      <c r="Z91" s="291">
        <v>2023</v>
      </c>
      <c r="AA91" s="291">
        <v>12</v>
      </c>
      <c r="AB91" s="291">
        <v>5026003002</v>
      </c>
      <c r="AC91" s="291">
        <v>1160903005</v>
      </c>
      <c r="AD91" s="291">
        <v>0</v>
      </c>
      <c r="AE91" s="291">
        <v>0</v>
      </c>
      <c r="AF91" s="291">
        <v>0</v>
      </c>
      <c r="AG91" s="291">
        <v>1160605001</v>
      </c>
      <c r="AH91" s="291">
        <v>1394</v>
      </c>
      <c r="AI91" s="291" t="s">
        <v>497</v>
      </c>
      <c r="AJ91" s="308">
        <v>0.01</v>
      </c>
      <c r="AK91" s="309">
        <f t="shared" si="14"/>
        <v>13963.380000000001</v>
      </c>
      <c r="AL91" s="309">
        <f t="shared" si="15"/>
        <v>13963.380000000001</v>
      </c>
      <c r="AM91" s="309">
        <f t="shared" si="15"/>
        <v>13963.380000000001</v>
      </c>
      <c r="AN91" s="309"/>
      <c r="AO91" s="309"/>
      <c r="AP91" s="309">
        <f t="shared" si="10"/>
        <v>0</v>
      </c>
      <c r="AQ91" s="309">
        <f t="shared" si="17"/>
        <v>0</v>
      </c>
      <c r="AR91" s="309">
        <f t="shared" si="17"/>
        <v>0</v>
      </c>
      <c r="AS91" s="309"/>
      <c r="AT91" s="309"/>
      <c r="AV91" s="311">
        <f t="shared" si="11"/>
        <v>1354447.8600000003</v>
      </c>
      <c r="AW91" s="311">
        <f t="shared" si="12"/>
        <v>0</v>
      </c>
      <c r="AX91" s="312">
        <f t="shared" si="13"/>
        <v>0</v>
      </c>
    </row>
    <row r="92" spans="1:51">
      <c r="A92" s="291" t="s">
        <v>494</v>
      </c>
      <c r="B92" s="291"/>
      <c r="C92" s="291"/>
      <c r="D92" s="291">
        <v>1160505001</v>
      </c>
      <c r="E92" s="291">
        <v>0</v>
      </c>
      <c r="F92" s="291">
        <v>46939</v>
      </c>
      <c r="G92" s="306">
        <v>43633</v>
      </c>
      <c r="H92" s="306">
        <v>44364</v>
      </c>
      <c r="I92" s="291">
        <v>915</v>
      </c>
      <c r="J92" s="307">
        <v>1855111</v>
      </c>
      <c r="K92" s="307">
        <v>0</v>
      </c>
      <c r="L92" s="307">
        <v>0</v>
      </c>
      <c r="M92" s="291" t="s">
        <v>495</v>
      </c>
      <c r="N92" s="307">
        <v>1855111</v>
      </c>
      <c r="O92" s="307">
        <v>0</v>
      </c>
      <c r="P92" s="307">
        <v>848713</v>
      </c>
      <c r="Q92" s="291">
        <v>1</v>
      </c>
      <c r="R92" s="291" t="s">
        <v>496</v>
      </c>
      <c r="S92" s="291">
        <v>100</v>
      </c>
      <c r="T92" s="307">
        <v>1855111</v>
      </c>
      <c r="U92" s="307">
        <v>0</v>
      </c>
      <c r="V92" s="291">
        <v>200</v>
      </c>
      <c r="W92" s="307">
        <v>2920795</v>
      </c>
      <c r="X92" s="291">
        <v>2</v>
      </c>
      <c r="Y92" s="291">
        <v>1160902010</v>
      </c>
      <c r="Z92" s="291">
        <v>2023</v>
      </c>
      <c r="AA92" s="291">
        <v>12</v>
      </c>
      <c r="AB92" s="291">
        <v>5026003002</v>
      </c>
      <c r="AC92" s="291">
        <v>1160903005</v>
      </c>
      <c r="AD92" s="291">
        <v>0</v>
      </c>
      <c r="AE92" s="291">
        <v>0</v>
      </c>
      <c r="AF92" s="291">
        <v>0</v>
      </c>
      <c r="AG92" s="291">
        <v>1160605001</v>
      </c>
      <c r="AH92" s="291">
        <v>915</v>
      </c>
      <c r="AI92" s="291" t="s">
        <v>499</v>
      </c>
      <c r="AJ92" s="308">
        <v>0.05</v>
      </c>
      <c r="AK92" s="309">
        <f t="shared" si="14"/>
        <v>92755.55</v>
      </c>
      <c r="AL92" s="309">
        <f t="shared" si="15"/>
        <v>92755.55</v>
      </c>
      <c r="AM92" s="309">
        <f t="shared" si="15"/>
        <v>92755.55</v>
      </c>
      <c r="AN92" s="309"/>
      <c r="AO92" s="309"/>
      <c r="AP92" s="309">
        <f t="shared" si="10"/>
        <v>0</v>
      </c>
      <c r="AQ92" s="309">
        <f t="shared" si="17"/>
        <v>0</v>
      </c>
      <c r="AR92" s="309">
        <f t="shared" si="17"/>
        <v>0</v>
      </c>
      <c r="AS92" s="309"/>
      <c r="AT92" s="309"/>
      <c r="AV92" s="311">
        <f t="shared" si="11"/>
        <v>1576844.3499999999</v>
      </c>
      <c r="AW92" s="311">
        <f t="shared" si="12"/>
        <v>0</v>
      </c>
      <c r="AX92" s="312">
        <f t="shared" si="13"/>
        <v>0</v>
      </c>
    </row>
    <row r="93" spans="1:51">
      <c r="A93" s="291" t="s">
        <v>494</v>
      </c>
      <c r="B93" s="291"/>
      <c r="C93" s="291"/>
      <c r="D93" s="291">
        <v>1160505004</v>
      </c>
      <c r="E93" s="291">
        <v>46205</v>
      </c>
      <c r="F93" s="291">
        <v>46206</v>
      </c>
      <c r="G93" s="306">
        <v>43521</v>
      </c>
      <c r="H93" s="306">
        <v>44617</v>
      </c>
      <c r="I93" s="291">
        <v>667</v>
      </c>
      <c r="J93" s="307">
        <v>5096403</v>
      </c>
      <c r="K93" s="307">
        <v>0</v>
      </c>
      <c r="L93" s="307">
        <v>0</v>
      </c>
      <c r="M93" s="291" t="s">
        <v>495</v>
      </c>
      <c r="N93" s="307">
        <v>5096403</v>
      </c>
      <c r="O93" s="307">
        <v>0</v>
      </c>
      <c r="P93" s="307">
        <v>1699650</v>
      </c>
      <c r="Q93" s="291">
        <v>1</v>
      </c>
      <c r="R93" s="291" t="s">
        <v>496</v>
      </c>
      <c r="S93" s="291">
        <v>100</v>
      </c>
      <c r="T93" s="307">
        <v>5096403</v>
      </c>
      <c r="U93" s="307">
        <v>0</v>
      </c>
      <c r="V93" s="291">
        <v>100</v>
      </c>
      <c r="W93" s="307">
        <v>7900362</v>
      </c>
      <c r="X93" s="291">
        <v>5</v>
      </c>
      <c r="Y93" s="291">
        <v>1160902010</v>
      </c>
      <c r="Z93" s="291">
        <v>2023</v>
      </c>
      <c r="AA93" s="291">
        <v>12</v>
      </c>
      <c r="AB93" s="291">
        <v>5026003002</v>
      </c>
      <c r="AC93" s="291">
        <v>1160903005</v>
      </c>
      <c r="AD93" s="291">
        <v>0</v>
      </c>
      <c r="AE93" s="291">
        <v>0</v>
      </c>
      <c r="AF93" s="291">
        <v>0</v>
      </c>
      <c r="AG93" s="291">
        <v>1160605001</v>
      </c>
      <c r="AH93" s="291">
        <v>667</v>
      </c>
      <c r="AI93" s="291" t="s">
        <v>498</v>
      </c>
      <c r="AJ93" s="308">
        <v>0.1</v>
      </c>
      <c r="AK93" s="309">
        <f t="shared" si="14"/>
        <v>509640.30000000005</v>
      </c>
      <c r="AL93" s="309">
        <f t="shared" si="15"/>
        <v>509640.30000000005</v>
      </c>
      <c r="AM93" s="309">
        <f t="shared" si="15"/>
        <v>509640.30000000005</v>
      </c>
      <c r="AN93" s="309"/>
      <c r="AO93" s="309"/>
      <c r="AP93" s="309">
        <f t="shared" si="10"/>
        <v>0</v>
      </c>
      <c r="AQ93" s="309">
        <f t="shared" si="17"/>
        <v>0</v>
      </c>
      <c r="AR93" s="309">
        <f t="shared" si="17"/>
        <v>0</v>
      </c>
      <c r="AS93" s="309"/>
      <c r="AT93" s="309"/>
      <c r="AV93" s="311">
        <f t="shared" si="11"/>
        <v>3567482.1000000006</v>
      </c>
      <c r="AW93" s="311">
        <f t="shared" si="12"/>
        <v>0</v>
      </c>
      <c r="AX93" s="312">
        <f t="shared" si="13"/>
        <v>0</v>
      </c>
    </row>
    <row r="94" spans="1:51">
      <c r="A94" s="291" t="s">
        <v>494</v>
      </c>
      <c r="B94" s="291"/>
      <c r="C94" s="291"/>
      <c r="D94" s="291">
        <v>1160505004</v>
      </c>
      <c r="E94" s="291">
        <v>0</v>
      </c>
      <c r="F94" s="291">
        <v>44927</v>
      </c>
      <c r="G94" s="306">
        <v>43521</v>
      </c>
      <c r="H94" s="306">
        <v>44617</v>
      </c>
      <c r="I94" s="291">
        <v>667</v>
      </c>
      <c r="J94" s="307">
        <v>0</v>
      </c>
      <c r="K94" s="307">
        <v>1022460</v>
      </c>
      <c r="L94" s="307">
        <v>0</v>
      </c>
      <c r="M94" s="291" t="s">
        <v>495</v>
      </c>
      <c r="N94" s="307">
        <v>0</v>
      </c>
      <c r="O94" s="307">
        <v>1022460</v>
      </c>
      <c r="P94" s="307">
        <v>0</v>
      </c>
      <c r="Q94" s="291">
        <v>1</v>
      </c>
      <c r="R94" s="291" t="s">
        <v>496</v>
      </c>
      <c r="S94" s="291">
        <v>100</v>
      </c>
      <c r="T94" s="307">
        <v>0</v>
      </c>
      <c r="U94" s="307">
        <v>1022460</v>
      </c>
      <c r="V94" s="291">
        <v>100</v>
      </c>
      <c r="W94" s="307">
        <v>7900362</v>
      </c>
      <c r="X94" s="291">
        <v>5</v>
      </c>
      <c r="Y94" s="291">
        <v>1160902010</v>
      </c>
      <c r="Z94" s="291">
        <v>2023</v>
      </c>
      <c r="AA94" s="291">
        <v>12</v>
      </c>
      <c r="AB94" s="291">
        <v>5026003002</v>
      </c>
      <c r="AC94" s="291">
        <v>1160903005</v>
      </c>
      <c r="AD94" s="291">
        <v>0</v>
      </c>
      <c r="AE94" s="291">
        <v>0</v>
      </c>
      <c r="AF94" s="291">
        <v>0</v>
      </c>
      <c r="AG94" s="291">
        <v>1160605001</v>
      </c>
      <c r="AH94" s="291">
        <v>667</v>
      </c>
      <c r="AI94" s="291" t="s">
        <v>498</v>
      </c>
      <c r="AJ94" s="308">
        <v>0.1</v>
      </c>
      <c r="AK94" s="309">
        <f t="shared" si="14"/>
        <v>0</v>
      </c>
      <c r="AL94" s="309">
        <f t="shared" si="15"/>
        <v>0</v>
      </c>
      <c r="AM94" s="309">
        <f t="shared" si="15"/>
        <v>0</v>
      </c>
      <c r="AN94" s="309"/>
      <c r="AO94" s="309"/>
      <c r="AP94" s="309">
        <f t="shared" si="10"/>
        <v>51123</v>
      </c>
      <c r="AQ94" s="309">
        <f t="shared" si="17"/>
        <v>51123</v>
      </c>
      <c r="AR94" s="309">
        <f t="shared" si="17"/>
        <v>51123</v>
      </c>
      <c r="AS94" s="309"/>
      <c r="AT94" s="309"/>
      <c r="AV94" s="311">
        <f t="shared" si="11"/>
        <v>0</v>
      </c>
      <c r="AW94" s="311">
        <f t="shared" si="12"/>
        <v>869091</v>
      </c>
      <c r="AX94" s="312">
        <f t="shared" si="13"/>
        <v>0</v>
      </c>
    </row>
    <row r="95" spans="1:51">
      <c r="A95" s="291" t="s">
        <v>494</v>
      </c>
      <c r="B95" s="291"/>
      <c r="C95" s="291"/>
      <c r="D95" s="291">
        <v>1160505004</v>
      </c>
      <c r="E95" s="291">
        <v>33422</v>
      </c>
      <c r="F95" s="291">
        <v>38657</v>
      </c>
      <c r="G95" s="306">
        <v>42288</v>
      </c>
      <c r="H95" s="306">
        <v>43384</v>
      </c>
      <c r="I95" s="291">
        <v>1881</v>
      </c>
      <c r="J95" s="307">
        <v>635982</v>
      </c>
      <c r="K95" s="307">
        <v>0</v>
      </c>
      <c r="L95" s="307">
        <v>0</v>
      </c>
      <c r="M95" s="291" t="s">
        <v>495</v>
      </c>
      <c r="N95" s="307">
        <v>635982</v>
      </c>
      <c r="O95" s="307">
        <v>0</v>
      </c>
      <c r="P95" s="307">
        <v>598141</v>
      </c>
      <c r="Q95" s="291">
        <v>1</v>
      </c>
      <c r="R95" s="291" t="s">
        <v>496</v>
      </c>
      <c r="S95" s="291">
        <v>100</v>
      </c>
      <c r="T95" s="307">
        <v>635982</v>
      </c>
      <c r="U95" s="307">
        <v>0</v>
      </c>
      <c r="V95" s="291">
        <v>100</v>
      </c>
      <c r="W95" s="307">
        <v>2397046</v>
      </c>
      <c r="X95" s="291">
        <v>5</v>
      </c>
      <c r="Y95" s="291">
        <v>1160902010</v>
      </c>
      <c r="Z95" s="291">
        <v>2023</v>
      </c>
      <c r="AA95" s="291">
        <v>12</v>
      </c>
      <c r="AB95" s="291">
        <v>5026003002</v>
      </c>
      <c r="AC95" s="291">
        <v>1160903005</v>
      </c>
      <c r="AD95" s="291">
        <v>0</v>
      </c>
      <c r="AE95" s="291">
        <v>0</v>
      </c>
      <c r="AF95" s="291">
        <v>0</v>
      </c>
      <c r="AG95" s="291">
        <v>1160605001</v>
      </c>
      <c r="AH95" s="291">
        <v>1881</v>
      </c>
      <c r="AI95" s="291" t="s">
        <v>497</v>
      </c>
      <c r="AJ95" s="308">
        <v>0.01</v>
      </c>
      <c r="AK95" s="309">
        <f t="shared" si="14"/>
        <v>6359.82</v>
      </c>
      <c r="AL95" s="309">
        <f t="shared" si="15"/>
        <v>6359.82</v>
      </c>
      <c r="AM95" s="309">
        <f t="shared" si="15"/>
        <v>6359.82</v>
      </c>
      <c r="AN95" s="309"/>
      <c r="AO95" s="309"/>
      <c r="AP95" s="309">
        <f t="shared" si="10"/>
        <v>0</v>
      </c>
      <c r="AQ95" s="309">
        <f t="shared" si="17"/>
        <v>0</v>
      </c>
      <c r="AR95" s="309">
        <f t="shared" si="17"/>
        <v>0</v>
      </c>
      <c r="AS95" s="309"/>
      <c r="AT95" s="309"/>
      <c r="AV95" s="311">
        <f t="shared" si="11"/>
        <v>616902.54000000015</v>
      </c>
      <c r="AW95" s="311">
        <f t="shared" si="12"/>
        <v>0</v>
      </c>
      <c r="AX95" s="312">
        <f t="shared" si="13"/>
        <v>0</v>
      </c>
    </row>
    <row r="96" spans="1:51">
      <c r="A96" s="291" t="s">
        <v>494</v>
      </c>
      <c r="B96" s="291"/>
      <c r="C96" s="291"/>
      <c r="D96" s="291">
        <v>1160504001</v>
      </c>
      <c r="E96" s="291">
        <v>0</v>
      </c>
      <c r="F96" s="291">
        <v>43424</v>
      </c>
      <c r="G96" s="306">
        <v>43128</v>
      </c>
      <c r="H96" s="306">
        <v>44954</v>
      </c>
      <c r="I96" s="291">
        <v>334</v>
      </c>
      <c r="J96" s="307">
        <v>799901</v>
      </c>
      <c r="K96" s="307">
        <v>258307</v>
      </c>
      <c r="L96" s="307">
        <v>0</v>
      </c>
      <c r="M96" s="291" t="s">
        <v>495</v>
      </c>
      <c r="N96" s="307">
        <v>799901</v>
      </c>
      <c r="O96" s="307">
        <v>258307</v>
      </c>
      <c r="P96" s="307">
        <v>133583</v>
      </c>
      <c r="Q96" s="291">
        <v>1</v>
      </c>
      <c r="R96" s="291" t="s">
        <v>501</v>
      </c>
      <c r="S96" s="291">
        <v>100</v>
      </c>
      <c r="T96" s="307">
        <v>799901</v>
      </c>
      <c r="U96" s="307">
        <v>258307</v>
      </c>
      <c r="V96" s="291">
        <v>100</v>
      </c>
      <c r="W96" s="307">
        <v>3142148</v>
      </c>
      <c r="X96" s="291">
        <v>14</v>
      </c>
      <c r="Y96" s="291">
        <v>1160902008</v>
      </c>
      <c r="Z96" s="291">
        <v>2023</v>
      </c>
      <c r="AA96" s="291">
        <v>12</v>
      </c>
      <c r="AB96" s="291">
        <v>5026003002</v>
      </c>
      <c r="AC96" s="291">
        <v>1160903004</v>
      </c>
      <c r="AD96" s="291">
        <v>0</v>
      </c>
      <c r="AE96" s="291">
        <v>0</v>
      </c>
      <c r="AF96" s="291">
        <v>0</v>
      </c>
      <c r="AG96" s="291">
        <v>1160604001</v>
      </c>
      <c r="AH96" s="291">
        <v>334</v>
      </c>
      <c r="AI96" s="291" t="s">
        <v>500</v>
      </c>
      <c r="AJ96" s="308">
        <v>0.3</v>
      </c>
      <c r="AK96" s="309">
        <f t="shared" si="14"/>
        <v>239970.3</v>
      </c>
      <c r="AL96" s="309">
        <f t="shared" si="15"/>
        <v>239970.3</v>
      </c>
      <c r="AM96" s="309">
        <f t="shared" si="15"/>
        <v>239970.3</v>
      </c>
      <c r="AN96" s="309"/>
      <c r="AO96" s="309"/>
      <c r="AP96" s="309">
        <f t="shared" si="10"/>
        <v>38746.049999999996</v>
      </c>
      <c r="AQ96" s="309">
        <f t="shared" si="17"/>
        <v>38746.049999999996</v>
      </c>
      <c r="AR96" s="309">
        <f t="shared" si="17"/>
        <v>38746.049999999996</v>
      </c>
      <c r="AS96" s="309"/>
      <c r="AT96" s="309"/>
      <c r="AV96" s="311">
        <f t="shared" si="11"/>
        <v>79990.099999999977</v>
      </c>
      <c r="AW96" s="311">
        <f t="shared" si="12"/>
        <v>142068.85000000003</v>
      </c>
      <c r="AX96" s="312">
        <f t="shared" si="13"/>
        <v>0</v>
      </c>
    </row>
    <row r="97" spans="1:51">
      <c r="A97" s="291" t="s">
        <v>494</v>
      </c>
      <c r="B97" s="291"/>
      <c r="C97" s="291"/>
      <c r="D97" s="291">
        <v>1160505004</v>
      </c>
      <c r="E97" s="291">
        <v>44236</v>
      </c>
      <c r="F97" s="291">
        <v>46674</v>
      </c>
      <c r="G97" s="306">
        <v>43589</v>
      </c>
      <c r="H97" s="306">
        <v>44685</v>
      </c>
      <c r="I97" s="291">
        <v>598</v>
      </c>
      <c r="J97" s="307">
        <v>27187663</v>
      </c>
      <c r="K97" s="307">
        <v>0</v>
      </c>
      <c r="L97" s="307">
        <v>0</v>
      </c>
      <c r="M97" s="291" t="s">
        <v>495</v>
      </c>
      <c r="N97" s="307">
        <v>27187663</v>
      </c>
      <c r="O97" s="307">
        <v>0</v>
      </c>
      <c r="P97" s="307">
        <v>8129111</v>
      </c>
      <c r="Q97" s="291">
        <v>1</v>
      </c>
      <c r="R97" s="291" t="s">
        <v>496</v>
      </c>
      <c r="S97" s="291">
        <v>100</v>
      </c>
      <c r="T97" s="307">
        <v>27187663</v>
      </c>
      <c r="U97" s="307">
        <v>0</v>
      </c>
      <c r="V97" s="291">
        <v>100</v>
      </c>
      <c r="W97" s="307">
        <v>13043202.720000001</v>
      </c>
      <c r="X97" s="291">
        <v>5</v>
      </c>
      <c r="Y97" s="291">
        <v>1160902010</v>
      </c>
      <c r="Z97" s="291">
        <v>2023</v>
      </c>
      <c r="AA97" s="291">
        <v>12</v>
      </c>
      <c r="AB97" s="291">
        <v>5026003002</v>
      </c>
      <c r="AC97" s="291">
        <v>1160903005</v>
      </c>
      <c r="AD97" s="291">
        <v>0</v>
      </c>
      <c r="AE97" s="291">
        <v>0</v>
      </c>
      <c r="AF97" s="291">
        <v>0</v>
      </c>
      <c r="AG97" s="291">
        <v>1160605001</v>
      </c>
      <c r="AH97" s="291">
        <v>598</v>
      </c>
      <c r="AI97" s="291" t="s">
        <v>498</v>
      </c>
      <c r="AJ97" s="308">
        <v>0.1</v>
      </c>
      <c r="AK97" s="309">
        <f t="shared" si="14"/>
        <v>2718766.3000000003</v>
      </c>
      <c r="AL97" s="309">
        <f t="shared" si="15"/>
        <v>2718766.3000000003</v>
      </c>
      <c r="AM97" s="309">
        <f t="shared" si="15"/>
        <v>2718766.3000000003</v>
      </c>
      <c r="AN97" s="309"/>
      <c r="AO97" s="309"/>
      <c r="AP97" s="309">
        <f t="shared" si="10"/>
        <v>0</v>
      </c>
      <c r="AQ97" s="309">
        <f t="shared" si="17"/>
        <v>0</v>
      </c>
      <c r="AR97" s="309">
        <f t="shared" si="17"/>
        <v>0</v>
      </c>
      <c r="AS97" s="309"/>
      <c r="AT97" s="309"/>
      <c r="AV97" s="311">
        <f t="shared" si="11"/>
        <v>19031364.099999998</v>
      </c>
      <c r="AW97" s="311">
        <f t="shared" si="12"/>
        <v>0</v>
      </c>
      <c r="AX97" s="312">
        <f t="shared" si="13"/>
        <v>0</v>
      </c>
    </row>
    <row r="98" spans="1:51">
      <c r="A98" s="291" t="s">
        <v>494</v>
      </c>
      <c r="B98" s="291"/>
      <c r="C98" s="291"/>
      <c r="D98" s="291">
        <v>1160505004</v>
      </c>
      <c r="E98" s="291">
        <v>0</v>
      </c>
      <c r="F98" s="291">
        <v>43480</v>
      </c>
      <c r="G98" s="306">
        <v>43589</v>
      </c>
      <c r="H98" s="306">
        <v>44685</v>
      </c>
      <c r="I98" s="291">
        <v>598</v>
      </c>
      <c r="J98" s="307">
        <v>0</v>
      </c>
      <c r="K98" s="307">
        <v>5213562</v>
      </c>
      <c r="L98" s="307">
        <v>0</v>
      </c>
      <c r="M98" s="291" t="s">
        <v>495</v>
      </c>
      <c r="N98" s="307">
        <v>0</v>
      </c>
      <c r="O98" s="307">
        <v>5213562</v>
      </c>
      <c r="P98" s="307">
        <v>0</v>
      </c>
      <c r="Q98" s="291">
        <v>1</v>
      </c>
      <c r="R98" s="291" t="s">
        <v>496</v>
      </c>
      <c r="S98" s="291">
        <v>100</v>
      </c>
      <c r="T98" s="307">
        <v>0</v>
      </c>
      <c r="U98" s="307">
        <v>5213562</v>
      </c>
      <c r="V98" s="291">
        <v>100</v>
      </c>
      <c r="W98" s="307">
        <v>13043202.720000001</v>
      </c>
      <c r="X98" s="291">
        <v>5</v>
      </c>
      <c r="Y98" s="291">
        <v>1160902010</v>
      </c>
      <c r="Z98" s="291">
        <v>2023</v>
      </c>
      <c r="AA98" s="291">
        <v>12</v>
      </c>
      <c r="AB98" s="291">
        <v>5026003002</v>
      </c>
      <c r="AC98" s="291">
        <v>1160903005</v>
      </c>
      <c r="AD98" s="291">
        <v>0</v>
      </c>
      <c r="AE98" s="291">
        <v>0</v>
      </c>
      <c r="AF98" s="291">
        <v>0</v>
      </c>
      <c r="AG98" s="291">
        <v>1160605001</v>
      </c>
      <c r="AH98" s="291">
        <v>598</v>
      </c>
      <c r="AI98" s="291" t="s">
        <v>498</v>
      </c>
      <c r="AJ98" s="308">
        <v>0.1</v>
      </c>
      <c r="AK98" s="309">
        <f t="shared" si="14"/>
        <v>0</v>
      </c>
      <c r="AL98" s="309">
        <f t="shared" si="15"/>
        <v>0</v>
      </c>
      <c r="AM98" s="309">
        <f t="shared" si="15"/>
        <v>0</v>
      </c>
      <c r="AN98" s="309"/>
      <c r="AO98" s="309"/>
      <c r="AP98" s="309">
        <f t="shared" si="10"/>
        <v>260678.1</v>
      </c>
      <c r="AQ98" s="309">
        <f t="shared" si="17"/>
        <v>260678.1</v>
      </c>
      <c r="AR98" s="309">
        <f t="shared" si="17"/>
        <v>260678.1</v>
      </c>
      <c r="AS98" s="309"/>
      <c r="AT98" s="309"/>
      <c r="AV98" s="311">
        <f t="shared" si="11"/>
        <v>0</v>
      </c>
      <c r="AW98" s="311">
        <f t="shared" si="12"/>
        <v>4431527.7000000011</v>
      </c>
      <c r="AX98" s="312">
        <f t="shared" si="13"/>
        <v>0</v>
      </c>
    </row>
    <row r="99" spans="1:51">
      <c r="A99" s="291" t="s">
        <v>494</v>
      </c>
      <c r="B99" s="291"/>
      <c r="C99" s="291"/>
      <c r="D99" s="291">
        <v>1160505001</v>
      </c>
      <c r="E99" s="291">
        <v>0</v>
      </c>
      <c r="F99" s="291">
        <v>46859</v>
      </c>
      <c r="G99" s="306">
        <v>43623</v>
      </c>
      <c r="H99" s="306">
        <v>44354</v>
      </c>
      <c r="I99" s="291">
        <v>925</v>
      </c>
      <c r="J99" s="307">
        <v>350000</v>
      </c>
      <c r="K99" s="307">
        <v>14788</v>
      </c>
      <c r="L99" s="307">
        <v>0</v>
      </c>
      <c r="M99" s="291" t="s">
        <v>495</v>
      </c>
      <c r="N99" s="307">
        <v>350000</v>
      </c>
      <c r="O99" s="307">
        <v>14788</v>
      </c>
      <c r="P99" s="307">
        <v>161875</v>
      </c>
      <c r="Q99" s="291">
        <v>1</v>
      </c>
      <c r="R99" s="291" t="s">
        <v>496</v>
      </c>
      <c r="S99" s="291">
        <v>100</v>
      </c>
      <c r="T99" s="307">
        <v>350000</v>
      </c>
      <c r="U99" s="307">
        <v>14788</v>
      </c>
      <c r="V99" s="291">
        <v>100</v>
      </c>
      <c r="W99" s="307">
        <v>5349908</v>
      </c>
      <c r="X99" s="291">
        <v>2</v>
      </c>
      <c r="Y99" s="291">
        <v>1160902010</v>
      </c>
      <c r="Z99" s="291">
        <v>2023</v>
      </c>
      <c r="AA99" s="291">
        <v>12</v>
      </c>
      <c r="AB99" s="291">
        <v>5026003002</v>
      </c>
      <c r="AC99" s="291">
        <v>1160903005</v>
      </c>
      <c r="AD99" s="291">
        <v>0</v>
      </c>
      <c r="AE99" s="291">
        <v>0</v>
      </c>
      <c r="AF99" s="291">
        <v>0</v>
      </c>
      <c r="AG99" s="291">
        <v>1160605001</v>
      </c>
      <c r="AH99" s="291">
        <v>925</v>
      </c>
      <c r="AI99" s="291" t="s">
        <v>499</v>
      </c>
      <c r="AJ99" s="308">
        <v>0.05</v>
      </c>
      <c r="AK99" s="309">
        <f t="shared" si="14"/>
        <v>17500</v>
      </c>
      <c r="AL99" s="309">
        <f t="shared" si="15"/>
        <v>17500</v>
      </c>
      <c r="AM99" s="309">
        <f t="shared" si="15"/>
        <v>17500</v>
      </c>
      <c r="AN99" s="309"/>
      <c r="AO99" s="309"/>
      <c r="AP99" s="309">
        <f t="shared" si="10"/>
        <v>369.70000000000005</v>
      </c>
      <c r="AQ99" s="309">
        <f t="shared" si="17"/>
        <v>369.70000000000005</v>
      </c>
      <c r="AR99" s="309">
        <f t="shared" si="17"/>
        <v>369.70000000000005</v>
      </c>
      <c r="AS99" s="309"/>
      <c r="AT99" s="309"/>
      <c r="AV99" s="311">
        <f t="shared" si="11"/>
        <v>297500</v>
      </c>
      <c r="AW99" s="311">
        <f t="shared" si="12"/>
        <v>13678.899999999998</v>
      </c>
      <c r="AX99" s="312">
        <f t="shared" si="13"/>
        <v>0</v>
      </c>
    </row>
    <row r="100" spans="1:51">
      <c r="A100" s="291" t="s">
        <v>494</v>
      </c>
      <c r="B100" s="291"/>
      <c r="C100" s="291"/>
      <c r="D100" s="291">
        <v>1160505001</v>
      </c>
      <c r="E100" s="291">
        <v>0</v>
      </c>
      <c r="F100" s="291">
        <v>46906</v>
      </c>
      <c r="G100" s="306">
        <v>43629</v>
      </c>
      <c r="H100" s="306">
        <v>44360</v>
      </c>
      <c r="I100" s="291">
        <v>919</v>
      </c>
      <c r="J100" s="307">
        <v>100000</v>
      </c>
      <c r="K100" s="307">
        <v>4525</v>
      </c>
      <c r="L100" s="307">
        <v>0</v>
      </c>
      <c r="M100" s="291" t="s">
        <v>495</v>
      </c>
      <c r="N100" s="307">
        <v>100000</v>
      </c>
      <c r="O100" s="307">
        <v>4525</v>
      </c>
      <c r="P100" s="307">
        <v>45950</v>
      </c>
      <c r="Q100" s="291">
        <v>1</v>
      </c>
      <c r="R100" s="291" t="s">
        <v>496</v>
      </c>
      <c r="S100" s="291">
        <v>100</v>
      </c>
      <c r="T100" s="307">
        <v>100000</v>
      </c>
      <c r="U100" s="307">
        <v>4525</v>
      </c>
      <c r="V100" s="291">
        <v>100</v>
      </c>
      <c r="W100" s="307">
        <v>5349908</v>
      </c>
      <c r="X100" s="291">
        <v>2</v>
      </c>
      <c r="Y100" s="291">
        <v>1160902010</v>
      </c>
      <c r="Z100" s="291">
        <v>2023</v>
      </c>
      <c r="AA100" s="291">
        <v>12</v>
      </c>
      <c r="AB100" s="291">
        <v>5026003002</v>
      </c>
      <c r="AC100" s="291">
        <v>1160903005</v>
      </c>
      <c r="AD100" s="291">
        <v>0</v>
      </c>
      <c r="AE100" s="291">
        <v>0</v>
      </c>
      <c r="AF100" s="291">
        <v>0</v>
      </c>
      <c r="AG100" s="291">
        <v>1160605001</v>
      </c>
      <c r="AH100" s="291">
        <v>925</v>
      </c>
      <c r="AI100" s="291" t="s">
        <v>499</v>
      </c>
      <c r="AJ100" s="308">
        <v>0.05</v>
      </c>
      <c r="AK100" s="309">
        <f t="shared" si="14"/>
        <v>5000</v>
      </c>
      <c r="AL100" s="309">
        <f t="shared" si="15"/>
        <v>5000</v>
      </c>
      <c r="AM100" s="309">
        <f t="shared" si="15"/>
        <v>5000</v>
      </c>
      <c r="AN100" s="309"/>
      <c r="AO100" s="309"/>
      <c r="AP100" s="309">
        <f t="shared" si="10"/>
        <v>113.125</v>
      </c>
      <c r="AQ100" s="309">
        <f t="shared" si="17"/>
        <v>113.125</v>
      </c>
      <c r="AR100" s="309">
        <f t="shared" si="17"/>
        <v>113.125</v>
      </c>
      <c r="AS100" s="309"/>
      <c r="AT100" s="309"/>
      <c r="AV100" s="311">
        <f t="shared" si="11"/>
        <v>85000</v>
      </c>
      <c r="AW100" s="311">
        <f t="shared" si="12"/>
        <v>4185.625</v>
      </c>
      <c r="AX100" s="312">
        <f t="shared" si="13"/>
        <v>0</v>
      </c>
    </row>
    <row r="101" spans="1:51">
      <c r="A101" s="291" t="s">
        <v>494</v>
      </c>
      <c r="B101" s="291"/>
      <c r="C101" s="291"/>
      <c r="D101" s="291">
        <v>1160505001</v>
      </c>
      <c r="E101" s="291">
        <v>0</v>
      </c>
      <c r="F101" s="291">
        <v>41390</v>
      </c>
      <c r="G101" s="306">
        <v>42778</v>
      </c>
      <c r="H101" s="306">
        <v>44604</v>
      </c>
      <c r="I101" s="291">
        <v>680</v>
      </c>
      <c r="J101" s="307">
        <v>11000000</v>
      </c>
      <c r="K101" s="307">
        <v>0</v>
      </c>
      <c r="L101" s="307">
        <v>0</v>
      </c>
      <c r="M101" s="291" t="s">
        <v>495</v>
      </c>
      <c r="N101" s="307">
        <v>11000000</v>
      </c>
      <c r="O101" s="307">
        <v>0</v>
      </c>
      <c r="P101" s="307">
        <v>3740000</v>
      </c>
      <c r="Q101" s="291">
        <v>1</v>
      </c>
      <c r="R101" s="291" t="s">
        <v>496</v>
      </c>
      <c r="S101" s="291">
        <v>100</v>
      </c>
      <c r="T101" s="307">
        <v>11000000</v>
      </c>
      <c r="U101" s="307">
        <v>0</v>
      </c>
      <c r="V101" s="291">
        <v>100</v>
      </c>
      <c r="W101" s="307">
        <v>5213891</v>
      </c>
      <c r="X101" s="291">
        <v>14</v>
      </c>
      <c r="Y101" s="291">
        <v>1160902010</v>
      </c>
      <c r="Z101" s="291">
        <v>2023</v>
      </c>
      <c r="AA101" s="291">
        <v>12</v>
      </c>
      <c r="AB101" s="291">
        <v>5026003002</v>
      </c>
      <c r="AC101" s="291">
        <v>1160903005</v>
      </c>
      <c r="AD101" s="291">
        <v>0</v>
      </c>
      <c r="AE101" s="291">
        <v>0</v>
      </c>
      <c r="AF101" s="291">
        <v>0</v>
      </c>
      <c r="AG101" s="291">
        <v>1160605001</v>
      </c>
      <c r="AH101" s="291">
        <v>680</v>
      </c>
      <c r="AI101" s="291" t="s">
        <v>498</v>
      </c>
      <c r="AJ101" s="308">
        <v>0.1</v>
      </c>
      <c r="AK101" s="309">
        <f t="shared" si="14"/>
        <v>1100000</v>
      </c>
      <c r="AL101" s="309">
        <f t="shared" si="15"/>
        <v>1100000</v>
      </c>
      <c r="AM101" s="309">
        <f t="shared" si="15"/>
        <v>1100000</v>
      </c>
      <c r="AN101" s="309"/>
      <c r="AO101" s="309"/>
      <c r="AP101" s="309">
        <f t="shared" si="10"/>
        <v>0</v>
      </c>
      <c r="AQ101" s="309">
        <f t="shared" si="17"/>
        <v>0</v>
      </c>
      <c r="AR101" s="309">
        <f t="shared" si="17"/>
        <v>0</v>
      </c>
      <c r="AS101" s="309"/>
      <c r="AT101" s="309"/>
      <c r="AV101" s="311">
        <f t="shared" si="11"/>
        <v>7700000</v>
      </c>
      <c r="AW101" s="311">
        <f t="shared" si="12"/>
        <v>0</v>
      </c>
      <c r="AX101" s="312">
        <f t="shared" si="13"/>
        <v>0</v>
      </c>
    </row>
    <row r="102" spans="1:51">
      <c r="A102" s="291" t="s">
        <v>494</v>
      </c>
      <c r="B102" s="291"/>
      <c r="C102" s="291"/>
      <c r="D102" s="291">
        <v>1160401001</v>
      </c>
      <c r="E102" s="291">
        <v>0</v>
      </c>
      <c r="F102" s="291">
        <v>46530</v>
      </c>
      <c r="G102" s="306">
        <v>43559</v>
      </c>
      <c r="H102" s="306">
        <v>45386</v>
      </c>
      <c r="I102" s="291">
        <v>0</v>
      </c>
      <c r="J102" s="307">
        <v>7000000</v>
      </c>
      <c r="K102" s="307">
        <v>714000</v>
      </c>
      <c r="L102" s="307">
        <v>71400000</v>
      </c>
      <c r="M102" s="291" t="s">
        <v>495</v>
      </c>
      <c r="N102" s="307">
        <v>0</v>
      </c>
      <c r="O102" s="307">
        <v>0</v>
      </c>
      <c r="P102" s="307">
        <v>0</v>
      </c>
      <c r="Q102" s="291">
        <v>2</v>
      </c>
      <c r="R102" s="291" t="s">
        <v>502</v>
      </c>
      <c r="S102" s="291">
        <v>0</v>
      </c>
      <c r="T102" s="307">
        <v>0</v>
      </c>
      <c r="U102" s="307">
        <v>0</v>
      </c>
      <c r="V102" s="291">
        <v>100</v>
      </c>
      <c r="W102" s="307">
        <v>11346011</v>
      </c>
      <c r="X102" s="291">
        <v>2</v>
      </c>
      <c r="Y102" s="291">
        <v>1160902001</v>
      </c>
      <c r="Z102" s="291">
        <v>2023</v>
      </c>
      <c r="AA102" s="291">
        <v>12</v>
      </c>
      <c r="AB102" s="291">
        <v>5026003002</v>
      </c>
      <c r="AC102" s="291">
        <v>1160903001</v>
      </c>
      <c r="AD102" s="291">
        <v>0</v>
      </c>
      <c r="AE102" s="291">
        <v>0</v>
      </c>
      <c r="AF102" s="291">
        <v>1</v>
      </c>
      <c r="AG102" s="291">
        <v>1160601004</v>
      </c>
      <c r="AH102" s="291">
        <v>0</v>
      </c>
      <c r="AI102" s="291" t="s">
        <v>500</v>
      </c>
      <c r="AJ102" s="308">
        <v>0.3</v>
      </c>
      <c r="AK102" s="309">
        <f t="shared" si="14"/>
        <v>2100000</v>
      </c>
      <c r="AL102" s="309">
        <f t="shared" si="15"/>
        <v>2100000</v>
      </c>
      <c r="AM102" s="309">
        <f t="shared" si="15"/>
        <v>2100000</v>
      </c>
      <c r="AN102" s="309"/>
      <c r="AO102" s="309"/>
      <c r="AP102" s="309">
        <f t="shared" si="10"/>
        <v>107100</v>
      </c>
      <c r="AQ102" s="309">
        <f t="shared" si="17"/>
        <v>107100</v>
      </c>
      <c r="AR102" s="309">
        <f t="shared" si="17"/>
        <v>107100</v>
      </c>
      <c r="AS102" s="309"/>
      <c r="AT102" s="309"/>
      <c r="AV102" s="311">
        <f t="shared" si="11"/>
        <v>700000</v>
      </c>
      <c r="AW102" s="311">
        <f t="shared" si="12"/>
        <v>392700</v>
      </c>
      <c r="AX102" s="312">
        <f t="shared" si="13"/>
        <v>7000000</v>
      </c>
      <c r="AY102" s="312">
        <f>+AX102-L102</f>
        <v>-64400000</v>
      </c>
    </row>
    <row r="103" spans="1:51">
      <c r="A103" s="291" t="s">
        <v>494</v>
      </c>
      <c r="B103" s="291"/>
      <c r="C103" s="291"/>
      <c r="D103" s="291">
        <v>1160505001</v>
      </c>
      <c r="E103" s="291">
        <v>0</v>
      </c>
      <c r="F103" s="291">
        <v>46765</v>
      </c>
      <c r="G103" s="306">
        <v>43605</v>
      </c>
      <c r="H103" s="306">
        <v>43971</v>
      </c>
      <c r="I103" s="291">
        <v>1302</v>
      </c>
      <c r="J103" s="307">
        <v>4000000</v>
      </c>
      <c r="K103" s="307">
        <v>360000</v>
      </c>
      <c r="L103" s="307">
        <v>0</v>
      </c>
      <c r="M103" s="291" t="s">
        <v>495</v>
      </c>
      <c r="N103" s="307">
        <v>4000000</v>
      </c>
      <c r="O103" s="307">
        <v>360000</v>
      </c>
      <c r="P103" s="307">
        <v>2604000</v>
      </c>
      <c r="Q103" s="291">
        <v>1</v>
      </c>
      <c r="R103" s="291" t="s">
        <v>496</v>
      </c>
      <c r="S103" s="291">
        <v>100</v>
      </c>
      <c r="T103" s="307">
        <v>4000000</v>
      </c>
      <c r="U103" s="307">
        <v>360000</v>
      </c>
      <c r="V103" s="291">
        <v>100</v>
      </c>
      <c r="W103" s="307">
        <v>6757842</v>
      </c>
      <c r="X103" s="291">
        <v>2</v>
      </c>
      <c r="Y103" s="291">
        <v>1160902010</v>
      </c>
      <c r="Z103" s="291">
        <v>2023</v>
      </c>
      <c r="AA103" s="291">
        <v>12</v>
      </c>
      <c r="AB103" s="291">
        <v>5026003002</v>
      </c>
      <c r="AC103" s="291">
        <v>1160903005</v>
      </c>
      <c r="AD103" s="291">
        <v>0</v>
      </c>
      <c r="AE103" s="291">
        <v>0</v>
      </c>
      <c r="AF103" s="291">
        <v>0</v>
      </c>
      <c r="AG103" s="291">
        <v>1160605001</v>
      </c>
      <c r="AH103" s="291">
        <v>1302</v>
      </c>
      <c r="AI103" s="291" t="s">
        <v>497</v>
      </c>
      <c r="AJ103" s="308">
        <v>0.01</v>
      </c>
      <c r="AK103" s="309">
        <f t="shared" si="14"/>
        <v>40000</v>
      </c>
      <c r="AL103" s="309">
        <f t="shared" si="15"/>
        <v>40000</v>
      </c>
      <c r="AM103" s="309">
        <f t="shared" si="15"/>
        <v>40000</v>
      </c>
      <c r="AN103" s="309"/>
      <c r="AO103" s="309"/>
      <c r="AP103" s="309">
        <f t="shared" si="10"/>
        <v>1800</v>
      </c>
      <c r="AQ103" s="309">
        <f t="shared" ref="AQ103:AR118" si="18">AP103</f>
        <v>1800</v>
      </c>
      <c r="AR103" s="309">
        <f t="shared" si="18"/>
        <v>1800</v>
      </c>
      <c r="AS103" s="309"/>
      <c r="AT103" s="309"/>
      <c r="AV103" s="311">
        <f t="shared" si="11"/>
        <v>3880000</v>
      </c>
      <c r="AW103" s="311">
        <f t="shared" si="12"/>
        <v>354600</v>
      </c>
      <c r="AX103" s="312">
        <f t="shared" si="13"/>
        <v>0</v>
      </c>
    </row>
    <row r="104" spans="1:51">
      <c r="A104" s="291" t="s">
        <v>494</v>
      </c>
      <c r="B104" s="291"/>
      <c r="C104" s="291"/>
      <c r="D104" s="291">
        <v>1160505001</v>
      </c>
      <c r="E104" s="291">
        <v>0</v>
      </c>
      <c r="F104" s="291">
        <v>44424</v>
      </c>
      <c r="G104" s="306">
        <v>43226</v>
      </c>
      <c r="H104" s="306">
        <v>45052</v>
      </c>
      <c r="I104" s="291">
        <v>236</v>
      </c>
      <c r="J104" s="307">
        <v>6000000</v>
      </c>
      <c r="K104" s="307">
        <v>2700000</v>
      </c>
      <c r="L104" s="307">
        <v>0</v>
      </c>
      <c r="M104" s="291" t="s">
        <v>495</v>
      </c>
      <c r="N104" s="307">
        <v>6000000</v>
      </c>
      <c r="O104" s="307">
        <v>2700000</v>
      </c>
      <c r="P104" s="307">
        <v>708000</v>
      </c>
      <c r="Q104" s="291">
        <v>1</v>
      </c>
      <c r="R104" s="291" t="s">
        <v>496</v>
      </c>
      <c r="S104" s="291">
        <v>100</v>
      </c>
      <c r="T104" s="307">
        <v>6000000</v>
      </c>
      <c r="U104" s="307">
        <v>2700000</v>
      </c>
      <c r="V104" s="291">
        <v>100</v>
      </c>
      <c r="W104" s="307">
        <v>2253984</v>
      </c>
      <c r="X104" s="291">
        <v>14</v>
      </c>
      <c r="Y104" s="291">
        <v>1160902010</v>
      </c>
      <c r="Z104" s="291">
        <v>2023</v>
      </c>
      <c r="AA104" s="291">
        <v>12</v>
      </c>
      <c r="AB104" s="291">
        <v>5026003002</v>
      </c>
      <c r="AC104" s="291">
        <v>1160903005</v>
      </c>
      <c r="AD104" s="291">
        <v>0</v>
      </c>
      <c r="AE104" s="291">
        <v>0</v>
      </c>
      <c r="AF104" s="291">
        <v>0</v>
      </c>
      <c r="AG104" s="291">
        <v>1160605001</v>
      </c>
      <c r="AH104" s="291">
        <v>1627</v>
      </c>
      <c r="AI104" s="291" t="s">
        <v>497</v>
      </c>
      <c r="AJ104" s="308">
        <v>0.01</v>
      </c>
      <c r="AK104" s="309">
        <f t="shared" si="14"/>
        <v>60000</v>
      </c>
      <c r="AL104" s="309">
        <f t="shared" si="15"/>
        <v>60000</v>
      </c>
      <c r="AM104" s="309">
        <f t="shared" si="15"/>
        <v>60000</v>
      </c>
      <c r="AN104" s="309"/>
      <c r="AO104" s="309"/>
      <c r="AP104" s="309">
        <f t="shared" si="10"/>
        <v>13500</v>
      </c>
      <c r="AQ104" s="309">
        <f t="shared" si="18"/>
        <v>13500</v>
      </c>
      <c r="AR104" s="309">
        <f t="shared" si="18"/>
        <v>13500</v>
      </c>
      <c r="AS104" s="309"/>
      <c r="AT104" s="309"/>
      <c r="AV104" s="311">
        <f t="shared" si="11"/>
        <v>5820000</v>
      </c>
      <c r="AW104" s="311">
        <f t="shared" si="12"/>
        <v>2659500</v>
      </c>
      <c r="AX104" s="312">
        <f t="shared" si="13"/>
        <v>0</v>
      </c>
    </row>
    <row r="105" spans="1:51">
      <c r="A105" s="291" t="s">
        <v>494</v>
      </c>
      <c r="B105" s="291"/>
      <c r="C105" s="291"/>
      <c r="D105" s="291">
        <v>1160505001</v>
      </c>
      <c r="E105" s="291">
        <v>0</v>
      </c>
      <c r="F105" s="291">
        <v>44820</v>
      </c>
      <c r="G105" s="306">
        <v>43276</v>
      </c>
      <c r="H105" s="306">
        <v>43641</v>
      </c>
      <c r="I105" s="291">
        <v>1627</v>
      </c>
      <c r="J105" s="307">
        <v>2000000</v>
      </c>
      <c r="K105" s="307">
        <v>180000</v>
      </c>
      <c r="L105" s="307">
        <v>0</v>
      </c>
      <c r="M105" s="291" t="s">
        <v>495</v>
      </c>
      <c r="N105" s="307">
        <v>2000000</v>
      </c>
      <c r="O105" s="307">
        <v>180000</v>
      </c>
      <c r="P105" s="307">
        <v>1627000</v>
      </c>
      <c r="Q105" s="291">
        <v>1</v>
      </c>
      <c r="R105" s="291" t="s">
        <v>496</v>
      </c>
      <c r="S105" s="291">
        <v>100</v>
      </c>
      <c r="T105" s="307">
        <v>2000000</v>
      </c>
      <c r="U105" s="307">
        <v>180000</v>
      </c>
      <c r="V105" s="291">
        <v>100</v>
      </c>
      <c r="W105" s="307">
        <v>2253984</v>
      </c>
      <c r="X105" s="291">
        <v>15</v>
      </c>
      <c r="Y105" s="291">
        <v>1160902010</v>
      </c>
      <c r="Z105" s="291">
        <v>2023</v>
      </c>
      <c r="AA105" s="291">
        <v>12</v>
      </c>
      <c r="AB105" s="291">
        <v>5026003002</v>
      </c>
      <c r="AC105" s="291">
        <v>1160903005</v>
      </c>
      <c r="AD105" s="291">
        <v>0</v>
      </c>
      <c r="AE105" s="291">
        <v>0</v>
      </c>
      <c r="AF105" s="291">
        <v>0</v>
      </c>
      <c r="AG105" s="291">
        <v>1160605001</v>
      </c>
      <c r="AH105" s="291">
        <v>1627</v>
      </c>
      <c r="AI105" s="291" t="s">
        <v>497</v>
      </c>
      <c r="AJ105" s="308">
        <v>0.01</v>
      </c>
      <c r="AK105" s="309">
        <f t="shared" si="14"/>
        <v>20000</v>
      </c>
      <c r="AL105" s="309">
        <f t="shared" si="15"/>
        <v>20000</v>
      </c>
      <c r="AM105" s="309">
        <f t="shared" si="15"/>
        <v>20000</v>
      </c>
      <c r="AN105" s="309"/>
      <c r="AO105" s="309"/>
      <c r="AP105" s="309">
        <f t="shared" si="10"/>
        <v>900</v>
      </c>
      <c r="AQ105" s="309">
        <f t="shared" si="18"/>
        <v>900</v>
      </c>
      <c r="AR105" s="309">
        <f t="shared" si="18"/>
        <v>900</v>
      </c>
      <c r="AS105" s="309"/>
      <c r="AT105" s="309"/>
      <c r="AV105" s="311">
        <f t="shared" si="11"/>
        <v>1940000</v>
      </c>
      <c r="AW105" s="311">
        <f t="shared" si="12"/>
        <v>177300</v>
      </c>
      <c r="AX105" s="312">
        <f t="shared" si="13"/>
        <v>0</v>
      </c>
    </row>
    <row r="106" spans="1:51">
      <c r="A106" s="291" t="s">
        <v>494</v>
      </c>
      <c r="B106" s="291"/>
      <c r="C106" s="291"/>
      <c r="D106" s="291">
        <v>1160505001</v>
      </c>
      <c r="E106" s="291">
        <v>0</v>
      </c>
      <c r="F106" s="291">
        <v>44772</v>
      </c>
      <c r="G106" s="306">
        <v>43272</v>
      </c>
      <c r="H106" s="306">
        <v>44003</v>
      </c>
      <c r="I106" s="291">
        <v>1271</v>
      </c>
      <c r="J106" s="307">
        <v>5894587</v>
      </c>
      <c r="K106" s="307">
        <v>33403</v>
      </c>
      <c r="L106" s="307">
        <v>0</v>
      </c>
      <c r="M106" s="291" t="s">
        <v>495</v>
      </c>
      <c r="N106" s="307">
        <v>5894587</v>
      </c>
      <c r="O106" s="307">
        <v>33403</v>
      </c>
      <c r="P106" s="307">
        <v>3746010</v>
      </c>
      <c r="Q106" s="291">
        <v>1</v>
      </c>
      <c r="R106" s="291" t="s">
        <v>496</v>
      </c>
      <c r="S106" s="291">
        <v>100</v>
      </c>
      <c r="T106" s="307">
        <v>5894587</v>
      </c>
      <c r="U106" s="307">
        <v>33403</v>
      </c>
      <c r="V106" s="291">
        <v>100</v>
      </c>
      <c r="W106" s="307">
        <v>6165285</v>
      </c>
      <c r="X106" s="291">
        <v>15</v>
      </c>
      <c r="Y106" s="291">
        <v>1160902010</v>
      </c>
      <c r="Z106" s="291">
        <v>2023</v>
      </c>
      <c r="AA106" s="291">
        <v>12</v>
      </c>
      <c r="AB106" s="291">
        <v>5026003002</v>
      </c>
      <c r="AC106" s="291">
        <v>1160903005</v>
      </c>
      <c r="AD106" s="291">
        <v>0</v>
      </c>
      <c r="AE106" s="291">
        <v>0</v>
      </c>
      <c r="AF106" s="291">
        <v>0</v>
      </c>
      <c r="AG106" s="291">
        <v>1160605001</v>
      </c>
      <c r="AH106" s="291">
        <v>1271</v>
      </c>
      <c r="AI106" s="291" t="s">
        <v>497</v>
      </c>
      <c r="AJ106" s="308">
        <v>0.01</v>
      </c>
      <c r="AK106" s="309">
        <f t="shared" si="14"/>
        <v>58945.87</v>
      </c>
      <c r="AL106" s="309">
        <f t="shared" si="15"/>
        <v>58945.87</v>
      </c>
      <c r="AM106" s="309">
        <f t="shared" si="15"/>
        <v>58945.87</v>
      </c>
      <c r="AN106" s="309"/>
      <c r="AO106" s="309"/>
      <c r="AP106" s="309">
        <f t="shared" si="10"/>
        <v>167.01500000000001</v>
      </c>
      <c r="AQ106" s="309">
        <f t="shared" si="18"/>
        <v>167.01500000000001</v>
      </c>
      <c r="AR106" s="309">
        <f t="shared" si="18"/>
        <v>167.01500000000001</v>
      </c>
      <c r="AS106" s="309"/>
      <c r="AT106" s="309"/>
      <c r="AV106" s="311">
        <f t="shared" si="11"/>
        <v>5717749.3899999997</v>
      </c>
      <c r="AW106" s="311">
        <f t="shared" si="12"/>
        <v>32901.955000000002</v>
      </c>
      <c r="AX106" s="312">
        <f t="shared" si="13"/>
        <v>0</v>
      </c>
    </row>
    <row r="107" spans="1:51">
      <c r="A107" s="291" t="s">
        <v>494</v>
      </c>
      <c r="B107" s="291"/>
      <c r="C107" s="291"/>
      <c r="D107" s="291">
        <v>1160505001</v>
      </c>
      <c r="E107" s="291">
        <v>0</v>
      </c>
      <c r="F107" s="291">
        <v>45690</v>
      </c>
      <c r="G107" s="306">
        <v>43478</v>
      </c>
      <c r="H107" s="306">
        <v>44209</v>
      </c>
      <c r="I107" s="291">
        <v>1069</v>
      </c>
      <c r="J107" s="307">
        <v>5000000</v>
      </c>
      <c r="K107" s="307">
        <v>82500</v>
      </c>
      <c r="L107" s="307">
        <v>0</v>
      </c>
      <c r="M107" s="291" t="s">
        <v>495</v>
      </c>
      <c r="N107" s="307">
        <v>5000000</v>
      </c>
      <c r="O107" s="307">
        <v>82500</v>
      </c>
      <c r="P107" s="307">
        <v>2672500</v>
      </c>
      <c r="Q107" s="291">
        <v>1</v>
      </c>
      <c r="R107" s="291" t="s">
        <v>496</v>
      </c>
      <c r="S107" s="291">
        <v>100</v>
      </c>
      <c r="T107" s="307">
        <v>5000000</v>
      </c>
      <c r="U107" s="307">
        <v>82500</v>
      </c>
      <c r="V107" s="291">
        <v>100</v>
      </c>
      <c r="W107" s="307">
        <v>1756132</v>
      </c>
      <c r="X107" s="291">
        <v>2</v>
      </c>
      <c r="Y107" s="291">
        <v>1160902010</v>
      </c>
      <c r="Z107" s="291">
        <v>2023</v>
      </c>
      <c r="AA107" s="291">
        <v>12</v>
      </c>
      <c r="AB107" s="291">
        <v>5026003002</v>
      </c>
      <c r="AC107" s="291">
        <v>1160903005</v>
      </c>
      <c r="AD107" s="291">
        <v>0</v>
      </c>
      <c r="AE107" s="291">
        <v>0</v>
      </c>
      <c r="AF107" s="291">
        <v>0</v>
      </c>
      <c r="AG107" s="291">
        <v>1160605001</v>
      </c>
      <c r="AH107" s="291">
        <v>1409</v>
      </c>
      <c r="AI107" s="291" t="s">
        <v>497</v>
      </c>
      <c r="AJ107" s="308">
        <v>0.01</v>
      </c>
      <c r="AK107" s="309">
        <f t="shared" si="14"/>
        <v>50000</v>
      </c>
      <c r="AL107" s="309">
        <f t="shared" si="15"/>
        <v>50000</v>
      </c>
      <c r="AM107" s="309">
        <f t="shared" si="15"/>
        <v>50000</v>
      </c>
      <c r="AN107" s="309"/>
      <c r="AO107" s="309"/>
      <c r="AP107" s="309">
        <f t="shared" si="10"/>
        <v>412.5</v>
      </c>
      <c r="AQ107" s="309">
        <f t="shared" si="18"/>
        <v>412.5</v>
      </c>
      <c r="AR107" s="309">
        <f t="shared" si="18"/>
        <v>412.5</v>
      </c>
      <c r="AS107" s="309"/>
      <c r="AT107" s="309"/>
      <c r="AV107" s="311">
        <f t="shared" si="11"/>
        <v>4850000</v>
      </c>
      <c r="AW107" s="311">
        <f t="shared" si="12"/>
        <v>81262.5</v>
      </c>
      <c r="AX107" s="312">
        <f t="shared" si="13"/>
        <v>0</v>
      </c>
    </row>
    <row r="108" spans="1:51">
      <c r="A108" s="291" t="s">
        <v>494</v>
      </c>
      <c r="B108" s="291"/>
      <c r="C108" s="291"/>
      <c r="D108" s="291">
        <v>1160505001</v>
      </c>
      <c r="E108" s="291">
        <v>0</v>
      </c>
      <c r="F108" s="291">
        <v>45899</v>
      </c>
      <c r="G108" s="306">
        <v>43499</v>
      </c>
      <c r="H108" s="306">
        <v>43864</v>
      </c>
      <c r="I108" s="291">
        <v>1409</v>
      </c>
      <c r="J108" s="307">
        <v>1000000</v>
      </c>
      <c r="K108" s="307">
        <v>0</v>
      </c>
      <c r="L108" s="307">
        <v>0</v>
      </c>
      <c r="M108" s="291" t="s">
        <v>495</v>
      </c>
      <c r="N108" s="307">
        <v>1000000</v>
      </c>
      <c r="O108" s="307">
        <v>0</v>
      </c>
      <c r="P108" s="307">
        <v>704500</v>
      </c>
      <c r="Q108" s="291">
        <v>1</v>
      </c>
      <c r="R108" s="291" t="s">
        <v>496</v>
      </c>
      <c r="S108" s="291">
        <v>100</v>
      </c>
      <c r="T108" s="307">
        <v>1000000</v>
      </c>
      <c r="U108" s="307">
        <v>0</v>
      </c>
      <c r="V108" s="291">
        <v>100</v>
      </c>
      <c r="W108" s="307">
        <v>1756132</v>
      </c>
      <c r="X108" s="291">
        <v>2</v>
      </c>
      <c r="Y108" s="291">
        <v>1160902010</v>
      </c>
      <c r="Z108" s="291">
        <v>2023</v>
      </c>
      <c r="AA108" s="291">
        <v>12</v>
      </c>
      <c r="AB108" s="291">
        <v>5026003002</v>
      </c>
      <c r="AC108" s="291">
        <v>1160903005</v>
      </c>
      <c r="AD108" s="291">
        <v>0</v>
      </c>
      <c r="AE108" s="291">
        <v>0</v>
      </c>
      <c r="AF108" s="291">
        <v>0</v>
      </c>
      <c r="AG108" s="291">
        <v>1160605001</v>
      </c>
      <c r="AH108" s="291">
        <v>1409</v>
      </c>
      <c r="AI108" s="291" t="s">
        <v>497</v>
      </c>
      <c r="AJ108" s="308">
        <v>0.01</v>
      </c>
      <c r="AK108" s="309">
        <f t="shared" si="14"/>
        <v>10000</v>
      </c>
      <c r="AL108" s="309">
        <f t="shared" si="15"/>
        <v>10000</v>
      </c>
      <c r="AM108" s="309">
        <f t="shared" si="15"/>
        <v>10000</v>
      </c>
      <c r="AN108" s="309"/>
      <c r="AO108" s="309"/>
      <c r="AP108" s="309">
        <f t="shared" si="10"/>
        <v>0</v>
      </c>
      <c r="AQ108" s="309">
        <f t="shared" si="18"/>
        <v>0</v>
      </c>
      <c r="AR108" s="309">
        <f t="shared" si="18"/>
        <v>0</v>
      </c>
      <c r="AS108" s="309"/>
      <c r="AT108" s="309"/>
      <c r="AV108" s="311">
        <f t="shared" si="11"/>
        <v>970000</v>
      </c>
      <c r="AW108" s="311">
        <f t="shared" si="12"/>
        <v>0</v>
      </c>
      <c r="AX108" s="312">
        <f t="shared" si="13"/>
        <v>0</v>
      </c>
    </row>
    <row r="109" spans="1:51">
      <c r="A109" s="291" t="s">
        <v>494</v>
      </c>
      <c r="B109" s="291"/>
      <c r="C109" s="291"/>
      <c r="D109" s="291">
        <v>1160505004</v>
      </c>
      <c r="E109" s="291">
        <v>30623</v>
      </c>
      <c r="F109" s="291">
        <v>36930</v>
      </c>
      <c r="G109" s="306">
        <v>42008</v>
      </c>
      <c r="H109" s="306">
        <v>43104</v>
      </c>
      <c r="I109" s="291">
        <v>2158</v>
      </c>
      <c r="J109" s="307">
        <v>3000000</v>
      </c>
      <c r="K109" s="307">
        <v>623334</v>
      </c>
      <c r="L109" s="307">
        <v>0</v>
      </c>
      <c r="M109" s="291" t="s">
        <v>495</v>
      </c>
      <c r="N109" s="307">
        <v>3000000</v>
      </c>
      <c r="O109" s="307">
        <v>623334</v>
      </c>
      <c r="P109" s="307">
        <v>3237000</v>
      </c>
      <c r="Q109" s="291">
        <v>1</v>
      </c>
      <c r="R109" s="291" t="s">
        <v>496</v>
      </c>
      <c r="S109" s="291">
        <v>100</v>
      </c>
      <c r="T109" s="307">
        <v>3000000</v>
      </c>
      <c r="U109" s="307">
        <v>623334</v>
      </c>
      <c r="V109" s="291">
        <v>100</v>
      </c>
      <c r="W109" s="307">
        <v>2553773</v>
      </c>
      <c r="X109" s="291">
        <v>5</v>
      </c>
      <c r="Y109" s="291">
        <v>1160902010</v>
      </c>
      <c r="Z109" s="291">
        <v>2023</v>
      </c>
      <c r="AA109" s="291">
        <v>12</v>
      </c>
      <c r="AB109" s="291">
        <v>5026003002</v>
      </c>
      <c r="AC109" s="291">
        <v>1160903005</v>
      </c>
      <c r="AD109" s="291">
        <v>0</v>
      </c>
      <c r="AE109" s="291">
        <v>0</v>
      </c>
      <c r="AF109" s="291">
        <v>0</v>
      </c>
      <c r="AG109" s="291">
        <v>1160605001</v>
      </c>
      <c r="AH109" s="291">
        <v>2158</v>
      </c>
      <c r="AI109" s="291" t="s">
        <v>497</v>
      </c>
      <c r="AJ109" s="308">
        <v>0.01</v>
      </c>
      <c r="AK109" s="309">
        <f t="shared" si="14"/>
        <v>30000</v>
      </c>
      <c r="AL109" s="309">
        <f t="shared" si="15"/>
        <v>30000</v>
      </c>
      <c r="AM109" s="309">
        <f t="shared" si="15"/>
        <v>30000</v>
      </c>
      <c r="AN109" s="309"/>
      <c r="AO109" s="309"/>
      <c r="AP109" s="309">
        <f t="shared" si="10"/>
        <v>3116.67</v>
      </c>
      <c r="AQ109" s="309">
        <f t="shared" si="18"/>
        <v>3116.67</v>
      </c>
      <c r="AR109" s="309">
        <f t="shared" si="18"/>
        <v>3116.67</v>
      </c>
      <c r="AS109" s="309"/>
      <c r="AT109" s="309"/>
      <c r="AV109" s="311">
        <f t="shared" si="11"/>
        <v>2910000</v>
      </c>
      <c r="AW109" s="311">
        <f t="shared" si="12"/>
        <v>613983.98999999987</v>
      </c>
      <c r="AX109" s="312">
        <f t="shared" si="13"/>
        <v>0</v>
      </c>
    </row>
    <row r="110" spans="1:51">
      <c r="A110" s="291" t="s">
        <v>494</v>
      </c>
      <c r="B110" s="291"/>
      <c r="C110" s="291"/>
      <c r="D110" s="291">
        <v>1160505004</v>
      </c>
      <c r="E110" s="291">
        <v>30577</v>
      </c>
      <c r="F110" s="291">
        <v>36931</v>
      </c>
      <c r="G110" s="306">
        <v>42008</v>
      </c>
      <c r="H110" s="306">
        <v>43104</v>
      </c>
      <c r="I110" s="291">
        <v>2158</v>
      </c>
      <c r="J110" s="307">
        <v>643000</v>
      </c>
      <c r="K110" s="307">
        <v>133598</v>
      </c>
      <c r="L110" s="307">
        <v>0</v>
      </c>
      <c r="M110" s="291" t="s">
        <v>495</v>
      </c>
      <c r="N110" s="307">
        <v>643000</v>
      </c>
      <c r="O110" s="307">
        <v>133598</v>
      </c>
      <c r="P110" s="307">
        <v>693797</v>
      </c>
      <c r="Q110" s="291">
        <v>1</v>
      </c>
      <c r="R110" s="291" t="s">
        <v>496</v>
      </c>
      <c r="S110" s="291">
        <v>100</v>
      </c>
      <c r="T110" s="307">
        <v>643000</v>
      </c>
      <c r="U110" s="307">
        <v>133598</v>
      </c>
      <c r="V110" s="291">
        <v>100</v>
      </c>
      <c r="W110" s="307">
        <v>2553773</v>
      </c>
      <c r="X110" s="291">
        <v>5</v>
      </c>
      <c r="Y110" s="291">
        <v>1160902010</v>
      </c>
      <c r="Z110" s="291">
        <v>2023</v>
      </c>
      <c r="AA110" s="291">
        <v>12</v>
      </c>
      <c r="AB110" s="291">
        <v>5026003002</v>
      </c>
      <c r="AC110" s="291">
        <v>1160903005</v>
      </c>
      <c r="AD110" s="291">
        <v>0</v>
      </c>
      <c r="AE110" s="291">
        <v>0</v>
      </c>
      <c r="AF110" s="291">
        <v>0</v>
      </c>
      <c r="AG110" s="291">
        <v>1160605001</v>
      </c>
      <c r="AH110" s="291">
        <v>2158</v>
      </c>
      <c r="AI110" s="291" t="s">
        <v>497</v>
      </c>
      <c r="AJ110" s="308">
        <v>0.01</v>
      </c>
      <c r="AK110" s="309">
        <f t="shared" si="14"/>
        <v>6430</v>
      </c>
      <c r="AL110" s="309">
        <f t="shared" si="15"/>
        <v>6430</v>
      </c>
      <c r="AM110" s="309">
        <f t="shared" si="15"/>
        <v>6430</v>
      </c>
      <c r="AN110" s="309"/>
      <c r="AO110" s="309"/>
      <c r="AP110" s="309">
        <f t="shared" si="10"/>
        <v>667.99</v>
      </c>
      <c r="AQ110" s="309">
        <f t="shared" si="18"/>
        <v>667.99</v>
      </c>
      <c r="AR110" s="309">
        <f t="shared" si="18"/>
        <v>667.99</v>
      </c>
      <c r="AS110" s="309"/>
      <c r="AT110" s="309"/>
      <c r="AV110" s="311">
        <f t="shared" si="11"/>
        <v>623710</v>
      </c>
      <c r="AW110" s="311">
        <f t="shared" si="12"/>
        <v>131594.03000000003</v>
      </c>
      <c r="AX110" s="312">
        <f t="shared" si="13"/>
        <v>0</v>
      </c>
    </row>
    <row r="111" spans="1:51">
      <c r="A111" s="291" t="s">
        <v>494</v>
      </c>
      <c r="B111" s="291"/>
      <c r="C111" s="291"/>
      <c r="D111" s="291">
        <v>1160505004</v>
      </c>
      <c r="E111" s="291">
        <v>30576</v>
      </c>
      <c r="F111" s="291">
        <v>39208</v>
      </c>
      <c r="G111" s="306">
        <v>42415</v>
      </c>
      <c r="H111" s="306">
        <v>43511</v>
      </c>
      <c r="I111" s="291">
        <v>1757</v>
      </c>
      <c r="J111" s="307">
        <v>1008300</v>
      </c>
      <c r="K111" s="307">
        <v>332747</v>
      </c>
      <c r="L111" s="307">
        <v>0</v>
      </c>
      <c r="M111" s="291" t="s">
        <v>495</v>
      </c>
      <c r="N111" s="307">
        <v>1008300</v>
      </c>
      <c r="O111" s="307">
        <v>332747</v>
      </c>
      <c r="P111" s="307">
        <v>885792</v>
      </c>
      <c r="Q111" s="291">
        <v>1</v>
      </c>
      <c r="R111" s="291" t="s">
        <v>496</v>
      </c>
      <c r="S111" s="291">
        <v>100</v>
      </c>
      <c r="T111" s="307">
        <v>1008300</v>
      </c>
      <c r="U111" s="307">
        <v>332747</v>
      </c>
      <c r="V111" s="291">
        <v>100</v>
      </c>
      <c r="W111" s="307">
        <v>2553773</v>
      </c>
      <c r="X111" s="291">
        <v>5</v>
      </c>
      <c r="Y111" s="291">
        <v>1160902010</v>
      </c>
      <c r="Z111" s="291">
        <v>2023</v>
      </c>
      <c r="AA111" s="291">
        <v>12</v>
      </c>
      <c r="AB111" s="291">
        <v>5026003002</v>
      </c>
      <c r="AC111" s="291">
        <v>1160903005</v>
      </c>
      <c r="AD111" s="291">
        <v>0</v>
      </c>
      <c r="AE111" s="291">
        <v>0</v>
      </c>
      <c r="AF111" s="291">
        <v>0</v>
      </c>
      <c r="AG111" s="291">
        <v>1160605001</v>
      </c>
      <c r="AH111" s="291">
        <v>2158</v>
      </c>
      <c r="AI111" s="291" t="s">
        <v>497</v>
      </c>
      <c r="AJ111" s="308">
        <v>0.01</v>
      </c>
      <c r="AK111" s="309">
        <f t="shared" si="14"/>
        <v>10083</v>
      </c>
      <c r="AL111" s="309">
        <f t="shared" si="15"/>
        <v>10083</v>
      </c>
      <c r="AM111" s="309">
        <f t="shared" si="15"/>
        <v>10083</v>
      </c>
      <c r="AN111" s="309"/>
      <c r="AO111" s="309"/>
      <c r="AP111" s="309">
        <f t="shared" si="10"/>
        <v>1663.7350000000001</v>
      </c>
      <c r="AQ111" s="309">
        <f t="shared" si="18"/>
        <v>1663.7350000000001</v>
      </c>
      <c r="AR111" s="309">
        <f t="shared" si="18"/>
        <v>1663.7350000000001</v>
      </c>
      <c r="AS111" s="309"/>
      <c r="AT111" s="309"/>
      <c r="AV111" s="311">
        <f t="shared" si="11"/>
        <v>978051</v>
      </c>
      <c r="AW111" s="311">
        <f t="shared" si="12"/>
        <v>327755.79500000004</v>
      </c>
      <c r="AX111" s="312">
        <f t="shared" si="13"/>
        <v>0</v>
      </c>
    </row>
    <row r="112" spans="1:51">
      <c r="A112" s="291" t="s">
        <v>494</v>
      </c>
      <c r="B112" s="291"/>
      <c r="C112" s="291"/>
      <c r="D112" s="291">
        <v>1160505001</v>
      </c>
      <c r="E112" s="291">
        <v>0</v>
      </c>
      <c r="F112" s="291">
        <v>46760</v>
      </c>
      <c r="G112" s="306">
        <v>43605</v>
      </c>
      <c r="H112" s="306">
        <v>43971</v>
      </c>
      <c r="I112" s="291">
        <v>1302</v>
      </c>
      <c r="J112" s="307">
        <v>1500000</v>
      </c>
      <c r="K112" s="307">
        <v>180000</v>
      </c>
      <c r="L112" s="307">
        <v>0</v>
      </c>
      <c r="M112" s="291" t="s">
        <v>495</v>
      </c>
      <c r="N112" s="307">
        <v>1500000</v>
      </c>
      <c r="O112" s="307">
        <v>180000</v>
      </c>
      <c r="P112" s="307">
        <v>976500</v>
      </c>
      <c r="Q112" s="291">
        <v>1</v>
      </c>
      <c r="R112" s="291" t="s">
        <v>496</v>
      </c>
      <c r="S112" s="291">
        <v>100</v>
      </c>
      <c r="T112" s="307">
        <v>1500000</v>
      </c>
      <c r="U112" s="307">
        <v>180000</v>
      </c>
      <c r="V112" s="291">
        <v>100</v>
      </c>
      <c r="W112" s="307">
        <v>7719607</v>
      </c>
      <c r="X112" s="291">
        <v>2</v>
      </c>
      <c r="Y112" s="291">
        <v>1160902010</v>
      </c>
      <c r="Z112" s="291">
        <v>2023</v>
      </c>
      <c r="AA112" s="291">
        <v>12</v>
      </c>
      <c r="AB112" s="291">
        <v>5026003002</v>
      </c>
      <c r="AC112" s="291">
        <v>1160903005</v>
      </c>
      <c r="AD112" s="291">
        <v>0</v>
      </c>
      <c r="AE112" s="291">
        <v>0</v>
      </c>
      <c r="AF112" s="291">
        <v>0</v>
      </c>
      <c r="AG112" s="291">
        <v>1160605001</v>
      </c>
      <c r="AH112" s="291">
        <v>1442</v>
      </c>
      <c r="AI112" s="291" t="s">
        <v>497</v>
      </c>
      <c r="AJ112" s="308">
        <v>0.01</v>
      </c>
      <c r="AK112" s="309">
        <f t="shared" si="14"/>
        <v>15000</v>
      </c>
      <c r="AL112" s="309">
        <f t="shared" si="15"/>
        <v>15000</v>
      </c>
      <c r="AM112" s="309">
        <f t="shared" si="15"/>
        <v>15000</v>
      </c>
      <c r="AN112" s="309"/>
      <c r="AO112" s="309"/>
      <c r="AP112" s="309">
        <f t="shared" si="10"/>
        <v>900</v>
      </c>
      <c r="AQ112" s="309">
        <f t="shared" si="18"/>
        <v>900</v>
      </c>
      <c r="AR112" s="309">
        <f t="shared" si="18"/>
        <v>900</v>
      </c>
      <c r="AS112" s="309"/>
      <c r="AT112" s="309"/>
      <c r="AV112" s="311">
        <f t="shared" si="11"/>
        <v>1455000</v>
      </c>
      <c r="AW112" s="311">
        <f t="shared" si="12"/>
        <v>177300</v>
      </c>
      <c r="AX112" s="312">
        <f t="shared" si="13"/>
        <v>0</v>
      </c>
    </row>
    <row r="113" spans="1:51">
      <c r="A113" s="291" t="s">
        <v>494</v>
      </c>
      <c r="B113" s="291"/>
      <c r="C113" s="291"/>
      <c r="D113" s="291">
        <v>1160505005</v>
      </c>
      <c r="E113" s="291">
        <v>0</v>
      </c>
      <c r="F113" s="291">
        <v>46764</v>
      </c>
      <c r="G113" s="306">
        <v>43605</v>
      </c>
      <c r="H113" s="306">
        <v>43830</v>
      </c>
      <c r="I113" s="291">
        <v>1442</v>
      </c>
      <c r="J113" s="307">
        <v>120037</v>
      </c>
      <c r="K113" s="307">
        <v>0</v>
      </c>
      <c r="L113" s="307">
        <v>0</v>
      </c>
      <c r="M113" s="291" t="s">
        <v>495</v>
      </c>
      <c r="N113" s="307">
        <v>120037</v>
      </c>
      <c r="O113" s="307">
        <v>0</v>
      </c>
      <c r="P113" s="307">
        <v>86547</v>
      </c>
      <c r="Q113" s="291">
        <v>1</v>
      </c>
      <c r="R113" s="291" t="s">
        <v>496</v>
      </c>
      <c r="S113" s="291">
        <v>100</v>
      </c>
      <c r="T113" s="307">
        <v>120037</v>
      </c>
      <c r="U113" s="307">
        <v>0</v>
      </c>
      <c r="V113" s="291">
        <v>100</v>
      </c>
      <c r="W113" s="307">
        <v>7719607</v>
      </c>
      <c r="X113" s="291">
        <v>13</v>
      </c>
      <c r="Y113" s="291">
        <v>1160902010</v>
      </c>
      <c r="Z113" s="291">
        <v>2023</v>
      </c>
      <c r="AA113" s="291">
        <v>12</v>
      </c>
      <c r="AB113" s="291">
        <v>5026003002</v>
      </c>
      <c r="AC113" s="291">
        <v>1160903005</v>
      </c>
      <c r="AD113" s="291">
        <v>0</v>
      </c>
      <c r="AE113" s="291">
        <v>0</v>
      </c>
      <c r="AF113" s="291">
        <v>0</v>
      </c>
      <c r="AG113" s="291">
        <v>1160605001</v>
      </c>
      <c r="AH113" s="291">
        <v>1442</v>
      </c>
      <c r="AI113" s="291" t="s">
        <v>497</v>
      </c>
      <c r="AJ113" s="308">
        <v>0.01</v>
      </c>
      <c r="AK113" s="309">
        <f t="shared" si="14"/>
        <v>1200.3700000000001</v>
      </c>
      <c r="AL113" s="309">
        <f t="shared" si="15"/>
        <v>1200.3700000000001</v>
      </c>
      <c r="AM113" s="309">
        <f t="shared" si="15"/>
        <v>1200.3700000000001</v>
      </c>
      <c r="AN113" s="309"/>
      <c r="AO113" s="309"/>
      <c r="AP113" s="309">
        <f t="shared" si="10"/>
        <v>0</v>
      </c>
      <c r="AQ113" s="309">
        <f t="shared" si="18"/>
        <v>0</v>
      </c>
      <c r="AR113" s="309">
        <f t="shared" si="18"/>
        <v>0</v>
      </c>
      <c r="AS113" s="309"/>
      <c r="AT113" s="309"/>
      <c r="AV113" s="311">
        <f t="shared" si="11"/>
        <v>116435.89000000001</v>
      </c>
      <c r="AW113" s="311">
        <f t="shared" si="12"/>
        <v>0</v>
      </c>
      <c r="AX113" s="312">
        <f t="shared" si="13"/>
        <v>0</v>
      </c>
    </row>
    <row r="114" spans="1:51">
      <c r="A114" s="291" t="s">
        <v>494</v>
      </c>
      <c r="B114" s="291"/>
      <c r="C114" s="291"/>
      <c r="D114" s="291">
        <v>1160505001</v>
      </c>
      <c r="E114" s="291">
        <v>0</v>
      </c>
      <c r="F114" s="291">
        <v>46908</v>
      </c>
      <c r="G114" s="306">
        <v>43629</v>
      </c>
      <c r="H114" s="306">
        <v>43995</v>
      </c>
      <c r="I114" s="291">
        <v>1279</v>
      </c>
      <c r="J114" s="307">
        <v>5400000</v>
      </c>
      <c r="K114" s="307">
        <v>0</v>
      </c>
      <c r="L114" s="307">
        <v>0</v>
      </c>
      <c r="M114" s="291" t="s">
        <v>495</v>
      </c>
      <c r="N114" s="307">
        <v>5400000</v>
      </c>
      <c r="O114" s="307">
        <v>0</v>
      </c>
      <c r="P114" s="307">
        <v>3453300</v>
      </c>
      <c r="Q114" s="291">
        <v>1</v>
      </c>
      <c r="R114" s="291" t="s">
        <v>496</v>
      </c>
      <c r="S114" s="291">
        <v>100</v>
      </c>
      <c r="T114" s="307">
        <v>5400000</v>
      </c>
      <c r="U114" s="307">
        <v>0</v>
      </c>
      <c r="V114" s="291">
        <v>100</v>
      </c>
      <c r="W114" s="307">
        <v>9730251</v>
      </c>
      <c r="X114" s="291">
        <v>2</v>
      </c>
      <c r="Y114" s="291">
        <v>1160902010</v>
      </c>
      <c r="Z114" s="291">
        <v>2023</v>
      </c>
      <c r="AA114" s="291">
        <v>12</v>
      </c>
      <c r="AB114" s="291">
        <v>5026003002</v>
      </c>
      <c r="AC114" s="291">
        <v>1160903005</v>
      </c>
      <c r="AD114" s="291">
        <v>0</v>
      </c>
      <c r="AE114" s="291">
        <v>0</v>
      </c>
      <c r="AF114" s="291">
        <v>0</v>
      </c>
      <c r="AG114" s="291">
        <v>1160605001</v>
      </c>
      <c r="AH114" s="291">
        <v>1279</v>
      </c>
      <c r="AI114" s="291" t="s">
        <v>497</v>
      </c>
      <c r="AJ114" s="308">
        <v>0.01</v>
      </c>
      <c r="AK114" s="309">
        <f t="shared" si="14"/>
        <v>54000</v>
      </c>
      <c r="AL114" s="309">
        <f t="shared" si="15"/>
        <v>54000</v>
      </c>
      <c r="AM114" s="309">
        <f t="shared" si="15"/>
        <v>54000</v>
      </c>
      <c r="AN114" s="309"/>
      <c r="AO114" s="309"/>
      <c r="AP114" s="309">
        <f t="shared" si="10"/>
        <v>0</v>
      </c>
      <c r="AQ114" s="309">
        <f t="shared" si="18"/>
        <v>0</v>
      </c>
      <c r="AR114" s="309">
        <f t="shared" si="18"/>
        <v>0</v>
      </c>
      <c r="AS114" s="309"/>
      <c r="AT114" s="309"/>
      <c r="AV114" s="311">
        <f t="shared" si="11"/>
        <v>5238000</v>
      </c>
      <c r="AW114" s="311">
        <f t="shared" si="12"/>
        <v>0</v>
      </c>
      <c r="AX114" s="312">
        <f t="shared" si="13"/>
        <v>0</v>
      </c>
    </row>
    <row r="115" spans="1:51">
      <c r="A115" s="291" t="s">
        <v>494</v>
      </c>
      <c r="B115" s="291"/>
      <c r="C115" s="291"/>
      <c r="D115" s="291">
        <v>1160505004</v>
      </c>
      <c r="E115" s="291">
        <v>44553</v>
      </c>
      <c r="F115" s="291">
        <v>45839</v>
      </c>
      <c r="G115" s="306">
        <v>43492</v>
      </c>
      <c r="H115" s="306">
        <v>44588</v>
      </c>
      <c r="I115" s="291">
        <v>695</v>
      </c>
      <c r="J115" s="307">
        <v>3020000</v>
      </c>
      <c r="K115" s="307">
        <v>0</v>
      </c>
      <c r="L115" s="307">
        <v>0</v>
      </c>
      <c r="M115" s="291" t="s">
        <v>495</v>
      </c>
      <c r="N115" s="307">
        <v>3020000</v>
      </c>
      <c r="O115" s="307">
        <v>0</v>
      </c>
      <c r="P115" s="307">
        <v>1049450</v>
      </c>
      <c r="Q115" s="291">
        <v>1</v>
      </c>
      <c r="R115" s="291" t="s">
        <v>496</v>
      </c>
      <c r="S115" s="291">
        <v>100</v>
      </c>
      <c r="T115" s="307">
        <v>3020000</v>
      </c>
      <c r="U115" s="307">
        <v>0</v>
      </c>
      <c r="V115" s="291">
        <v>100</v>
      </c>
      <c r="W115" s="307">
        <v>7081812</v>
      </c>
      <c r="X115" s="291">
        <v>5</v>
      </c>
      <c r="Y115" s="291">
        <v>1160902010</v>
      </c>
      <c r="Z115" s="291">
        <v>2023</v>
      </c>
      <c r="AA115" s="291">
        <v>12</v>
      </c>
      <c r="AB115" s="291">
        <v>5026003002</v>
      </c>
      <c r="AC115" s="291">
        <v>1160903005</v>
      </c>
      <c r="AD115" s="291">
        <v>0</v>
      </c>
      <c r="AE115" s="291">
        <v>0</v>
      </c>
      <c r="AF115" s="291">
        <v>0</v>
      </c>
      <c r="AG115" s="291">
        <v>1160605001</v>
      </c>
      <c r="AH115" s="291">
        <v>695</v>
      </c>
      <c r="AI115" s="291" t="s">
        <v>498</v>
      </c>
      <c r="AJ115" s="308">
        <v>0.1</v>
      </c>
      <c r="AK115" s="309">
        <f t="shared" si="14"/>
        <v>302000</v>
      </c>
      <c r="AL115" s="309">
        <f t="shared" si="15"/>
        <v>302000</v>
      </c>
      <c r="AM115" s="309">
        <f t="shared" si="15"/>
        <v>302000</v>
      </c>
      <c r="AN115" s="309"/>
      <c r="AO115" s="309"/>
      <c r="AP115" s="309">
        <f t="shared" si="10"/>
        <v>0</v>
      </c>
      <c r="AQ115" s="309">
        <f t="shared" si="18"/>
        <v>0</v>
      </c>
      <c r="AR115" s="309">
        <f t="shared" si="18"/>
        <v>0</v>
      </c>
      <c r="AS115" s="309"/>
      <c r="AT115" s="309"/>
      <c r="AV115" s="311">
        <f t="shared" si="11"/>
        <v>2114000</v>
      </c>
      <c r="AW115" s="311">
        <f t="shared" si="12"/>
        <v>0</v>
      </c>
      <c r="AX115" s="312">
        <f t="shared" si="13"/>
        <v>0</v>
      </c>
    </row>
    <row r="116" spans="1:51">
      <c r="A116" s="291" t="s">
        <v>494</v>
      </c>
      <c r="B116" s="291"/>
      <c r="C116" s="291"/>
      <c r="D116" s="291">
        <v>1160505001</v>
      </c>
      <c r="E116" s="291">
        <v>0</v>
      </c>
      <c r="F116" s="291">
        <v>45641</v>
      </c>
      <c r="G116" s="306">
        <v>43468</v>
      </c>
      <c r="H116" s="306">
        <v>43833</v>
      </c>
      <c r="I116" s="291">
        <v>1439</v>
      </c>
      <c r="J116" s="307">
        <v>33692165</v>
      </c>
      <c r="K116" s="307">
        <v>0</v>
      </c>
      <c r="L116" s="307">
        <v>0</v>
      </c>
      <c r="M116" s="291" t="s">
        <v>495</v>
      </c>
      <c r="N116" s="307">
        <v>33692165</v>
      </c>
      <c r="O116" s="307">
        <v>0</v>
      </c>
      <c r="P116" s="307">
        <v>24241513</v>
      </c>
      <c r="Q116" s="291">
        <v>1</v>
      </c>
      <c r="R116" s="291" t="s">
        <v>496</v>
      </c>
      <c r="S116" s="291">
        <v>100</v>
      </c>
      <c r="T116" s="307">
        <v>33692165</v>
      </c>
      <c r="U116" s="307">
        <v>0</v>
      </c>
      <c r="V116" s="291">
        <v>100</v>
      </c>
      <c r="W116" s="307">
        <v>14315042</v>
      </c>
      <c r="X116" s="291">
        <v>2</v>
      </c>
      <c r="Y116" s="291">
        <v>1160902010</v>
      </c>
      <c r="Z116" s="291">
        <v>2023</v>
      </c>
      <c r="AA116" s="291">
        <v>12</v>
      </c>
      <c r="AB116" s="291">
        <v>5026003002</v>
      </c>
      <c r="AC116" s="291">
        <v>1160903005</v>
      </c>
      <c r="AD116" s="291">
        <v>0</v>
      </c>
      <c r="AE116" s="291">
        <v>0</v>
      </c>
      <c r="AF116" s="291">
        <v>0</v>
      </c>
      <c r="AG116" s="291">
        <v>1160605001</v>
      </c>
      <c r="AH116" s="291">
        <v>1439</v>
      </c>
      <c r="AI116" s="291" t="s">
        <v>497</v>
      </c>
      <c r="AJ116" s="308">
        <v>0.01</v>
      </c>
      <c r="AK116" s="309">
        <f t="shared" si="14"/>
        <v>336921.65</v>
      </c>
      <c r="AL116" s="309">
        <f t="shared" si="15"/>
        <v>336921.65</v>
      </c>
      <c r="AM116" s="309">
        <f t="shared" si="15"/>
        <v>336921.65</v>
      </c>
      <c r="AN116" s="309"/>
      <c r="AO116" s="309"/>
      <c r="AP116" s="309">
        <f t="shared" si="10"/>
        <v>0</v>
      </c>
      <c r="AQ116" s="309">
        <f t="shared" si="18"/>
        <v>0</v>
      </c>
      <c r="AR116" s="309">
        <f t="shared" si="18"/>
        <v>0</v>
      </c>
      <c r="AS116" s="309"/>
      <c r="AT116" s="309"/>
      <c r="AV116" s="311">
        <f t="shared" si="11"/>
        <v>32681400.050000004</v>
      </c>
      <c r="AW116" s="311">
        <f t="shared" si="12"/>
        <v>0</v>
      </c>
      <c r="AX116" s="312">
        <f t="shared" si="13"/>
        <v>0</v>
      </c>
    </row>
    <row r="117" spans="1:51">
      <c r="A117" s="291" t="s">
        <v>494</v>
      </c>
      <c r="B117" s="291"/>
      <c r="C117" s="291"/>
      <c r="D117" s="291">
        <v>1160505001</v>
      </c>
      <c r="E117" s="291">
        <v>0</v>
      </c>
      <c r="F117" s="291">
        <v>45455</v>
      </c>
      <c r="G117" s="306">
        <v>43423</v>
      </c>
      <c r="H117" s="306">
        <v>43788</v>
      </c>
      <c r="I117" s="291">
        <v>1483</v>
      </c>
      <c r="J117" s="307">
        <v>8000000</v>
      </c>
      <c r="K117" s="307">
        <v>720000</v>
      </c>
      <c r="L117" s="307">
        <v>0</v>
      </c>
      <c r="M117" s="291" t="s">
        <v>495</v>
      </c>
      <c r="N117" s="307">
        <v>8000000</v>
      </c>
      <c r="O117" s="307">
        <v>720000</v>
      </c>
      <c r="P117" s="307">
        <v>5932000</v>
      </c>
      <c r="Q117" s="291">
        <v>1</v>
      </c>
      <c r="R117" s="291" t="s">
        <v>496</v>
      </c>
      <c r="S117" s="291">
        <v>100</v>
      </c>
      <c r="T117" s="307">
        <v>8000000</v>
      </c>
      <c r="U117" s="307">
        <v>720000</v>
      </c>
      <c r="V117" s="291">
        <v>100</v>
      </c>
      <c r="W117" s="307">
        <v>6440512</v>
      </c>
      <c r="X117" s="291">
        <v>2</v>
      </c>
      <c r="Y117" s="291">
        <v>1160902010</v>
      </c>
      <c r="Z117" s="291">
        <v>2023</v>
      </c>
      <c r="AA117" s="291">
        <v>12</v>
      </c>
      <c r="AB117" s="291">
        <v>5026003002</v>
      </c>
      <c r="AC117" s="291">
        <v>1160903005</v>
      </c>
      <c r="AD117" s="291">
        <v>0</v>
      </c>
      <c r="AE117" s="291">
        <v>0</v>
      </c>
      <c r="AF117" s="291">
        <v>0</v>
      </c>
      <c r="AG117" s="291">
        <v>1160605001</v>
      </c>
      <c r="AH117" s="291">
        <v>1483</v>
      </c>
      <c r="AI117" s="291" t="s">
        <v>497</v>
      </c>
      <c r="AJ117" s="308">
        <v>0.01</v>
      </c>
      <c r="AK117" s="309">
        <f t="shared" si="14"/>
        <v>80000</v>
      </c>
      <c r="AL117" s="309">
        <f t="shared" si="15"/>
        <v>80000</v>
      </c>
      <c r="AM117" s="309">
        <f t="shared" si="15"/>
        <v>80000</v>
      </c>
      <c r="AN117" s="309"/>
      <c r="AO117" s="309"/>
      <c r="AP117" s="309">
        <f t="shared" si="10"/>
        <v>3600</v>
      </c>
      <c r="AQ117" s="309">
        <f t="shared" si="18"/>
        <v>3600</v>
      </c>
      <c r="AR117" s="309">
        <f t="shared" si="18"/>
        <v>3600</v>
      </c>
      <c r="AS117" s="309"/>
      <c r="AT117" s="309"/>
      <c r="AV117" s="311">
        <f t="shared" si="11"/>
        <v>7760000</v>
      </c>
      <c r="AW117" s="311">
        <f t="shared" si="12"/>
        <v>709200</v>
      </c>
      <c r="AX117" s="312">
        <f t="shared" si="13"/>
        <v>0</v>
      </c>
    </row>
    <row r="118" spans="1:51">
      <c r="A118" s="291" t="s">
        <v>494</v>
      </c>
      <c r="B118" s="291"/>
      <c r="C118" s="291"/>
      <c r="D118" s="291">
        <v>1160505001</v>
      </c>
      <c r="E118" s="291">
        <v>0</v>
      </c>
      <c r="F118" s="291">
        <v>47089</v>
      </c>
      <c r="G118" s="306">
        <v>43653</v>
      </c>
      <c r="H118" s="306">
        <v>43837</v>
      </c>
      <c r="I118" s="291">
        <v>1435</v>
      </c>
      <c r="J118" s="307">
        <v>7000000</v>
      </c>
      <c r="K118" s="307">
        <v>315000</v>
      </c>
      <c r="L118" s="307">
        <v>0</v>
      </c>
      <c r="M118" s="291" t="s">
        <v>495</v>
      </c>
      <c r="N118" s="307">
        <v>7000000</v>
      </c>
      <c r="O118" s="307">
        <v>315000</v>
      </c>
      <c r="P118" s="307">
        <v>5022500</v>
      </c>
      <c r="Q118" s="291">
        <v>1</v>
      </c>
      <c r="R118" s="291" t="s">
        <v>496</v>
      </c>
      <c r="S118" s="291">
        <v>100</v>
      </c>
      <c r="T118" s="307">
        <v>7000000</v>
      </c>
      <c r="U118" s="307">
        <v>315000</v>
      </c>
      <c r="V118" s="291">
        <v>100</v>
      </c>
      <c r="W118" s="307">
        <v>6440512</v>
      </c>
      <c r="X118" s="291">
        <v>2</v>
      </c>
      <c r="Y118" s="291">
        <v>1160902010</v>
      </c>
      <c r="Z118" s="291">
        <v>2023</v>
      </c>
      <c r="AA118" s="291">
        <v>12</v>
      </c>
      <c r="AB118" s="291">
        <v>5026003002</v>
      </c>
      <c r="AC118" s="291">
        <v>1160903005</v>
      </c>
      <c r="AD118" s="291">
        <v>0</v>
      </c>
      <c r="AE118" s="291">
        <v>0</v>
      </c>
      <c r="AF118" s="291">
        <v>0</v>
      </c>
      <c r="AG118" s="291">
        <v>1160605001</v>
      </c>
      <c r="AH118" s="291">
        <v>1483</v>
      </c>
      <c r="AI118" s="291" t="s">
        <v>497</v>
      </c>
      <c r="AJ118" s="308">
        <v>0.01</v>
      </c>
      <c r="AK118" s="309">
        <f t="shared" si="14"/>
        <v>70000</v>
      </c>
      <c r="AL118" s="309">
        <f t="shared" si="15"/>
        <v>70000</v>
      </c>
      <c r="AM118" s="309">
        <f t="shared" si="15"/>
        <v>70000</v>
      </c>
      <c r="AN118" s="309"/>
      <c r="AO118" s="309"/>
      <c r="AP118" s="309">
        <f t="shared" si="10"/>
        <v>1575</v>
      </c>
      <c r="AQ118" s="309">
        <f t="shared" si="18"/>
        <v>1575</v>
      </c>
      <c r="AR118" s="309">
        <f t="shared" si="18"/>
        <v>1575</v>
      </c>
      <c r="AS118" s="309"/>
      <c r="AT118" s="309"/>
      <c r="AV118" s="311">
        <f t="shared" si="11"/>
        <v>6790000</v>
      </c>
      <c r="AW118" s="311">
        <f t="shared" si="12"/>
        <v>310275</v>
      </c>
      <c r="AX118" s="312">
        <f t="shared" si="13"/>
        <v>0</v>
      </c>
    </row>
    <row r="119" spans="1:51">
      <c r="A119" s="291" t="s">
        <v>494</v>
      </c>
      <c r="B119" s="291"/>
      <c r="C119" s="291"/>
      <c r="D119" s="291">
        <v>1160505002</v>
      </c>
      <c r="E119" s="291">
        <v>0</v>
      </c>
      <c r="F119" s="291">
        <v>45456</v>
      </c>
      <c r="G119" s="306">
        <v>43423</v>
      </c>
      <c r="H119" s="306">
        <v>43788</v>
      </c>
      <c r="I119" s="291">
        <v>1483</v>
      </c>
      <c r="J119" s="307">
        <v>3522000</v>
      </c>
      <c r="K119" s="307">
        <v>316981</v>
      </c>
      <c r="L119" s="307">
        <v>0</v>
      </c>
      <c r="M119" s="291" t="s">
        <v>495</v>
      </c>
      <c r="N119" s="307">
        <v>3522000</v>
      </c>
      <c r="O119" s="307">
        <v>316981</v>
      </c>
      <c r="P119" s="307">
        <v>2611563</v>
      </c>
      <c r="Q119" s="291">
        <v>1</v>
      </c>
      <c r="R119" s="291" t="s">
        <v>496</v>
      </c>
      <c r="S119" s="291">
        <v>100</v>
      </c>
      <c r="T119" s="307">
        <v>3522000</v>
      </c>
      <c r="U119" s="307">
        <v>316981</v>
      </c>
      <c r="V119" s="291">
        <v>100</v>
      </c>
      <c r="W119" s="307">
        <v>6440512</v>
      </c>
      <c r="X119" s="291">
        <v>6</v>
      </c>
      <c r="Y119" s="291">
        <v>1160902010</v>
      </c>
      <c r="Z119" s="291">
        <v>2023</v>
      </c>
      <c r="AA119" s="291">
        <v>12</v>
      </c>
      <c r="AB119" s="291">
        <v>5026003002</v>
      </c>
      <c r="AC119" s="291">
        <v>1160903005</v>
      </c>
      <c r="AD119" s="291">
        <v>0</v>
      </c>
      <c r="AE119" s="291">
        <v>0</v>
      </c>
      <c r="AF119" s="291">
        <v>0</v>
      </c>
      <c r="AG119" s="291">
        <v>1160605001</v>
      </c>
      <c r="AH119" s="291">
        <v>1483</v>
      </c>
      <c r="AI119" s="291" t="s">
        <v>497</v>
      </c>
      <c r="AJ119" s="308">
        <v>0.01</v>
      </c>
      <c r="AK119" s="309">
        <f t="shared" si="14"/>
        <v>35220</v>
      </c>
      <c r="AL119" s="309">
        <f t="shared" si="15"/>
        <v>35220</v>
      </c>
      <c r="AM119" s="309">
        <f t="shared" si="15"/>
        <v>35220</v>
      </c>
      <c r="AN119" s="309"/>
      <c r="AO119" s="309"/>
      <c r="AP119" s="309">
        <f t="shared" si="10"/>
        <v>1584.905</v>
      </c>
      <c r="AQ119" s="309">
        <f t="shared" ref="AQ119:AR134" si="19">AP119</f>
        <v>1584.905</v>
      </c>
      <c r="AR119" s="309">
        <f t="shared" si="19"/>
        <v>1584.905</v>
      </c>
      <c r="AS119" s="309"/>
      <c r="AT119" s="309"/>
      <c r="AV119" s="311">
        <f t="shared" si="11"/>
        <v>3416340</v>
      </c>
      <c r="AW119" s="311">
        <f t="shared" si="12"/>
        <v>312226.28499999992</v>
      </c>
      <c r="AX119" s="312">
        <f t="shared" si="13"/>
        <v>0</v>
      </c>
    </row>
    <row r="120" spans="1:51">
      <c r="A120" s="291" t="s">
        <v>494</v>
      </c>
      <c r="B120" s="291"/>
      <c r="C120" s="291"/>
      <c r="D120" s="291">
        <v>1160505001</v>
      </c>
      <c r="E120" s="291">
        <v>0</v>
      </c>
      <c r="F120" s="291">
        <v>44440</v>
      </c>
      <c r="G120" s="306">
        <v>43227</v>
      </c>
      <c r="H120" s="306">
        <v>43958</v>
      </c>
      <c r="I120" s="291">
        <v>1315</v>
      </c>
      <c r="J120" s="307">
        <v>7000000</v>
      </c>
      <c r="K120" s="307">
        <v>525000</v>
      </c>
      <c r="L120" s="307">
        <v>0</v>
      </c>
      <c r="M120" s="291" t="s">
        <v>495</v>
      </c>
      <c r="N120" s="307">
        <v>7000000</v>
      </c>
      <c r="O120" s="307">
        <v>525000</v>
      </c>
      <c r="P120" s="307">
        <v>4602500</v>
      </c>
      <c r="Q120" s="291">
        <v>1</v>
      </c>
      <c r="R120" s="291" t="s">
        <v>496</v>
      </c>
      <c r="S120" s="291">
        <v>100</v>
      </c>
      <c r="T120" s="307">
        <v>7000000</v>
      </c>
      <c r="U120" s="307">
        <v>525000</v>
      </c>
      <c r="V120" s="291">
        <v>100</v>
      </c>
      <c r="W120" s="307">
        <v>6440512</v>
      </c>
      <c r="X120" s="291">
        <v>14</v>
      </c>
      <c r="Y120" s="291">
        <v>1160902010</v>
      </c>
      <c r="Z120" s="291">
        <v>2023</v>
      </c>
      <c r="AA120" s="291">
        <v>12</v>
      </c>
      <c r="AB120" s="291">
        <v>5026003002</v>
      </c>
      <c r="AC120" s="291">
        <v>1160903005</v>
      </c>
      <c r="AD120" s="291">
        <v>0</v>
      </c>
      <c r="AE120" s="291">
        <v>0</v>
      </c>
      <c r="AF120" s="291">
        <v>0</v>
      </c>
      <c r="AG120" s="291">
        <v>1160605001</v>
      </c>
      <c r="AH120" s="291">
        <v>1483</v>
      </c>
      <c r="AI120" s="291" t="s">
        <v>497</v>
      </c>
      <c r="AJ120" s="308">
        <v>0.01</v>
      </c>
      <c r="AK120" s="309">
        <f t="shared" si="14"/>
        <v>70000</v>
      </c>
      <c r="AL120" s="309">
        <f t="shared" si="15"/>
        <v>70000</v>
      </c>
      <c r="AM120" s="309">
        <f t="shared" si="15"/>
        <v>70000</v>
      </c>
      <c r="AN120" s="309"/>
      <c r="AO120" s="309"/>
      <c r="AP120" s="309">
        <f t="shared" si="10"/>
        <v>2625</v>
      </c>
      <c r="AQ120" s="309">
        <f t="shared" si="19"/>
        <v>2625</v>
      </c>
      <c r="AR120" s="309">
        <f t="shared" si="19"/>
        <v>2625</v>
      </c>
      <c r="AS120" s="309"/>
      <c r="AT120" s="309"/>
      <c r="AV120" s="311">
        <f t="shared" si="11"/>
        <v>6790000</v>
      </c>
      <c r="AW120" s="311">
        <f t="shared" si="12"/>
        <v>517125</v>
      </c>
      <c r="AX120" s="312">
        <f t="shared" si="13"/>
        <v>0</v>
      </c>
    </row>
    <row r="121" spans="1:51">
      <c r="A121" s="291" t="s">
        <v>494</v>
      </c>
      <c r="B121" s="291"/>
      <c r="C121" s="291"/>
      <c r="D121" s="291">
        <v>1160405001</v>
      </c>
      <c r="E121" s="291">
        <v>0</v>
      </c>
      <c r="F121" s="291">
        <v>43599</v>
      </c>
      <c r="G121" s="306">
        <v>43141</v>
      </c>
      <c r="H121" s="306">
        <v>44237</v>
      </c>
      <c r="I121" s="291">
        <v>1042</v>
      </c>
      <c r="J121" s="307">
        <v>115000000</v>
      </c>
      <c r="K121" s="307">
        <v>38243738</v>
      </c>
      <c r="L121" s="307">
        <v>81727973</v>
      </c>
      <c r="M121" s="291" t="s">
        <v>495</v>
      </c>
      <c r="N121" s="307">
        <v>33272027</v>
      </c>
      <c r="O121" s="307">
        <v>38243738</v>
      </c>
      <c r="P121" s="307">
        <v>59915000</v>
      </c>
      <c r="Q121" s="291">
        <v>2</v>
      </c>
      <c r="R121" s="291" t="s">
        <v>496</v>
      </c>
      <c r="S121" s="291">
        <v>100</v>
      </c>
      <c r="T121" s="307">
        <v>33272027</v>
      </c>
      <c r="U121" s="307">
        <v>38243738</v>
      </c>
      <c r="V121" s="291">
        <v>100</v>
      </c>
      <c r="W121" s="307">
        <v>27131232</v>
      </c>
      <c r="X121" s="291">
        <v>2</v>
      </c>
      <c r="Y121" s="291">
        <v>1160902009</v>
      </c>
      <c r="Z121" s="291">
        <v>2023</v>
      </c>
      <c r="AA121" s="291">
        <v>12</v>
      </c>
      <c r="AB121" s="291">
        <v>5026003002</v>
      </c>
      <c r="AC121" s="291">
        <v>1160903005</v>
      </c>
      <c r="AD121" s="291">
        <v>0</v>
      </c>
      <c r="AE121" s="291">
        <v>0</v>
      </c>
      <c r="AF121" s="291">
        <v>1</v>
      </c>
      <c r="AG121" s="291">
        <v>1160605001</v>
      </c>
      <c r="AH121" s="291">
        <v>1042</v>
      </c>
      <c r="AI121" s="291" t="s">
        <v>503</v>
      </c>
      <c r="AJ121" s="308">
        <v>0</v>
      </c>
      <c r="AK121" s="309">
        <f t="shared" si="14"/>
        <v>0</v>
      </c>
      <c r="AL121" s="309">
        <f t="shared" si="15"/>
        <v>0</v>
      </c>
      <c r="AM121" s="309">
        <f t="shared" si="15"/>
        <v>0</v>
      </c>
      <c r="AN121" s="309"/>
      <c r="AO121" s="309"/>
      <c r="AP121" s="309">
        <f t="shared" si="10"/>
        <v>0</v>
      </c>
      <c r="AQ121" s="309">
        <f t="shared" si="19"/>
        <v>0</v>
      </c>
      <c r="AR121" s="309">
        <f t="shared" si="19"/>
        <v>0</v>
      </c>
      <c r="AS121" s="309"/>
      <c r="AT121" s="309"/>
      <c r="AV121" s="311">
        <f t="shared" si="11"/>
        <v>115000000</v>
      </c>
      <c r="AW121" s="311">
        <f t="shared" si="12"/>
        <v>38243738</v>
      </c>
      <c r="AX121" s="312">
        <f t="shared" si="13"/>
        <v>81727973</v>
      </c>
      <c r="AY121" s="312">
        <f>+AX121-L121</f>
        <v>0</v>
      </c>
    </row>
    <row r="122" spans="1:51">
      <c r="A122" s="291" t="s">
        <v>494</v>
      </c>
      <c r="B122" s="291"/>
      <c r="C122" s="291"/>
      <c r="D122" s="291">
        <v>1160505001</v>
      </c>
      <c r="E122" s="291">
        <v>0</v>
      </c>
      <c r="F122" s="291">
        <v>45914</v>
      </c>
      <c r="G122" s="306">
        <v>43499</v>
      </c>
      <c r="H122" s="306">
        <v>43864</v>
      </c>
      <c r="I122" s="291">
        <v>1409</v>
      </c>
      <c r="J122" s="307">
        <v>9000000</v>
      </c>
      <c r="K122" s="307">
        <v>810000</v>
      </c>
      <c r="L122" s="307">
        <v>0</v>
      </c>
      <c r="M122" s="291" t="s">
        <v>495</v>
      </c>
      <c r="N122" s="307">
        <v>9000000</v>
      </c>
      <c r="O122" s="307">
        <v>810000</v>
      </c>
      <c r="P122" s="307">
        <v>6340500</v>
      </c>
      <c r="Q122" s="291">
        <v>1</v>
      </c>
      <c r="R122" s="291" t="s">
        <v>496</v>
      </c>
      <c r="S122" s="291">
        <v>100</v>
      </c>
      <c r="T122" s="307">
        <v>9000000</v>
      </c>
      <c r="U122" s="307">
        <v>810000</v>
      </c>
      <c r="V122" s="291">
        <v>100</v>
      </c>
      <c r="W122" s="307">
        <v>3711791</v>
      </c>
      <c r="X122" s="291">
        <v>15</v>
      </c>
      <c r="Y122" s="291">
        <v>1160902010</v>
      </c>
      <c r="Z122" s="291">
        <v>2023</v>
      </c>
      <c r="AA122" s="291">
        <v>12</v>
      </c>
      <c r="AB122" s="291">
        <v>5026003002</v>
      </c>
      <c r="AC122" s="291">
        <v>1160903005</v>
      </c>
      <c r="AD122" s="291">
        <v>0</v>
      </c>
      <c r="AE122" s="291">
        <v>0</v>
      </c>
      <c r="AF122" s="291">
        <v>0</v>
      </c>
      <c r="AG122" s="291">
        <v>1160605001</v>
      </c>
      <c r="AH122" s="291">
        <v>1409</v>
      </c>
      <c r="AI122" s="291" t="s">
        <v>497</v>
      </c>
      <c r="AJ122" s="308">
        <v>0.01</v>
      </c>
      <c r="AK122" s="309">
        <f t="shared" si="14"/>
        <v>90000</v>
      </c>
      <c r="AL122" s="309">
        <f t="shared" si="15"/>
        <v>90000</v>
      </c>
      <c r="AM122" s="309">
        <f t="shared" si="15"/>
        <v>90000</v>
      </c>
      <c r="AN122" s="309"/>
      <c r="AO122" s="309"/>
      <c r="AP122" s="309">
        <f t="shared" si="10"/>
        <v>4050</v>
      </c>
      <c r="AQ122" s="309">
        <f t="shared" si="19"/>
        <v>4050</v>
      </c>
      <c r="AR122" s="309">
        <f t="shared" si="19"/>
        <v>4050</v>
      </c>
      <c r="AS122" s="309"/>
      <c r="AT122" s="309"/>
      <c r="AV122" s="311">
        <f t="shared" si="11"/>
        <v>8730000</v>
      </c>
      <c r="AW122" s="311">
        <f t="shared" si="12"/>
        <v>797850</v>
      </c>
      <c r="AX122" s="312">
        <f t="shared" si="13"/>
        <v>0</v>
      </c>
    </row>
    <row r="123" spans="1:51">
      <c r="A123" s="291" t="s">
        <v>494</v>
      </c>
      <c r="B123" s="291"/>
      <c r="C123" s="291"/>
      <c r="D123" s="291">
        <v>1160505002</v>
      </c>
      <c r="E123" s="291">
        <v>0</v>
      </c>
      <c r="F123" s="291">
        <v>46429</v>
      </c>
      <c r="G123" s="306">
        <v>43546</v>
      </c>
      <c r="H123" s="306">
        <v>43912</v>
      </c>
      <c r="I123" s="291">
        <v>1360</v>
      </c>
      <c r="J123" s="307">
        <v>3990750</v>
      </c>
      <c r="K123" s="307">
        <v>359172</v>
      </c>
      <c r="L123" s="307">
        <v>0</v>
      </c>
      <c r="M123" s="291" t="s">
        <v>495</v>
      </c>
      <c r="N123" s="307">
        <v>3990750</v>
      </c>
      <c r="O123" s="307">
        <v>359172</v>
      </c>
      <c r="P123" s="307">
        <v>2713710</v>
      </c>
      <c r="Q123" s="291">
        <v>1</v>
      </c>
      <c r="R123" s="291" t="s">
        <v>496</v>
      </c>
      <c r="S123" s="291">
        <v>100</v>
      </c>
      <c r="T123" s="307">
        <v>3990750</v>
      </c>
      <c r="U123" s="307">
        <v>359172</v>
      </c>
      <c r="V123" s="291">
        <v>100</v>
      </c>
      <c r="W123" s="307">
        <v>3711791</v>
      </c>
      <c r="X123" s="291">
        <v>17</v>
      </c>
      <c r="Y123" s="291">
        <v>1160902010</v>
      </c>
      <c r="Z123" s="291">
        <v>2023</v>
      </c>
      <c r="AA123" s="291">
        <v>12</v>
      </c>
      <c r="AB123" s="291">
        <v>5026003002</v>
      </c>
      <c r="AC123" s="291">
        <v>1160903005</v>
      </c>
      <c r="AD123" s="291">
        <v>0</v>
      </c>
      <c r="AE123" s="291">
        <v>0</v>
      </c>
      <c r="AF123" s="291">
        <v>0</v>
      </c>
      <c r="AG123" s="291">
        <v>1160605001</v>
      </c>
      <c r="AH123" s="291">
        <v>1409</v>
      </c>
      <c r="AI123" s="291" t="s">
        <v>497</v>
      </c>
      <c r="AJ123" s="308">
        <v>0.01</v>
      </c>
      <c r="AK123" s="309">
        <f t="shared" si="14"/>
        <v>39907.5</v>
      </c>
      <c r="AL123" s="309">
        <f t="shared" si="15"/>
        <v>39907.5</v>
      </c>
      <c r="AM123" s="309">
        <f t="shared" si="15"/>
        <v>39907.5</v>
      </c>
      <c r="AN123" s="309"/>
      <c r="AO123" s="309"/>
      <c r="AP123" s="309">
        <f t="shared" si="10"/>
        <v>1795.8600000000001</v>
      </c>
      <c r="AQ123" s="309">
        <f t="shared" si="19"/>
        <v>1795.8600000000001</v>
      </c>
      <c r="AR123" s="309">
        <f t="shared" si="19"/>
        <v>1795.8600000000001</v>
      </c>
      <c r="AS123" s="309"/>
      <c r="AT123" s="309"/>
      <c r="AV123" s="311">
        <f t="shared" si="11"/>
        <v>3871027.5</v>
      </c>
      <c r="AW123" s="311">
        <f t="shared" si="12"/>
        <v>353784.42000000004</v>
      </c>
      <c r="AX123" s="312">
        <f t="shared" si="13"/>
        <v>0</v>
      </c>
    </row>
    <row r="124" spans="1:51">
      <c r="A124" s="291" t="s">
        <v>494</v>
      </c>
      <c r="B124" s="291"/>
      <c r="C124" s="291"/>
      <c r="D124" s="291">
        <v>1160505001</v>
      </c>
      <c r="E124" s="291">
        <v>0</v>
      </c>
      <c r="F124" s="291">
        <v>46979</v>
      </c>
      <c r="G124" s="306">
        <v>43639</v>
      </c>
      <c r="H124" s="306">
        <v>44696</v>
      </c>
      <c r="I124" s="291">
        <v>587</v>
      </c>
      <c r="J124" s="307">
        <v>4333086</v>
      </c>
      <c r="K124" s="307">
        <v>0</v>
      </c>
      <c r="L124" s="307">
        <v>0</v>
      </c>
      <c r="M124" s="291" t="s">
        <v>495</v>
      </c>
      <c r="N124" s="307">
        <v>4333086</v>
      </c>
      <c r="O124" s="307">
        <v>0</v>
      </c>
      <c r="P124" s="307">
        <v>1271761</v>
      </c>
      <c r="Q124" s="291">
        <v>1</v>
      </c>
      <c r="R124" s="291" t="s">
        <v>496</v>
      </c>
      <c r="S124" s="291">
        <v>100</v>
      </c>
      <c r="T124" s="307">
        <v>4333086</v>
      </c>
      <c r="U124" s="307">
        <v>0</v>
      </c>
      <c r="V124" s="291">
        <v>100</v>
      </c>
      <c r="W124" s="307">
        <v>15457368</v>
      </c>
      <c r="X124" s="291">
        <v>2</v>
      </c>
      <c r="Y124" s="291">
        <v>1160902010</v>
      </c>
      <c r="Z124" s="291">
        <v>2023</v>
      </c>
      <c r="AA124" s="291">
        <v>12</v>
      </c>
      <c r="AB124" s="291">
        <v>5026003002</v>
      </c>
      <c r="AC124" s="291">
        <v>1160903005</v>
      </c>
      <c r="AD124" s="291">
        <v>0</v>
      </c>
      <c r="AE124" s="291">
        <v>0</v>
      </c>
      <c r="AF124" s="291">
        <v>0</v>
      </c>
      <c r="AG124" s="291">
        <v>1160605001</v>
      </c>
      <c r="AH124" s="291">
        <v>587</v>
      </c>
      <c r="AI124" s="291" t="s">
        <v>498</v>
      </c>
      <c r="AJ124" s="308">
        <v>0.1</v>
      </c>
      <c r="AK124" s="309">
        <f t="shared" si="14"/>
        <v>433308.60000000003</v>
      </c>
      <c r="AL124" s="309">
        <f t="shared" si="15"/>
        <v>433308.60000000003</v>
      </c>
      <c r="AM124" s="309">
        <f t="shared" si="15"/>
        <v>433308.60000000003</v>
      </c>
      <c r="AN124" s="309"/>
      <c r="AO124" s="309"/>
      <c r="AP124" s="309">
        <f t="shared" si="10"/>
        <v>0</v>
      </c>
      <c r="AQ124" s="309">
        <f t="shared" si="19"/>
        <v>0</v>
      </c>
      <c r="AR124" s="309">
        <f t="shared" si="19"/>
        <v>0</v>
      </c>
      <c r="AS124" s="309"/>
      <c r="AT124" s="309"/>
      <c r="AV124" s="311">
        <f t="shared" si="11"/>
        <v>3033160.1999999997</v>
      </c>
      <c r="AW124" s="311">
        <f t="shared" si="12"/>
        <v>0</v>
      </c>
      <c r="AX124" s="312">
        <f t="shared" si="13"/>
        <v>0</v>
      </c>
    </row>
    <row r="125" spans="1:51">
      <c r="A125" s="291" t="s">
        <v>494</v>
      </c>
      <c r="B125" s="291"/>
      <c r="C125" s="291"/>
      <c r="D125" s="291">
        <v>1160405001</v>
      </c>
      <c r="E125" s="291">
        <v>0</v>
      </c>
      <c r="F125" s="291">
        <v>46264</v>
      </c>
      <c r="G125" s="306">
        <v>43527</v>
      </c>
      <c r="H125" s="306">
        <v>43893</v>
      </c>
      <c r="I125" s="291">
        <v>1379</v>
      </c>
      <c r="J125" s="307">
        <v>50962478</v>
      </c>
      <c r="K125" s="307">
        <v>3694784</v>
      </c>
      <c r="L125" s="307">
        <v>0</v>
      </c>
      <c r="M125" s="291" t="s">
        <v>495</v>
      </c>
      <c r="N125" s="307">
        <v>50962478</v>
      </c>
      <c r="O125" s="307">
        <v>3694784</v>
      </c>
      <c r="P125" s="307">
        <v>35138629</v>
      </c>
      <c r="Q125" s="291">
        <v>2</v>
      </c>
      <c r="R125" s="291" t="s">
        <v>496</v>
      </c>
      <c r="S125" s="291">
        <v>100</v>
      </c>
      <c r="T125" s="307">
        <v>50962478</v>
      </c>
      <c r="U125" s="307">
        <v>3694784</v>
      </c>
      <c r="V125" s="291">
        <v>100</v>
      </c>
      <c r="W125" s="307">
        <v>578980183</v>
      </c>
      <c r="X125" s="291">
        <v>2</v>
      </c>
      <c r="Y125" s="291">
        <v>1160902009</v>
      </c>
      <c r="Z125" s="291">
        <v>2023</v>
      </c>
      <c r="AA125" s="291">
        <v>12</v>
      </c>
      <c r="AB125" s="291">
        <v>5026003002</v>
      </c>
      <c r="AC125" s="291">
        <v>1160903005</v>
      </c>
      <c r="AD125" s="291">
        <v>0</v>
      </c>
      <c r="AE125" s="291">
        <v>0</v>
      </c>
      <c r="AF125" s="291">
        <v>1</v>
      </c>
      <c r="AG125" s="291">
        <v>1160605001</v>
      </c>
      <c r="AH125" s="291">
        <v>1379</v>
      </c>
      <c r="AI125" s="291" t="s">
        <v>503</v>
      </c>
      <c r="AJ125" s="308">
        <v>0</v>
      </c>
      <c r="AK125" s="309">
        <f t="shared" si="14"/>
        <v>0</v>
      </c>
      <c r="AL125" s="309">
        <f t="shared" si="15"/>
        <v>0</v>
      </c>
      <c r="AM125" s="309">
        <f t="shared" si="15"/>
        <v>0</v>
      </c>
      <c r="AN125" s="309"/>
      <c r="AO125" s="309"/>
      <c r="AP125" s="309">
        <f t="shared" si="10"/>
        <v>0</v>
      </c>
      <c r="AQ125" s="309">
        <f t="shared" si="19"/>
        <v>0</v>
      </c>
      <c r="AR125" s="309">
        <f t="shared" si="19"/>
        <v>0</v>
      </c>
      <c r="AS125" s="309"/>
      <c r="AT125" s="309"/>
      <c r="AV125" s="311">
        <f t="shared" si="11"/>
        <v>50962478</v>
      </c>
      <c r="AW125" s="311">
        <f t="shared" si="12"/>
        <v>3694784</v>
      </c>
      <c r="AX125" s="312">
        <f t="shared" si="13"/>
        <v>0</v>
      </c>
    </row>
    <row r="126" spans="1:51">
      <c r="A126" s="291" t="s">
        <v>494</v>
      </c>
      <c r="B126" s="291"/>
      <c r="C126" s="291"/>
      <c r="D126" s="291">
        <v>1160405001</v>
      </c>
      <c r="E126" s="291">
        <v>0</v>
      </c>
      <c r="F126" s="291">
        <v>46301</v>
      </c>
      <c r="G126" s="306">
        <v>43532</v>
      </c>
      <c r="H126" s="306">
        <v>43898</v>
      </c>
      <c r="I126" s="291">
        <v>1374</v>
      </c>
      <c r="J126" s="307">
        <v>380000000</v>
      </c>
      <c r="K126" s="307">
        <v>34200000</v>
      </c>
      <c r="L126" s="307">
        <v>0</v>
      </c>
      <c r="M126" s="291" t="s">
        <v>495</v>
      </c>
      <c r="N126" s="307">
        <v>380000000</v>
      </c>
      <c r="O126" s="307">
        <v>34200000</v>
      </c>
      <c r="P126" s="307">
        <v>261060000</v>
      </c>
      <c r="Q126" s="291">
        <v>2</v>
      </c>
      <c r="R126" s="291" t="s">
        <v>496</v>
      </c>
      <c r="S126" s="291">
        <v>100</v>
      </c>
      <c r="T126" s="307">
        <v>380000000</v>
      </c>
      <c r="U126" s="307">
        <v>34200000</v>
      </c>
      <c r="V126" s="291">
        <v>100</v>
      </c>
      <c r="W126" s="307">
        <v>578980183</v>
      </c>
      <c r="X126" s="291">
        <v>2</v>
      </c>
      <c r="Y126" s="291">
        <v>1160902009</v>
      </c>
      <c r="Z126" s="291">
        <v>2023</v>
      </c>
      <c r="AA126" s="291">
        <v>12</v>
      </c>
      <c r="AB126" s="291">
        <v>5026003002</v>
      </c>
      <c r="AC126" s="291">
        <v>1160903005</v>
      </c>
      <c r="AD126" s="291">
        <v>0</v>
      </c>
      <c r="AE126" s="291">
        <v>0</v>
      </c>
      <c r="AF126" s="291">
        <v>1</v>
      </c>
      <c r="AG126" s="291">
        <v>1160605001</v>
      </c>
      <c r="AH126" s="291">
        <v>1379</v>
      </c>
      <c r="AI126" s="291" t="s">
        <v>503</v>
      </c>
      <c r="AJ126" s="308">
        <v>0</v>
      </c>
      <c r="AK126" s="309">
        <f t="shared" si="14"/>
        <v>0</v>
      </c>
      <c r="AL126" s="309">
        <f t="shared" si="15"/>
        <v>0</v>
      </c>
      <c r="AM126" s="309">
        <f t="shared" si="15"/>
        <v>0</v>
      </c>
      <c r="AN126" s="309"/>
      <c r="AO126" s="309"/>
      <c r="AP126" s="309">
        <f t="shared" si="10"/>
        <v>0</v>
      </c>
      <c r="AQ126" s="309">
        <f t="shared" si="19"/>
        <v>0</v>
      </c>
      <c r="AR126" s="309">
        <f t="shared" si="19"/>
        <v>0</v>
      </c>
      <c r="AS126" s="309"/>
      <c r="AT126" s="309"/>
      <c r="AV126" s="311">
        <f t="shared" si="11"/>
        <v>380000000</v>
      </c>
      <c r="AW126" s="311">
        <f t="shared" si="12"/>
        <v>34200000</v>
      </c>
      <c r="AX126" s="312">
        <f t="shared" si="13"/>
        <v>0</v>
      </c>
    </row>
    <row r="127" spans="1:51">
      <c r="A127" s="291" t="s">
        <v>494</v>
      </c>
      <c r="B127" s="291"/>
      <c r="C127" s="291"/>
      <c r="D127" s="291">
        <v>1160405001</v>
      </c>
      <c r="E127" s="291">
        <v>0</v>
      </c>
      <c r="F127" s="291">
        <v>46320</v>
      </c>
      <c r="G127" s="306">
        <v>43533</v>
      </c>
      <c r="H127" s="306">
        <v>43899</v>
      </c>
      <c r="I127" s="291">
        <v>1373</v>
      </c>
      <c r="J127" s="307">
        <v>500000000</v>
      </c>
      <c r="K127" s="307">
        <v>45000000</v>
      </c>
      <c r="L127" s="307">
        <v>0</v>
      </c>
      <c r="M127" s="291" t="s">
        <v>495</v>
      </c>
      <c r="N127" s="307">
        <v>500000000</v>
      </c>
      <c r="O127" s="307">
        <v>45000000</v>
      </c>
      <c r="P127" s="307">
        <v>343250000</v>
      </c>
      <c r="Q127" s="291">
        <v>2</v>
      </c>
      <c r="R127" s="291" t="s">
        <v>496</v>
      </c>
      <c r="S127" s="291">
        <v>100</v>
      </c>
      <c r="T127" s="307">
        <v>500000000</v>
      </c>
      <c r="U127" s="307">
        <v>45000000</v>
      </c>
      <c r="V127" s="291">
        <v>100</v>
      </c>
      <c r="W127" s="307">
        <v>578980183</v>
      </c>
      <c r="X127" s="291">
        <v>2</v>
      </c>
      <c r="Y127" s="291">
        <v>1160902009</v>
      </c>
      <c r="Z127" s="291">
        <v>2023</v>
      </c>
      <c r="AA127" s="291">
        <v>12</v>
      </c>
      <c r="AB127" s="291">
        <v>5026003002</v>
      </c>
      <c r="AC127" s="291">
        <v>1160903005</v>
      </c>
      <c r="AD127" s="291">
        <v>0</v>
      </c>
      <c r="AE127" s="291">
        <v>0</v>
      </c>
      <c r="AF127" s="291">
        <v>1</v>
      </c>
      <c r="AG127" s="291">
        <v>1160605001</v>
      </c>
      <c r="AH127" s="291">
        <v>1379</v>
      </c>
      <c r="AI127" s="291" t="s">
        <v>503</v>
      </c>
      <c r="AJ127" s="308">
        <v>0</v>
      </c>
      <c r="AK127" s="309">
        <f t="shared" si="14"/>
        <v>0</v>
      </c>
      <c r="AL127" s="309">
        <f t="shared" si="15"/>
        <v>0</v>
      </c>
      <c r="AM127" s="309">
        <f t="shared" si="15"/>
        <v>0</v>
      </c>
      <c r="AN127" s="309"/>
      <c r="AO127" s="309"/>
      <c r="AP127" s="309">
        <f t="shared" si="10"/>
        <v>0</v>
      </c>
      <c r="AQ127" s="309">
        <f t="shared" si="19"/>
        <v>0</v>
      </c>
      <c r="AR127" s="309">
        <f t="shared" si="19"/>
        <v>0</v>
      </c>
      <c r="AS127" s="309"/>
      <c r="AT127" s="309"/>
      <c r="AV127" s="311">
        <f t="shared" si="11"/>
        <v>500000000</v>
      </c>
      <c r="AW127" s="311">
        <f t="shared" si="12"/>
        <v>45000000</v>
      </c>
      <c r="AX127" s="312">
        <f t="shared" si="13"/>
        <v>0</v>
      </c>
    </row>
    <row r="128" spans="1:51">
      <c r="A128" s="291" t="s">
        <v>494</v>
      </c>
      <c r="B128" s="291"/>
      <c r="C128" s="291"/>
      <c r="D128" s="291">
        <v>1160405001</v>
      </c>
      <c r="E128" s="291">
        <v>0</v>
      </c>
      <c r="F128" s="291">
        <v>46357</v>
      </c>
      <c r="G128" s="306">
        <v>43538</v>
      </c>
      <c r="H128" s="306">
        <v>43904</v>
      </c>
      <c r="I128" s="291">
        <v>1368</v>
      </c>
      <c r="J128" s="307">
        <v>380000000</v>
      </c>
      <c r="K128" s="307">
        <v>34200000</v>
      </c>
      <c r="L128" s="307">
        <v>0</v>
      </c>
      <c r="M128" s="291" t="s">
        <v>495</v>
      </c>
      <c r="N128" s="307">
        <v>380000000</v>
      </c>
      <c r="O128" s="307">
        <v>34200000</v>
      </c>
      <c r="P128" s="307">
        <v>259920000</v>
      </c>
      <c r="Q128" s="291">
        <v>2</v>
      </c>
      <c r="R128" s="291" t="s">
        <v>496</v>
      </c>
      <c r="S128" s="291">
        <v>100</v>
      </c>
      <c r="T128" s="307">
        <v>380000000</v>
      </c>
      <c r="U128" s="307">
        <v>34200000</v>
      </c>
      <c r="V128" s="291">
        <v>100</v>
      </c>
      <c r="W128" s="307">
        <v>578980183</v>
      </c>
      <c r="X128" s="291">
        <v>2</v>
      </c>
      <c r="Y128" s="291">
        <v>1160902009</v>
      </c>
      <c r="Z128" s="291">
        <v>2023</v>
      </c>
      <c r="AA128" s="291">
        <v>12</v>
      </c>
      <c r="AB128" s="291">
        <v>5026003002</v>
      </c>
      <c r="AC128" s="291">
        <v>1160903005</v>
      </c>
      <c r="AD128" s="291">
        <v>0</v>
      </c>
      <c r="AE128" s="291">
        <v>0</v>
      </c>
      <c r="AF128" s="291">
        <v>1</v>
      </c>
      <c r="AG128" s="291">
        <v>1160605001</v>
      </c>
      <c r="AH128" s="291">
        <v>1379</v>
      </c>
      <c r="AI128" s="291" t="s">
        <v>503</v>
      </c>
      <c r="AJ128" s="308">
        <v>0</v>
      </c>
      <c r="AK128" s="309">
        <f t="shared" si="14"/>
        <v>0</v>
      </c>
      <c r="AL128" s="309">
        <f t="shared" si="15"/>
        <v>0</v>
      </c>
      <c r="AM128" s="309">
        <f t="shared" si="15"/>
        <v>0</v>
      </c>
      <c r="AN128" s="309"/>
      <c r="AO128" s="309"/>
      <c r="AP128" s="309">
        <f t="shared" si="10"/>
        <v>0</v>
      </c>
      <c r="AQ128" s="309">
        <f t="shared" si="19"/>
        <v>0</v>
      </c>
      <c r="AR128" s="309">
        <f t="shared" si="19"/>
        <v>0</v>
      </c>
      <c r="AS128" s="309"/>
      <c r="AT128" s="309"/>
      <c r="AV128" s="311">
        <f t="shared" si="11"/>
        <v>380000000</v>
      </c>
      <c r="AW128" s="311">
        <f t="shared" si="12"/>
        <v>34200000</v>
      </c>
      <c r="AX128" s="312">
        <f t="shared" si="13"/>
        <v>0</v>
      </c>
    </row>
    <row r="129" spans="1:51">
      <c r="A129" s="291" t="s">
        <v>494</v>
      </c>
      <c r="B129" s="291"/>
      <c r="C129" s="291"/>
      <c r="D129" s="291">
        <v>1160405001</v>
      </c>
      <c r="E129" s="291">
        <v>0</v>
      </c>
      <c r="F129" s="291">
        <v>46481</v>
      </c>
      <c r="G129" s="306">
        <v>43553</v>
      </c>
      <c r="H129" s="306">
        <v>43919</v>
      </c>
      <c r="I129" s="291">
        <v>1353</v>
      </c>
      <c r="J129" s="307">
        <v>372000000</v>
      </c>
      <c r="K129" s="307">
        <v>33480000</v>
      </c>
      <c r="L129" s="307">
        <v>0</v>
      </c>
      <c r="M129" s="291" t="s">
        <v>495</v>
      </c>
      <c r="N129" s="307">
        <v>372000000</v>
      </c>
      <c r="O129" s="307">
        <v>33480000</v>
      </c>
      <c r="P129" s="307">
        <v>251658000</v>
      </c>
      <c r="Q129" s="291">
        <v>2</v>
      </c>
      <c r="R129" s="291" t="s">
        <v>496</v>
      </c>
      <c r="S129" s="291">
        <v>100</v>
      </c>
      <c r="T129" s="307">
        <v>372000000</v>
      </c>
      <c r="U129" s="307">
        <v>33480000</v>
      </c>
      <c r="V129" s="291">
        <v>100</v>
      </c>
      <c r="W129" s="307">
        <v>578980183</v>
      </c>
      <c r="X129" s="291">
        <v>2</v>
      </c>
      <c r="Y129" s="291">
        <v>1160902009</v>
      </c>
      <c r="Z129" s="291">
        <v>2023</v>
      </c>
      <c r="AA129" s="291">
        <v>12</v>
      </c>
      <c r="AB129" s="291">
        <v>5026003002</v>
      </c>
      <c r="AC129" s="291">
        <v>1160903005</v>
      </c>
      <c r="AD129" s="291">
        <v>0</v>
      </c>
      <c r="AE129" s="291">
        <v>0</v>
      </c>
      <c r="AF129" s="291">
        <v>1</v>
      </c>
      <c r="AG129" s="291">
        <v>1160605001</v>
      </c>
      <c r="AH129" s="291">
        <v>1379</v>
      </c>
      <c r="AI129" s="291" t="s">
        <v>503</v>
      </c>
      <c r="AJ129" s="308">
        <v>0</v>
      </c>
      <c r="AK129" s="309">
        <f t="shared" si="14"/>
        <v>0</v>
      </c>
      <c r="AL129" s="309">
        <f t="shared" si="15"/>
        <v>0</v>
      </c>
      <c r="AM129" s="309">
        <f t="shared" si="15"/>
        <v>0</v>
      </c>
      <c r="AN129" s="309"/>
      <c r="AO129" s="309"/>
      <c r="AP129" s="309">
        <f t="shared" si="10"/>
        <v>0</v>
      </c>
      <c r="AQ129" s="309">
        <f t="shared" si="19"/>
        <v>0</v>
      </c>
      <c r="AR129" s="309">
        <f t="shared" si="19"/>
        <v>0</v>
      </c>
      <c r="AS129" s="309"/>
      <c r="AT129" s="309"/>
      <c r="AV129" s="311">
        <f t="shared" si="11"/>
        <v>372000000</v>
      </c>
      <c r="AW129" s="311">
        <f t="shared" si="12"/>
        <v>33480000</v>
      </c>
      <c r="AX129" s="312">
        <f t="shared" si="13"/>
        <v>0</v>
      </c>
    </row>
    <row r="130" spans="1:51">
      <c r="A130" s="291" t="s">
        <v>494</v>
      </c>
      <c r="B130" s="291"/>
      <c r="C130" s="291"/>
      <c r="D130" s="291">
        <v>1160405001</v>
      </c>
      <c r="E130" s="291">
        <v>0</v>
      </c>
      <c r="F130" s="291">
        <v>46850</v>
      </c>
      <c r="G130" s="306">
        <v>43620</v>
      </c>
      <c r="H130" s="306">
        <v>43986</v>
      </c>
      <c r="I130" s="291">
        <v>1288</v>
      </c>
      <c r="J130" s="307">
        <v>387000000</v>
      </c>
      <c r="K130" s="307">
        <v>34830000</v>
      </c>
      <c r="L130" s="307">
        <v>0</v>
      </c>
      <c r="M130" s="291" t="s">
        <v>495</v>
      </c>
      <c r="N130" s="307">
        <v>387000000</v>
      </c>
      <c r="O130" s="307">
        <v>34830000</v>
      </c>
      <c r="P130" s="307">
        <v>249228000</v>
      </c>
      <c r="Q130" s="291">
        <v>2</v>
      </c>
      <c r="R130" s="291" t="s">
        <v>496</v>
      </c>
      <c r="S130" s="291">
        <v>100</v>
      </c>
      <c r="T130" s="307">
        <v>387000000</v>
      </c>
      <c r="U130" s="307">
        <v>34830000</v>
      </c>
      <c r="V130" s="291">
        <v>100</v>
      </c>
      <c r="W130" s="307">
        <v>578980183</v>
      </c>
      <c r="X130" s="291">
        <v>2</v>
      </c>
      <c r="Y130" s="291">
        <v>1160902009</v>
      </c>
      <c r="Z130" s="291">
        <v>2023</v>
      </c>
      <c r="AA130" s="291">
        <v>12</v>
      </c>
      <c r="AB130" s="291">
        <v>5026003002</v>
      </c>
      <c r="AC130" s="291">
        <v>1160903005</v>
      </c>
      <c r="AD130" s="291">
        <v>0</v>
      </c>
      <c r="AE130" s="291">
        <v>0</v>
      </c>
      <c r="AF130" s="291">
        <v>1</v>
      </c>
      <c r="AG130" s="291">
        <v>1160605001</v>
      </c>
      <c r="AH130" s="291">
        <v>1379</v>
      </c>
      <c r="AI130" s="291" t="s">
        <v>503</v>
      </c>
      <c r="AJ130" s="308">
        <v>0</v>
      </c>
      <c r="AK130" s="309">
        <f t="shared" si="14"/>
        <v>0</v>
      </c>
      <c r="AL130" s="309">
        <f t="shared" si="15"/>
        <v>0</v>
      </c>
      <c r="AM130" s="309">
        <f t="shared" si="15"/>
        <v>0</v>
      </c>
      <c r="AN130" s="309"/>
      <c r="AO130" s="309"/>
      <c r="AP130" s="309">
        <f t="shared" si="10"/>
        <v>0</v>
      </c>
      <c r="AQ130" s="309">
        <f t="shared" si="19"/>
        <v>0</v>
      </c>
      <c r="AR130" s="309">
        <f t="shared" si="19"/>
        <v>0</v>
      </c>
      <c r="AS130" s="309"/>
      <c r="AT130" s="309"/>
      <c r="AV130" s="311">
        <f t="shared" si="11"/>
        <v>387000000</v>
      </c>
      <c r="AW130" s="311">
        <f t="shared" si="12"/>
        <v>34830000</v>
      </c>
      <c r="AX130" s="312">
        <f t="shared" si="13"/>
        <v>0</v>
      </c>
    </row>
    <row r="131" spans="1:51">
      <c r="A131" s="291" t="s">
        <v>494</v>
      </c>
      <c r="B131" s="291"/>
      <c r="C131" s="291"/>
      <c r="D131" s="291">
        <v>1160405001</v>
      </c>
      <c r="E131" s="291">
        <v>0</v>
      </c>
      <c r="F131" s="291">
        <v>46263</v>
      </c>
      <c r="G131" s="306">
        <v>43527</v>
      </c>
      <c r="H131" s="306">
        <v>45354</v>
      </c>
      <c r="I131" s="291">
        <v>0</v>
      </c>
      <c r="J131" s="307">
        <v>450000000</v>
      </c>
      <c r="K131" s="307">
        <v>195412500</v>
      </c>
      <c r="L131" s="307">
        <v>0</v>
      </c>
      <c r="M131" s="291" t="s">
        <v>495</v>
      </c>
      <c r="N131" s="307">
        <v>450000000</v>
      </c>
      <c r="O131" s="307">
        <v>195412500</v>
      </c>
      <c r="P131" s="307">
        <v>0</v>
      </c>
      <c r="Q131" s="291">
        <v>2</v>
      </c>
      <c r="R131" s="291" t="s">
        <v>496</v>
      </c>
      <c r="S131" s="291">
        <v>100</v>
      </c>
      <c r="T131" s="307">
        <v>450000000</v>
      </c>
      <c r="U131" s="307">
        <v>195412500</v>
      </c>
      <c r="V131" s="291">
        <v>100</v>
      </c>
      <c r="W131" s="307">
        <v>578980183</v>
      </c>
      <c r="X131" s="291">
        <v>15</v>
      </c>
      <c r="Y131" s="291">
        <v>1160902009</v>
      </c>
      <c r="Z131" s="291">
        <v>2023</v>
      </c>
      <c r="AA131" s="291">
        <v>12</v>
      </c>
      <c r="AB131" s="291">
        <v>5026003002</v>
      </c>
      <c r="AC131" s="291">
        <v>1160903005</v>
      </c>
      <c r="AD131" s="291">
        <v>0</v>
      </c>
      <c r="AE131" s="291">
        <v>0</v>
      </c>
      <c r="AF131" s="291">
        <v>1</v>
      </c>
      <c r="AG131" s="291">
        <v>1160605001</v>
      </c>
      <c r="AH131" s="291">
        <v>1379</v>
      </c>
      <c r="AI131" s="291" t="s">
        <v>503</v>
      </c>
      <c r="AJ131" s="308">
        <v>0</v>
      </c>
      <c r="AK131" s="309">
        <f t="shared" si="14"/>
        <v>0</v>
      </c>
      <c r="AL131" s="309">
        <f t="shared" si="15"/>
        <v>0</v>
      </c>
      <c r="AM131" s="309">
        <f t="shared" si="15"/>
        <v>0</v>
      </c>
      <c r="AN131" s="309"/>
      <c r="AO131" s="309"/>
      <c r="AP131" s="309">
        <f t="shared" si="10"/>
        <v>0</v>
      </c>
      <c r="AQ131" s="309">
        <f t="shared" si="19"/>
        <v>0</v>
      </c>
      <c r="AR131" s="309">
        <f t="shared" si="19"/>
        <v>0</v>
      </c>
      <c r="AS131" s="309"/>
      <c r="AT131" s="309"/>
      <c r="AV131" s="311">
        <f t="shared" si="11"/>
        <v>450000000</v>
      </c>
      <c r="AW131" s="311">
        <f t="shared" si="12"/>
        <v>195412500</v>
      </c>
      <c r="AX131" s="312">
        <f t="shared" si="13"/>
        <v>0</v>
      </c>
    </row>
    <row r="132" spans="1:51">
      <c r="A132" s="291" t="s">
        <v>494</v>
      </c>
      <c r="B132" s="291"/>
      <c r="C132" s="291"/>
      <c r="D132" s="291">
        <v>1160505001</v>
      </c>
      <c r="E132" s="291">
        <v>0</v>
      </c>
      <c r="F132" s="291">
        <v>45199</v>
      </c>
      <c r="G132" s="306">
        <v>43328</v>
      </c>
      <c r="H132" s="306">
        <v>45154</v>
      </c>
      <c r="I132" s="291">
        <v>136</v>
      </c>
      <c r="J132" s="307">
        <v>2405026</v>
      </c>
      <c r="K132" s="307">
        <v>976457</v>
      </c>
      <c r="L132" s="307">
        <v>0</v>
      </c>
      <c r="M132" s="291" t="s">
        <v>495</v>
      </c>
      <c r="N132" s="307">
        <v>2405026</v>
      </c>
      <c r="O132" s="307">
        <v>976457</v>
      </c>
      <c r="P132" s="307">
        <v>163542</v>
      </c>
      <c r="Q132" s="291">
        <v>1</v>
      </c>
      <c r="R132" s="291" t="s">
        <v>496</v>
      </c>
      <c r="S132" s="291">
        <v>100</v>
      </c>
      <c r="T132" s="307">
        <v>2405026</v>
      </c>
      <c r="U132" s="307">
        <v>976457</v>
      </c>
      <c r="V132" s="291">
        <v>100</v>
      </c>
      <c r="W132" s="307">
        <v>3622410</v>
      </c>
      <c r="X132" s="291">
        <v>2</v>
      </c>
      <c r="Y132" s="291">
        <v>1160902010</v>
      </c>
      <c r="Z132" s="291">
        <v>2023</v>
      </c>
      <c r="AA132" s="291">
        <v>12</v>
      </c>
      <c r="AB132" s="291">
        <v>5026003002</v>
      </c>
      <c r="AC132" s="291">
        <v>1160903005</v>
      </c>
      <c r="AD132" s="291">
        <v>0</v>
      </c>
      <c r="AE132" s="291">
        <v>0</v>
      </c>
      <c r="AF132" s="291">
        <v>0</v>
      </c>
      <c r="AG132" s="291">
        <v>1160605001</v>
      </c>
      <c r="AH132" s="291">
        <v>1388</v>
      </c>
      <c r="AI132" s="291" t="s">
        <v>497</v>
      </c>
      <c r="AJ132" s="308">
        <v>0.01</v>
      </c>
      <c r="AK132" s="309">
        <f t="shared" si="14"/>
        <v>24050.260000000002</v>
      </c>
      <c r="AL132" s="309">
        <f t="shared" si="15"/>
        <v>24050.260000000002</v>
      </c>
      <c r="AM132" s="309">
        <f t="shared" si="15"/>
        <v>24050.260000000002</v>
      </c>
      <c r="AN132" s="309"/>
      <c r="AO132" s="309"/>
      <c r="AP132" s="309">
        <f t="shared" si="10"/>
        <v>4882.2849999999999</v>
      </c>
      <c r="AQ132" s="309">
        <f t="shared" si="19"/>
        <v>4882.2849999999999</v>
      </c>
      <c r="AR132" s="309">
        <f t="shared" si="19"/>
        <v>4882.2849999999999</v>
      </c>
      <c r="AS132" s="309"/>
      <c r="AT132" s="309"/>
      <c r="AV132" s="311">
        <f t="shared" si="11"/>
        <v>2332875.2200000007</v>
      </c>
      <c r="AW132" s="311">
        <f t="shared" si="12"/>
        <v>961810.1449999999</v>
      </c>
      <c r="AX132" s="312">
        <f t="shared" si="13"/>
        <v>0</v>
      </c>
    </row>
    <row r="133" spans="1:51">
      <c r="A133" s="291" t="s">
        <v>494</v>
      </c>
      <c r="B133" s="291"/>
      <c r="C133" s="291"/>
      <c r="D133" s="291">
        <v>1160505001</v>
      </c>
      <c r="E133" s="291">
        <v>0</v>
      </c>
      <c r="F133" s="291">
        <v>45236</v>
      </c>
      <c r="G133" s="306">
        <v>43338</v>
      </c>
      <c r="H133" s="306">
        <v>45154</v>
      </c>
      <c r="I133" s="291">
        <v>136</v>
      </c>
      <c r="J133" s="307">
        <v>3200000</v>
      </c>
      <c r="K133" s="307">
        <v>1432000</v>
      </c>
      <c r="L133" s="307">
        <v>0</v>
      </c>
      <c r="M133" s="291" t="s">
        <v>495</v>
      </c>
      <c r="N133" s="307">
        <v>3200000</v>
      </c>
      <c r="O133" s="307">
        <v>1432000</v>
      </c>
      <c r="P133" s="307">
        <v>217600</v>
      </c>
      <c r="Q133" s="291">
        <v>1</v>
      </c>
      <c r="R133" s="291" t="s">
        <v>496</v>
      </c>
      <c r="S133" s="291">
        <v>100</v>
      </c>
      <c r="T133" s="307">
        <v>3200000</v>
      </c>
      <c r="U133" s="307">
        <v>1432000</v>
      </c>
      <c r="V133" s="291">
        <v>100</v>
      </c>
      <c r="W133" s="307">
        <v>3622410</v>
      </c>
      <c r="X133" s="291">
        <v>2</v>
      </c>
      <c r="Y133" s="291">
        <v>1160902010</v>
      </c>
      <c r="Z133" s="291">
        <v>2023</v>
      </c>
      <c r="AA133" s="291">
        <v>12</v>
      </c>
      <c r="AB133" s="291">
        <v>5026003002</v>
      </c>
      <c r="AC133" s="291">
        <v>1160903005</v>
      </c>
      <c r="AD133" s="291">
        <v>0</v>
      </c>
      <c r="AE133" s="291">
        <v>0</v>
      </c>
      <c r="AF133" s="291">
        <v>0</v>
      </c>
      <c r="AG133" s="291">
        <v>1160605001</v>
      </c>
      <c r="AH133" s="291">
        <v>1388</v>
      </c>
      <c r="AI133" s="291" t="s">
        <v>497</v>
      </c>
      <c r="AJ133" s="308">
        <v>0.01</v>
      </c>
      <c r="AK133" s="309">
        <f t="shared" si="14"/>
        <v>32000</v>
      </c>
      <c r="AL133" s="309">
        <f t="shared" si="15"/>
        <v>32000</v>
      </c>
      <c r="AM133" s="309">
        <f t="shared" si="15"/>
        <v>32000</v>
      </c>
      <c r="AN133" s="309"/>
      <c r="AO133" s="309"/>
      <c r="AP133" s="309">
        <f t="shared" si="10"/>
        <v>7160</v>
      </c>
      <c r="AQ133" s="309">
        <f t="shared" si="19"/>
        <v>7160</v>
      </c>
      <c r="AR133" s="309">
        <f t="shared" si="19"/>
        <v>7160</v>
      </c>
      <c r="AS133" s="309"/>
      <c r="AT133" s="309"/>
      <c r="AV133" s="311">
        <f t="shared" si="11"/>
        <v>3104000</v>
      </c>
      <c r="AW133" s="311">
        <f t="shared" si="12"/>
        <v>1410520</v>
      </c>
      <c r="AX133" s="312">
        <f t="shared" si="13"/>
        <v>0</v>
      </c>
    </row>
    <row r="134" spans="1:51">
      <c r="A134" s="291" t="s">
        <v>494</v>
      </c>
      <c r="B134" s="291"/>
      <c r="C134" s="291"/>
      <c r="D134" s="291">
        <v>1160505002</v>
      </c>
      <c r="E134" s="291">
        <v>0</v>
      </c>
      <c r="F134" s="291">
        <v>46218</v>
      </c>
      <c r="G134" s="306">
        <v>43520</v>
      </c>
      <c r="H134" s="306">
        <v>43885</v>
      </c>
      <c r="I134" s="291">
        <v>1388</v>
      </c>
      <c r="J134" s="307">
        <v>1656900</v>
      </c>
      <c r="K134" s="307">
        <v>298248</v>
      </c>
      <c r="L134" s="307">
        <v>0</v>
      </c>
      <c r="M134" s="291" t="s">
        <v>495</v>
      </c>
      <c r="N134" s="307">
        <v>1656900</v>
      </c>
      <c r="O134" s="307">
        <v>298248</v>
      </c>
      <c r="P134" s="307">
        <v>1149889</v>
      </c>
      <c r="Q134" s="291">
        <v>1</v>
      </c>
      <c r="R134" s="291" t="s">
        <v>496</v>
      </c>
      <c r="S134" s="291">
        <v>100</v>
      </c>
      <c r="T134" s="307">
        <v>1656900</v>
      </c>
      <c r="U134" s="307">
        <v>298248</v>
      </c>
      <c r="V134" s="291">
        <v>100</v>
      </c>
      <c r="W134" s="307">
        <v>3622410</v>
      </c>
      <c r="X134" s="291">
        <v>6</v>
      </c>
      <c r="Y134" s="291">
        <v>1160902010</v>
      </c>
      <c r="Z134" s="291">
        <v>2023</v>
      </c>
      <c r="AA134" s="291">
        <v>12</v>
      </c>
      <c r="AB134" s="291">
        <v>5026003002</v>
      </c>
      <c r="AC134" s="291">
        <v>1160903005</v>
      </c>
      <c r="AD134" s="291">
        <v>0</v>
      </c>
      <c r="AE134" s="291">
        <v>0</v>
      </c>
      <c r="AF134" s="291">
        <v>0</v>
      </c>
      <c r="AG134" s="291">
        <v>1160605001</v>
      </c>
      <c r="AH134" s="291">
        <v>1388</v>
      </c>
      <c r="AI134" s="291" t="s">
        <v>497</v>
      </c>
      <c r="AJ134" s="308">
        <v>0.01</v>
      </c>
      <c r="AK134" s="309">
        <f t="shared" si="14"/>
        <v>16569</v>
      </c>
      <c r="AL134" s="309">
        <f t="shared" si="15"/>
        <v>16569</v>
      </c>
      <c r="AM134" s="309">
        <f t="shared" si="15"/>
        <v>16569</v>
      </c>
      <c r="AN134" s="309"/>
      <c r="AO134" s="309"/>
      <c r="AP134" s="309">
        <f t="shared" ref="AP134:AP197" si="20">+K134*(AJ134/2)</f>
        <v>1491.24</v>
      </c>
      <c r="AQ134" s="309">
        <f t="shared" si="19"/>
        <v>1491.24</v>
      </c>
      <c r="AR134" s="309">
        <f t="shared" si="19"/>
        <v>1491.24</v>
      </c>
      <c r="AS134" s="309"/>
      <c r="AT134" s="309"/>
      <c r="AV134" s="311">
        <f t="shared" ref="AV134:AV197" si="21">J134-AK134-AL134-AM134</f>
        <v>1607193</v>
      </c>
      <c r="AW134" s="311">
        <f t="shared" ref="AW134:AW197" si="22">+K134-AP134-AQ134-AR134</f>
        <v>293774.28000000003</v>
      </c>
      <c r="AX134" s="312">
        <f t="shared" ref="AX134:AX197" si="23">+J134-N134</f>
        <v>0</v>
      </c>
    </row>
    <row r="135" spans="1:51">
      <c r="A135" s="291" t="s">
        <v>494</v>
      </c>
      <c r="B135" s="291"/>
      <c r="C135" s="291"/>
      <c r="D135" s="291">
        <v>1160505001</v>
      </c>
      <c r="E135" s="291">
        <v>0</v>
      </c>
      <c r="F135" s="291">
        <v>46870</v>
      </c>
      <c r="G135" s="306">
        <v>43624</v>
      </c>
      <c r="H135" s="306">
        <v>44720</v>
      </c>
      <c r="I135" s="291">
        <v>564</v>
      </c>
      <c r="J135" s="307">
        <v>4183243</v>
      </c>
      <c r="K135" s="307">
        <v>349303</v>
      </c>
      <c r="L135" s="307">
        <v>0</v>
      </c>
      <c r="M135" s="291" t="s">
        <v>495</v>
      </c>
      <c r="N135" s="307">
        <v>4183243</v>
      </c>
      <c r="O135" s="307">
        <v>349303</v>
      </c>
      <c r="P135" s="307">
        <v>1179675</v>
      </c>
      <c r="Q135" s="291">
        <v>1</v>
      </c>
      <c r="R135" s="291" t="s">
        <v>496</v>
      </c>
      <c r="S135" s="291">
        <v>100</v>
      </c>
      <c r="T135" s="307">
        <v>4183243</v>
      </c>
      <c r="U135" s="307">
        <v>349303</v>
      </c>
      <c r="V135" s="291">
        <v>100</v>
      </c>
      <c r="W135" s="307">
        <v>3451983</v>
      </c>
      <c r="X135" s="291">
        <v>14</v>
      </c>
      <c r="Y135" s="291">
        <v>1160902010</v>
      </c>
      <c r="Z135" s="291">
        <v>2023</v>
      </c>
      <c r="AA135" s="291">
        <v>12</v>
      </c>
      <c r="AB135" s="291">
        <v>5026003002</v>
      </c>
      <c r="AC135" s="291">
        <v>1160903005</v>
      </c>
      <c r="AD135" s="291">
        <v>0</v>
      </c>
      <c r="AE135" s="291">
        <v>0</v>
      </c>
      <c r="AF135" s="291">
        <v>0</v>
      </c>
      <c r="AG135" s="291">
        <v>1160605001</v>
      </c>
      <c r="AH135" s="291">
        <v>564</v>
      </c>
      <c r="AI135" s="291" t="s">
        <v>498</v>
      </c>
      <c r="AJ135" s="308">
        <v>0.1</v>
      </c>
      <c r="AK135" s="309">
        <f t="shared" ref="AK135:AK198" si="24">+$J135*$AJ135</f>
        <v>418324.30000000005</v>
      </c>
      <c r="AL135" s="309">
        <f t="shared" ref="AL135:AM198" si="25">IF(($J135-$AK135)&gt;0,$J135*$AJ135,0)</f>
        <v>418324.30000000005</v>
      </c>
      <c r="AM135" s="309">
        <f t="shared" si="25"/>
        <v>418324.30000000005</v>
      </c>
      <c r="AN135" s="309"/>
      <c r="AO135" s="309"/>
      <c r="AP135" s="309">
        <f t="shared" si="20"/>
        <v>17465.150000000001</v>
      </c>
      <c r="AQ135" s="309">
        <f t="shared" ref="AQ135:AR150" si="26">AP135</f>
        <v>17465.150000000001</v>
      </c>
      <c r="AR135" s="309">
        <f t="shared" si="26"/>
        <v>17465.150000000001</v>
      </c>
      <c r="AS135" s="309"/>
      <c r="AT135" s="309"/>
      <c r="AV135" s="311">
        <f t="shared" si="21"/>
        <v>2928270.1000000006</v>
      </c>
      <c r="AW135" s="311">
        <f t="shared" si="22"/>
        <v>296907.54999999993</v>
      </c>
      <c r="AX135" s="312">
        <f t="shared" si="23"/>
        <v>0</v>
      </c>
    </row>
    <row r="136" spans="1:51">
      <c r="A136" s="291" t="s">
        <v>494</v>
      </c>
      <c r="B136" s="291"/>
      <c r="C136" s="291"/>
      <c r="D136" s="291">
        <v>1160404001</v>
      </c>
      <c r="E136" s="291">
        <v>0</v>
      </c>
      <c r="F136" s="291">
        <v>44316</v>
      </c>
      <c r="G136" s="306">
        <v>43211</v>
      </c>
      <c r="H136" s="306">
        <v>45037</v>
      </c>
      <c r="I136" s="291">
        <v>251</v>
      </c>
      <c r="J136" s="307">
        <v>68661333</v>
      </c>
      <c r="K136" s="307">
        <v>0</v>
      </c>
      <c r="L136" s="307">
        <v>773874500</v>
      </c>
      <c r="M136" s="291" t="s">
        <v>495</v>
      </c>
      <c r="N136" s="307">
        <v>0</v>
      </c>
      <c r="O136" s="307">
        <v>0</v>
      </c>
      <c r="P136" s="307">
        <v>8616997</v>
      </c>
      <c r="Q136" s="291">
        <v>2</v>
      </c>
      <c r="R136" s="291" t="s">
        <v>501</v>
      </c>
      <c r="S136" s="291">
        <v>100</v>
      </c>
      <c r="T136" s="307">
        <v>0</v>
      </c>
      <c r="U136" s="307">
        <v>0</v>
      </c>
      <c r="V136" s="291">
        <v>100</v>
      </c>
      <c r="W136" s="307">
        <v>70983622.799999997</v>
      </c>
      <c r="X136" s="291">
        <v>2</v>
      </c>
      <c r="Y136" s="291">
        <v>1160902007</v>
      </c>
      <c r="Z136" s="291">
        <v>2023</v>
      </c>
      <c r="AA136" s="291">
        <v>12</v>
      </c>
      <c r="AB136" s="291">
        <v>5026003002</v>
      </c>
      <c r="AC136" s="291">
        <v>1160903004</v>
      </c>
      <c r="AD136" s="291">
        <v>0</v>
      </c>
      <c r="AE136" s="291">
        <v>0</v>
      </c>
      <c r="AF136" s="291">
        <v>1</v>
      </c>
      <c r="AG136" s="291">
        <v>1160604001</v>
      </c>
      <c r="AH136" s="291">
        <v>251</v>
      </c>
      <c r="AI136" s="291" t="s">
        <v>114</v>
      </c>
      <c r="AJ136" s="308">
        <v>0.5</v>
      </c>
      <c r="AK136" s="309">
        <f t="shared" si="24"/>
        <v>34330666.5</v>
      </c>
      <c r="AL136" s="309">
        <f t="shared" si="25"/>
        <v>34330666.5</v>
      </c>
      <c r="AM136" s="309"/>
      <c r="AN136" s="309"/>
      <c r="AO136" s="309"/>
      <c r="AP136" s="309">
        <f t="shared" si="20"/>
        <v>0</v>
      </c>
      <c r="AQ136" s="309">
        <f t="shared" si="26"/>
        <v>0</v>
      </c>
      <c r="AR136" s="309">
        <f t="shared" si="26"/>
        <v>0</v>
      </c>
      <c r="AS136" s="309"/>
      <c r="AT136" s="309"/>
      <c r="AV136" s="311">
        <f t="shared" si="21"/>
        <v>0</v>
      </c>
      <c r="AW136" s="311">
        <f t="shared" si="22"/>
        <v>0</v>
      </c>
      <c r="AX136" s="312">
        <f t="shared" si="23"/>
        <v>68661333</v>
      </c>
      <c r="AY136" s="312">
        <f>+AX136-L136</f>
        <v>-705213167</v>
      </c>
    </row>
    <row r="137" spans="1:51">
      <c r="A137" s="291" t="s">
        <v>494</v>
      </c>
      <c r="B137" s="291"/>
      <c r="C137" s="291"/>
      <c r="D137" s="291">
        <v>1160505004</v>
      </c>
      <c r="E137" s="291">
        <v>31354</v>
      </c>
      <c r="F137" s="291">
        <v>36840</v>
      </c>
      <c r="G137" s="306">
        <v>41993</v>
      </c>
      <c r="H137" s="306">
        <v>43089</v>
      </c>
      <c r="I137" s="291">
        <v>2172</v>
      </c>
      <c r="J137" s="307">
        <v>5091661</v>
      </c>
      <c r="K137" s="307">
        <v>0</v>
      </c>
      <c r="L137" s="307">
        <v>0</v>
      </c>
      <c r="M137" s="291" t="s">
        <v>495</v>
      </c>
      <c r="N137" s="307">
        <v>5091661</v>
      </c>
      <c r="O137" s="307">
        <v>0</v>
      </c>
      <c r="P137" s="307">
        <v>5529544</v>
      </c>
      <c r="Q137" s="291">
        <v>1</v>
      </c>
      <c r="R137" s="291" t="s">
        <v>496</v>
      </c>
      <c r="S137" s="291">
        <v>100</v>
      </c>
      <c r="T137" s="307">
        <v>5091661</v>
      </c>
      <c r="U137" s="307">
        <v>0</v>
      </c>
      <c r="V137" s="291">
        <v>100</v>
      </c>
      <c r="W137" s="307">
        <v>8427305</v>
      </c>
      <c r="X137" s="291">
        <v>5</v>
      </c>
      <c r="Y137" s="291">
        <v>1160902010</v>
      </c>
      <c r="Z137" s="291">
        <v>2023</v>
      </c>
      <c r="AA137" s="291">
        <v>12</v>
      </c>
      <c r="AB137" s="291">
        <v>5026003002</v>
      </c>
      <c r="AC137" s="291">
        <v>1160903005</v>
      </c>
      <c r="AD137" s="291">
        <v>0</v>
      </c>
      <c r="AE137" s="291">
        <v>0</v>
      </c>
      <c r="AF137" s="291">
        <v>0</v>
      </c>
      <c r="AG137" s="291">
        <v>1160605001</v>
      </c>
      <c r="AH137" s="291">
        <v>2172</v>
      </c>
      <c r="AI137" s="291" t="s">
        <v>497</v>
      </c>
      <c r="AJ137" s="308">
        <v>0.01</v>
      </c>
      <c r="AK137" s="309">
        <f t="shared" si="24"/>
        <v>50916.61</v>
      </c>
      <c r="AL137" s="309">
        <f t="shared" si="25"/>
        <v>50916.61</v>
      </c>
      <c r="AM137" s="309">
        <f t="shared" si="25"/>
        <v>50916.61</v>
      </c>
      <c r="AN137" s="309"/>
      <c r="AO137" s="309"/>
      <c r="AP137" s="309">
        <f t="shared" si="20"/>
        <v>0</v>
      </c>
      <c r="AQ137" s="309">
        <f t="shared" si="26"/>
        <v>0</v>
      </c>
      <c r="AR137" s="309">
        <f t="shared" si="26"/>
        <v>0</v>
      </c>
      <c r="AS137" s="309"/>
      <c r="AT137" s="309"/>
      <c r="AV137" s="311">
        <f t="shared" si="21"/>
        <v>4938911.169999999</v>
      </c>
      <c r="AW137" s="311">
        <f t="shared" si="22"/>
        <v>0</v>
      </c>
      <c r="AX137" s="312">
        <f t="shared" si="23"/>
        <v>0</v>
      </c>
    </row>
    <row r="138" spans="1:51">
      <c r="A138" s="291" t="s">
        <v>494</v>
      </c>
      <c r="B138" s="291"/>
      <c r="C138" s="291"/>
      <c r="D138" s="291">
        <v>1160505001</v>
      </c>
      <c r="E138" s="291">
        <v>0</v>
      </c>
      <c r="F138" s="291">
        <v>47060</v>
      </c>
      <c r="G138" s="306">
        <v>43653</v>
      </c>
      <c r="H138" s="306">
        <v>43837</v>
      </c>
      <c r="I138" s="291">
        <v>1435</v>
      </c>
      <c r="J138" s="307">
        <v>6411423</v>
      </c>
      <c r="K138" s="307">
        <v>0</v>
      </c>
      <c r="L138" s="307">
        <v>0</v>
      </c>
      <c r="M138" s="291" t="s">
        <v>495</v>
      </c>
      <c r="N138" s="307">
        <v>6411423</v>
      </c>
      <c r="O138" s="307">
        <v>0</v>
      </c>
      <c r="P138" s="307">
        <v>4600196</v>
      </c>
      <c r="Q138" s="291">
        <v>1</v>
      </c>
      <c r="R138" s="291" t="s">
        <v>496</v>
      </c>
      <c r="S138" s="291">
        <v>100</v>
      </c>
      <c r="T138" s="307">
        <v>6411423</v>
      </c>
      <c r="U138" s="307">
        <v>0</v>
      </c>
      <c r="V138" s="291">
        <v>100</v>
      </c>
      <c r="W138" s="307">
        <v>5523718</v>
      </c>
      <c r="X138" s="291">
        <v>2</v>
      </c>
      <c r="Y138" s="291">
        <v>1160902010</v>
      </c>
      <c r="Z138" s="291">
        <v>2023</v>
      </c>
      <c r="AA138" s="291">
        <v>12</v>
      </c>
      <c r="AB138" s="291">
        <v>5026003002</v>
      </c>
      <c r="AC138" s="291">
        <v>1160903005</v>
      </c>
      <c r="AD138" s="291">
        <v>0</v>
      </c>
      <c r="AE138" s="291">
        <v>0</v>
      </c>
      <c r="AF138" s="291">
        <v>0</v>
      </c>
      <c r="AG138" s="291">
        <v>1160605001</v>
      </c>
      <c r="AH138" s="291">
        <v>1435</v>
      </c>
      <c r="AI138" s="291" t="s">
        <v>497</v>
      </c>
      <c r="AJ138" s="308">
        <v>0.01</v>
      </c>
      <c r="AK138" s="309">
        <f t="shared" si="24"/>
        <v>64114.23</v>
      </c>
      <c r="AL138" s="309">
        <f t="shared" si="25"/>
        <v>64114.23</v>
      </c>
      <c r="AM138" s="309">
        <f t="shared" si="25"/>
        <v>64114.23</v>
      </c>
      <c r="AN138" s="309"/>
      <c r="AO138" s="309"/>
      <c r="AP138" s="309">
        <f t="shared" si="20"/>
        <v>0</v>
      </c>
      <c r="AQ138" s="309">
        <f t="shared" si="26"/>
        <v>0</v>
      </c>
      <c r="AR138" s="309">
        <f t="shared" si="26"/>
        <v>0</v>
      </c>
      <c r="AS138" s="309"/>
      <c r="AT138" s="309"/>
      <c r="AV138" s="311">
        <f t="shared" si="21"/>
        <v>6219080.3099999987</v>
      </c>
      <c r="AW138" s="311">
        <f t="shared" si="22"/>
        <v>0</v>
      </c>
      <c r="AX138" s="312">
        <f t="shared" si="23"/>
        <v>0</v>
      </c>
    </row>
    <row r="139" spans="1:51">
      <c r="A139" s="291" t="s">
        <v>494</v>
      </c>
      <c r="B139" s="291"/>
      <c r="C139" s="291"/>
      <c r="D139" s="291">
        <v>1160505001</v>
      </c>
      <c r="E139" s="291">
        <v>0</v>
      </c>
      <c r="F139" s="291">
        <v>47184</v>
      </c>
      <c r="G139" s="306">
        <v>43678</v>
      </c>
      <c r="H139" s="306">
        <v>44896</v>
      </c>
      <c r="I139" s="291">
        <v>391</v>
      </c>
      <c r="J139" s="307">
        <v>1800000</v>
      </c>
      <c r="K139" s="307">
        <v>187800</v>
      </c>
      <c r="L139" s="307">
        <v>0</v>
      </c>
      <c r="M139" s="291" t="s">
        <v>495</v>
      </c>
      <c r="N139" s="307">
        <v>1800000</v>
      </c>
      <c r="O139" s="307">
        <v>187800</v>
      </c>
      <c r="P139" s="307">
        <v>351900</v>
      </c>
      <c r="Q139" s="291">
        <v>1</v>
      </c>
      <c r="R139" s="291" t="s">
        <v>496</v>
      </c>
      <c r="S139" s="291">
        <v>100</v>
      </c>
      <c r="T139" s="307">
        <v>1800000</v>
      </c>
      <c r="U139" s="307">
        <v>187800</v>
      </c>
      <c r="V139" s="291">
        <v>100</v>
      </c>
      <c r="W139" s="307">
        <v>5574005</v>
      </c>
      <c r="X139" s="291">
        <v>2</v>
      </c>
      <c r="Y139" s="291">
        <v>1160902010</v>
      </c>
      <c r="Z139" s="291">
        <v>2023</v>
      </c>
      <c r="AA139" s="291">
        <v>12</v>
      </c>
      <c r="AB139" s="291">
        <v>5026003002</v>
      </c>
      <c r="AC139" s="291">
        <v>1160903005</v>
      </c>
      <c r="AD139" s="291">
        <v>0</v>
      </c>
      <c r="AE139" s="291">
        <v>0</v>
      </c>
      <c r="AF139" s="291">
        <v>0</v>
      </c>
      <c r="AG139" s="291">
        <v>1160605001</v>
      </c>
      <c r="AH139" s="291">
        <v>391</v>
      </c>
      <c r="AI139" s="291" t="s">
        <v>498</v>
      </c>
      <c r="AJ139" s="308">
        <v>0.1</v>
      </c>
      <c r="AK139" s="309">
        <f t="shared" si="24"/>
        <v>180000</v>
      </c>
      <c r="AL139" s="309">
        <f t="shared" si="25"/>
        <v>180000</v>
      </c>
      <c r="AM139" s="309">
        <f t="shared" si="25"/>
        <v>180000</v>
      </c>
      <c r="AN139" s="309"/>
      <c r="AO139" s="309"/>
      <c r="AP139" s="309">
        <f t="shared" si="20"/>
        <v>9390</v>
      </c>
      <c r="AQ139" s="309">
        <f t="shared" si="26"/>
        <v>9390</v>
      </c>
      <c r="AR139" s="309">
        <f t="shared" si="26"/>
        <v>9390</v>
      </c>
      <c r="AS139" s="309"/>
      <c r="AT139" s="309"/>
      <c r="AV139" s="311">
        <f t="shared" si="21"/>
        <v>1260000</v>
      </c>
      <c r="AW139" s="311">
        <f t="shared" si="22"/>
        <v>159630</v>
      </c>
      <c r="AX139" s="312">
        <f t="shared" si="23"/>
        <v>0</v>
      </c>
    </row>
    <row r="140" spans="1:51">
      <c r="A140" s="291" t="s">
        <v>494</v>
      </c>
      <c r="B140" s="291"/>
      <c r="C140" s="291"/>
      <c r="D140" s="291">
        <v>1160505001</v>
      </c>
      <c r="E140" s="291">
        <v>0</v>
      </c>
      <c r="F140" s="291">
        <v>40968</v>
      </c>
      <c r="G140" s="306">
        <v>42722</v>
      </c>
      <c r="H140" s="306">
        <v>43087</v>
      </c>
      <c r="I140" s="291">
        <v>2174</v>
      </c>
      <c r="J140" s="307">
        <v>12000000</v>
      </c>
      <c r="K140" s="307">
        <v>558377</v>
      </c>
      <c r="L140" s="307">
        <v>0</v>
      </c>
      <c r="M140" s="291" t="s">
        <v>495</v>
      </c>
      <c r="N140" s="307">
        <v>12000000</v>
      </c>
      <c r="O140" s="307">
        <v>558377</v>
      </c>
      <c r="P140" s="307">
        <v>13044000</v>
      </c>
      <c r="Q140" s="291">
        <v>1</v>
      </c>
      <c r="R140" s="291" t="s">
        <v>496</v>
      </c>
      <c r="S140" s="291">
        <v>100</v>
      </c>
      <c r="T140" s="307">
        <v>12000000</v>
      </c>
      <c r="U140" s="307">
        <v>558377</v>
      </c>
      <c r="V140" s="291">
        <v>100</v>
      </c>
      <c r="W140" s="307">
        <v>9528177</v>
      </c>
      <c r="X140" s="291">
        <v>2</v>
      </c>
      <c r="Y140" s="291">
        <v>1160902010</v>
      </c>
      <c r="Z140" s="291">
        <v>2023</v>
      </c>
      <c r="AA140" s="291">
        <v>12</v>
      </c>
      <c r="AB140" s="291">
        <v>5026003002</v>
      </c>
      <c r="AC140" s="291">
        <v>1160903005</v>
      </c>
      <c r="AD140" s="291">
        <v>0</v>
      </c>
      <c r="AE140" s="291">
        <v>0</v>
      </c>
      <c r="AF140" s="291">
        <v>0</v>
      </c>
      <c r="AG140" s="291">
        <v>1160605001</v>
      </c>
      <c r="AH140" s="291">
        <v>2174</v>
      </c>
      <c r="AI140" s="291" t="s">
        <v>497</v>
      </c>
      <c r="AJ140" s="308">
        <v>0.01</v>
      </c>
      <c r="AK140" s="309">
        <f t="shared" si="24"/>
        <v>120000</v>
      </c>
      <c r="AL140" s="309">
        <f t="shared" si="25"/>
        <v>120000</v>
      </c>
      <c r="AM140" s="309">
        <f t="shared" si="25"/>
        <v>120000</v>
      </c>
      <c r="AN140" s="309"/>
      <c r="AO140" s="309"/>
      <c r="AP140" s="309">
        <f t="shared" si="20"/>
        <v>2791.8850000000002</v>
      </c>
      <c r="AQ140" s="309">
        <f t="shared" si="26"/>
        <v>2791.8850000000002</v>
      </c>
      <c r="AR140" s="309">
        <f t="shared" si="26"/>
        <v>2791.8850000000002</v>
      </c>
      <c r="AS140" s="309"/>
      <c r="AT140" s="309"/>
      <c r="AV140" s="311">
        <f t="shared" si="21"/>
        <v>11640000</v>
      </c>
      <c r="AW140" s="311">
        <f t="shared" si="22"/>
        <v>550001.34499999997</v>
      </c>
      <c r="AX140" s="312">
        <f t="shared" si="23"/>
        <v>0</v>
      </c>
    </row>
    <row r="141" spans="1:51">
      <c r="A141" s="291" t="s">
        <v>494</v>
      </c>
      <c r="B141" s="291"/>
      <c r="C141" s="291"/>
      <c r="D141" s="291">
        <v>1160505002</v>
      </c>
      <c r="E141" s="291">
        <v>0</v>
      </c>
      <c r="F141" s="291">
        <v>41205</v>
      </c>
      <c r="G141" s="306">
        <v>42758</v>
      </c>
      <c r="H141" s="306">
        <v>43123</v>
      </c>
      <c r="I141" s="291">
        <v>2139</v>
      </c>
      <c r="J141" s="307">
        <v>4340000</v>
      </c>
      <c r="K141" s="307">
        <v>390600</v>
      </c>
      <c r="L141" s="307">
        <v>0</v>
      </c>
      <c r="M141" s="291" t="s">
        <v>495</v>
      </c>
      <c r="N141" s="307">
        <v>4340000</v>
      </c>
      <c r="O141" s="307">
        <v>390600</v>
      </c>
      <c r="P141" s="307">
        <v>4641630</v>
      </c>
      <c r="Q141" s="291">
        <v>1</v>
      </c>
      <c r="R141" s="291" t="s">
        <v>496</v>
      </c>
      <c r="S141" s="291">
        <v>100</v>
      </c>
      <c r="T141" s="307">
        <v>4340000</v>
      </c>
      <c r="U141" s="307">
        <v>390600</v>
      </c>
      <c r="V141" s="291">
        <v>100</v>
      </c>
      <c r="W141" s="307">
        <v>9528177</v>
      </c>
      <c r="X141" s="291">
        <v>6</v>
      </c>
      <c r="Y141" s="291">
        <v>1160902010</v>
      </c>
      <c r="Z141" s="291">
        <v>2023</v>
      </c>
      <c r="AA141" s="291">
        <v>12</v>
      </c>
      <c r="AB141" s="291">
        <v>5026003002</v>
      </c>
      <c r="AC141" s="291">
        <v>1160903005</v>
      </c>
      <c r="AD141" s="291">
        <v>0</v>
      </c>
      <c r="AE141" s="291">
        <v>0</v>
      </c>
      <c r="AF141" s="291">
        <v>0</v>
      </c>
      <c r="AG141" s="291">
        <v>1160605001</v>
      </c>
      <c r="AH141" s="291">
        <v>2174</v>
      </c>
      <c r="AI141" s="291" t="s">
        <v>497</v>
      </c>
      <c r="AJ141" s="308">
        <v>0.01</v>
      </c>
      <c r="AK141" s="309">
        <f t="shared" si="24"/>
        <v>43400</v>
      </c>
      <c r="AL141" s="309">
        <f t="shared" si="25"/>
        <v>43400</v>
      </c>
      <c r="AM141" s="309">
        <f t="shared" si="25"/>
        <v>43400</v>
      </c>
      <c r="AN141" s="309"/>
      <c r="AO141" s="309"/>
      <c r="AP141" s="309">
        <f t="shared" si="20"/>
        <v>1953</v>
      </c>
      <c r="AQ141" s="309">
        <f t="shared" si="26"/>
        <v>1953</v>
      </c>
      <c r="AR141" s="309">
        <f t="shared" si="26"/>
        <v>1953</v>
      </c>
      <c r="AS141" s="309"/>
      <c r="AT141" s="309"/>
      <c r="AV141" s="311">
        <f t="shared" si="21"/>
        <v>4209800</v>
      </c>
      <c r="AW141" s="311">
        <f t="shared" si="22"/>
        <v>384741</v>
      </c>
      <c r="AX141" s="312">
        <f t="shared" si="23"/>
        <v>0</v>
      </c>
    </row>
    <row r="142" spans="1:51">
      <c r="A142" s="291" t="s">
        <v>494</v>
      </c>
      <c r="B142" s="291"/>
      <c r="C142" s="291"/>
      <c r="D142" s="291">
        <v>1160505001</v>
      </c>
      <c r="E142" s="291">
        <v>0</v>
      </c>
      <c r="F142" s="291">
        <v>46254</v>
      </c>
      <c r="G142" s="306">
        <v>43527</v>
      </c>
      <c r="H142" s="306">
        <v>44623</v>
      </c>
      <c r="I142" s="291">
        <v>659</v>
      </c>
      <c r="J142" s="307">
        <v>5000000</v>
      </c>
      <c r="K142" s="307">
        <v>0</v>
      </c>
      <c r="L142" s="307">
        <v>0</v>
      </c>
      <c r="M142" s="291" t="s">
        <v>495</v>
      </c>
      <c r="N142" s="307">
        <v>5000000</v>
      </c>
      <c r="O142" s="307">
        <v>0</v>
      </c>
      <c r="P142" s="307">
        <v>1647500</v>
      </c>
      <c r="Q142" s="291">
        <v>1</v>
      </c>
      <c r="R142" s="291" t="s">
        <v>496</v>
      </c>
      <c r="S142" s="291">
        <v>100</v>
      </c>
      <c r="T142" s="307">
        <v>5000000</v>
      </c>
      <c r="U142" s="307">
        <v>0</v>
      </c>
      <c r="V142" s="291">
        <v>100</v>
      </c>
      <c r="W142" s="307">
        <v>2274541</v>
      </c>
      <c r="X142" s="291">
        <v>2</v>
      </c>
      <c r="Y142" s="291">
        <v>1160902010</v>
      </c>
      <c r="Z142" s="291">
        <v>2023</v>
      </c>
      <c r="AA142" s="291">
        <v>12</v>
      </c>
      <c r="AB142" s="291">
        <v>5026003002</v>
      </c>
      <c r="AC142" s="291">
        <v>1160903005</v>
      </c>
      <c r="AD142" s="291">
        <v>0</v>
      </c>
      <c r="AE142" s="291">
        <v>0</v>
      </c>
      <c r="AF142" s="291">
        <v>0</v>
      </c>
      <c r="AG142" s="291">
        <v>1160605001</v>
      </c>
      <c r="AH142" s="291">
        <v>659</v>
      </c>
      <c r="AI142" s="291" t="s">
        <v>498</v>
      </c>
      <c r="AJ142" s="308">
        <v>0.1</v>
      </c>
      <c r="AK142" s="309">
        <f t="shared" si="24"/>
        <v>500000</v>
      </c>
      <c r="AL142" s="309">
        <f t="shared" si="25"/>
        <v>500000</v>
      </c>
      <c r="AM142" s="309">
        <f t="shared" si="25"/>
        <v>500000</v>
      </c>
      <c r="AN142" s="309"/>
      <c r="AO142" s="309"/>
      <c r="AP142" s="309">
        <f t="shared" si="20"/>
        <v>0</v>
      </c>
      <c r="AQ142" s="309">
        <f t="shared" si="26"/>
        <v>0</v>
      </c>
      <c r="AR142" s="309">
        <f t="shared" si="26"/>
        <v>0</v>
      </c>
      <c r="AS142" s="309"/>
      <c r="AT142" s="309"/>
      <c r="AV142" s="311">
        <f t="shared" si="21"/>
        <v>3500000</v>
      </c>
      <c r="AW142" s="311">
        <f t="shared" si="22"/>
        <v>0</v>
      </c>
      <c r="AX142" s="312">
        <f t="shared" si="23"/>
        <v>0</v>
      </c>
    </row>
    <row r="143" spans="1:51">
      <c r="A143" s="291" t="s">
        <v>494</v>
      </c>
      <c r="B143" s="291"/>
      <c r="C143" s="291"/>
      <c r="D143" s="291">
        <v>1160505001</v>
      </c>
      <c r="E143" s="291">
        <v>0</v>
      </c>
      <c r="F143" s="291">
        <v>47259</v>
      </c>
      <c r="G143" s="306">
        <v>43697</v>
      </c>
      <c r="H143" s="306">
        <v>43850</v>
      </c>
      <c r="I143" s="291">
        <v>1422</v>
      </c>
      <c r="J143" s="307">
        <v>9319062</v>
      </c>
      <c r="K143" s="307">
        <v>0</v>
      </c>
      <c r="L143" s="307">
        <v>0</v>
      </c>
      <c r="M143" s="291" t="s">
        <v>495</v>
      </c>
      <c r="N143" s="307">
        <v>9319062</v>
      </c>
      <c r="O143" s="307">
        <v>0</v>
      </c>
      <c r="P143" s="307">
        <v>6625853</v>
      </c>
      <c r="Q143" s="291">
        <v>1</v>
      </c>
      <c r="R143" s="291" t="s">
        <v>496</v>
      </c>
      <c r="S143" s="291">
        <v>100</v>
      </c>
      <c r="T143" s="307">
        <v>9319062</v>
      </c>
      <c r="U143" s="307">
        <v>0</v>
      </c>
      <c r="V143" s="291">
        <v>100</v>
      </c>
      <c r="W143" s="307">
        <v>3570001</v>
      </c>
      <c r="X143" s="291">
        <v>2</v>
      </c>
      <c r="Y143" s="291">
        <v>1160902010</v>
      </c>
      <c r="Z143" s="291">
        <v>2023</v>
      </c>
      <c r="AA143" s="291">
        <v>12</v>
      </c>
      <c r="AB143" s="291">
        <v>5026003002</v>
      </c>
      <c r="AC143" s="291">
        <v>1160903005</v>
      </c>
      <c r="AD143" s="291">
        <v>0</v>
      </c>
      <c r="AE143" s="291">
        <v>0</v>
      </c>
      <c r="AF143" s="291">
        <v>0</v>
      </c>
      <c r="AG143" s="291">
        <v>1160605001</v>
      </c>
      <c r="AH143" s="291">
        <v>1422</v>
      </c>
      <c r="AI143" s="291" t="s">
        <v>497</v>
      </c>
      <c r="AJ143" s="308">
        <v>0.01</v>
      </c>
      <c r="AK143" s="309">
        <f t="shared" si="24"/>
        <v>93190.62</v>
      </c>
      <c r="AL143" s="309">
        <f t="shared" si="25"/>
        <v>93190.62</v>
      </c>
      <c r="AM143" s="309">
        <f t="shared" si="25"/>
        <v>93190.62</v>
      </c>
      <c r="AN143" s="309"/>
      <c r="AO143" s="309"/>
      <c r="AP143" s="309">
        <f t="shared" si="20"/>
        <v>0</v>
      </c>
      <c r="AQ143" s="309">
        <f t="shared" si="26"/>
        <v>0</v>
      </c>
      <c r="AR143" s="309">
        <f t="shared" si="26"/>
        <v>0</v>
      </c>
      <c r="AS143" s="309"/>
      <c r="AT143" s="309"/>
      <c r="AV143" s="311">
        <f t="shared" si="21"/>
        <v>9039490.1400000025</v>
      </c>
      <c r="AW143" s="311">
        <f t="shared" si="22"/>
        <v>0</v>
      </c>
      <c r="AX143" s="312">
        <f t="shared" si="23"/>
        <v>0</v>
      </c>
    </row>
    <row r="144" spans="1:51">
      <c r="A144" s="291" t="s">
        <v>494</v>
      </c>
      <c r="B144" s="291"/>
      <c r="C144" s="291"/>
      <c r="D144" s="291">
        <v>1160505004</v>
      </c>
      <c r="E144" s="291">
        <v>32724</v>
      </c>
      <c r="F144" s="291">
        <v>36175</v>
      </c>
      <c r="G144" s="306">
        <v>41848</v>
      </c>
      <c r="H144" s="306">
        <v>42944</v>
      </c>
      <c r="I144" s="291">
        <v>2314</v>
      </c>
      <c r="J144" s="307">
        <v>1696024</v>
      </c>
      <c r="K144" s="307">
        <v>0</v>
      </c>
      <c r="L144" s="307">
        <v>0</v>
      </c>
      <c r="M144" s="291" t="s">
        <v>495</v>
      </c>
      <c r="N144" s="307">
        <v>1696024</v>
      </c>
      <c r="O144" s="307">
        <v>0</v>
      </c>
      <c r="P144" s="307">
        <v>1962300</v>
      </c>
      <c r="Q144" s="291">
        <v>1</v>
      </c>
      <c r="R144" s="291" t="s">
        <v>496</v>
      </c>
      <c r="S144" s="291">
        <v>100</v>
      </c>
      <c r="T144" s="307">
        <v>1696024</v>
      </c>
      <c r="U144" s="307">
        <v>0</v>
      </c>
      <c r="V144" s="291">
        <v>100</v>
      </c>
      <c r="W144" s="307">
        <v>0</v>
      </c>
      <c r="X144" s="291">
        <v>5</v>
      </c>
      <c r="Y144" s="291">
        <v>1160902010</v>
      </c>
      <c r="Z144" s="291">
        <v>2023</v>
      </c>
      <c r="AA144" s="291">
        <v>12</v>
      </c>
      <c r="AB144" s="291">
        <v>5026003002</v>
      </c>
      <c r="AC144" s="291">
        <v>1160903005</v>
      </c>
      <c r="AD144" s="291">
        <v>0</v>
      </c>
      <c r="AE144" s="291">
        <v>0</v>
      </c>
      <c r="AF144" s="291">
        <v>0</v>
      </c>
      <c r="AG144" s="291">
        <v>1160605001</v>
      </c>
      <c r="AH144" s="291">
        <v>2483</v>
      </c>
      <c r="AI144" s="291" t="s">
        <v>497</v>
      </c>
      <c r="AJ144" s="308">
        <v>0.01</v>
      </c>
      <c r="AK144" s="309">
        <f t="shared" si="24"/>
        <v>16960.240000000002</v>
      </c>
      <c r="AL144" s="309">
        <f t="shared" si="25"/>
        <v>16960.240000000002</v>
      </c>
      <c r="AM144" s="309">
        <f t="shared" si="25"/>
        <v>16960.240000000002</v>
      </c>
      <c r="AN144" s="309"/>
      <c r="AO144" s="309"/>
      <c r="AP144" s="309">
        <f t="shared" si="20"/>
        <v>0</v>
      </c>
      <c r="AQ144" s="309">
        <f t="shared" si="26"/>
        <v>0</v>
      </c>
      <c r="AR144" s="309">
        <f t="shared" si="26"/>
        <v>0</v>
      </c>
      <c r="AS144" s="309"/>
      <c r="AT144" s="309"/>
      <c r="AV144" s="311">
        <f t="shared" si="21"/>
        <v>1645143.28</v>
      </c>
      <c r="AW144" s="311">
        <f t="shared" si="22"/>
        <v>0</v>
      </c>
      <c r="AX144" s="312">
        <f t="shared" si="23"/>
        <v>0</v>
      </c>
    </row>
    <row r="145" spans="1:50">
      <c r="A145" s="291" t="s">
        <v>494</v>
      </c>
      <c r="B145" s="291"/>
      <c r="C145" s="291"/>
      <c r="D145" s="291">
        <v>1160505004</v>
      </c>
      <c r="E145" s="291">
        <v>35811</v>
      </c>
      <c r="F145" s="291">
        <v>36986</v>
      </c>
      <c r="G145" s="306">
        <v>42019</v>
      </c>
      <c r="H145" s="306">
        <v>43115</v>
      </c>
      <c r="I145" s="291">
        <v>2147</v>
      </c>
      <c r="J145" s="307">
        <v>2000000</v>
      </c>
      <c r="K145" s="307">
        <v>0</v>
      </c>
      <c r="L145" s="307">
        <v>0</v>
      </c>
      <c r="M145" s="291" t="s">
        <v>495</v>
      </c>
      <c r="N145" s="307">
        <v>2000000</v>
      </c>
      <c r="O145" s="307">
        <v>0</v>
      </c>
      <c r="P145" s="307">
        <v>2147000</v>
      </c>
      <c r="Q145" s="291">
        <v>1</v>
      </c>
      <c r="R145" s="291" t="s">
        <v>496</v>
      </c>
      <c r="S145" s="291">
        <v>100</v>
      </c>
      <c r="T145" s="307">
        <v>2000000</v>
      </c>
      <c r="U145" s="307">
        <v>0</v>
      </c>
      <c r="V145" s="291">
        <v>100</v>
      </c>
      <c r="W145" s="307">
        <v>0</v>
      </c>
      <c r="X145" s="291">
        <v>5</v>
      </c>
      <c r="Y145" s="291">
        <v>1160902010</v>
      </c>
      <c r="Z145" s="291">
        <v>2023</v>
      </c>
      <c r="AA145" s="291">
        <v>12</v>
      </c>
      <c r="AB145" s="291">
        <v>5026003002</v>
      </c>
      <c r="AC145" s="291">
        <v>1160903005</v>
      </c>
      <c r="AD145" s="291">
        <v>0</v>
      </c>
      <c r="AE145" s="291">
        <v>0</v>
      </c>
      <c r="AF145" s="291">
        <v>0</v>
      </c>
      <c r="AG145" s="291">
        <v>1160605001</v>
      </c>
      <c r="AH145" s="291">
        <v>2483</v>
      </c>
      <c r="AI145" s="291" t="s">
        <v>497</v>
      </c>
      <c r="AJ145" s="308">
        <v>0.01</v>
      </c>
      <c r="AK145" s="309">
        <f t="shared" si="24"/>
        <v>20000</v>
      </c>
      <c r="AL145" s="309">
        <f t="shared" si="25"/>
        <v>20000</v>
      </c>
      <c r="AM145" s="309">
        <f t="shared" si="25"/>
        <v>20000</v>
      </c>
      <c r="AN145" s="309"/>
      <c r="AO145" s="309"/>
      <c r="AP145" s="309">
        <f t="shared" si="20"/>
        <v>0</v>
      </c>
      <c r="AQ145" s="309">
        <f t="shared" si="26"/>
        <v>0</v>
      </c>
      <c r="AR145" s="309">
        <f t="shared" si="26"/>
        <v>0</v>
      </c>
      <c r="AS145" s="309"/>
      <c r="AT145" s="309"/>
      <c r="AV145" s="311">
        <f t="shared" si="21"/>
        <v>1940000</v>
      </c>
      <c r="AW145" s="311">
        <f t="shared" si="22"/>
        <v>0</v>
      </c>
      <c r="AX145" s="312">
        <f t="shared" si="23"/>
        <v>0</v>
      </c>
    </row>
    <row r="146" spans="1:50">
      <c r="A146" s="291" t="s">
        <v>494</v>
      </c>
      <c r="B146" s="291"/>
      <c r="C146" s="291"/>
      <c r="D146" s="291">
        <v>1160505002</v>
      </c>
      <c r="E146" s="291">
        <v>0</v>
      </c>
      <c r="F146" s="291">
        <v>34465</v>
      </c>
      <c r="G146" s="306">
        <v>41679</v>
      </c>
      <c r="H146" s="306">
        <v>42775</v>
      </c>
      <c r="I146" s="291">
        <v>2483</v>
      </c>
      <c r="J146" s="307">
        <v>5014072</v>
      </c>
      <c r="K146" s="307">
        <v>0</v>
      </c>
      <c r="L146" s="307">
        <v>0</v>
      </c>
      <c r="M146" s="291" t="s">
        <v>495</v>
      </c>
      <c r="N146" s="307">
        <v>5014072</v>
      </c>
      <c r="O146" s="307">
        <v>0</v>
      </c>
      <c r="P146" s="307">
        <v>6224970</v>
      </c>
      <c r="Q146" s="291">
        <v>1</v>
      </c>
      <c r="R146" s="291" t="s">
        <v>496</v>
      </c>
      <c r="S146" s="291">
        <v>100</v>
      </c>
      <c r="T146" s="307">
        <v>5014072</v>
      </c>
      <c r="U146" s="307">
        <v>0</v>
      </c>
      <c r="V146" s="291">
        <v>100</v>
      </c>
      <c r="W146" s="307">
        <v>0</v>
      </c>
      <c r="X146" s="291">
        <v>6</v>
      </c>
      <c r="Y146" s="291">
        <v>1160902010</v>
      </c>
      <c r="Z146" s="291">
        <v>2023</v>
      </c>
      <c r="AA146" s="291">
        <v>12</v>
      </c>
      <c r="AB146" s="291">
        <v>5026003002</v>
      </c>
      <c r="AC146" s="291">
        <v>1160903005</v>
      </c>
      <c r="AD146" s="291">
        <v>0</v>
      </c>
      <c r="AE146" s="291">
        <v>0</v>
      </c>
      <c r="AF146" s="291">
        <v>0</v>
      </c>
      <c r="AG146" s="291">
        <v>1160605001</v>
      </c>
      <c r="AH146" s="291">
        <v>2483</v>
      </c>
      <c r="AI146" s="291" t="s">
        <v>497</v>
      </c>
      <c r="AJ146" s="308">
        <v>0.01</v>
      </c>
      <c r="AK146" s="309">
        <f t="shared" si="24"/>
        <v>50140.72</v>
      </c>
      <c r="AL146" s="309">
        <f t="shared" si="25"/>
        <v>50140.72</v>
      </c>
      <c r="AM146" s="309">
        <f t="shared" si="25"/>
        <v>50140.72</v>
      </c>
      <c r="AN146" s="309"/>
      <c r="AO146" s="309"/>
      <c r="AP146" s="309">
        <f t="shared" si="20"/>
        <v>0</v>
      </c>
      <c r="AQ146" s="309">
        <f t="shared" si="26"/>
        <v>0</v>
      </c>
      <c r="AR146" s="309">
        <f t="shared" si="26"/>
        <v>0</v>
      </c>
      <c r="AS146" s="309"/>
      <c r="AT146" s="309"/>
      <c r="AV146" s="311">
        <f t="shared" si="21"/>
        <v>4863649.8400000008</v>
      </c>
      <c r="AW146" s="311">
        <f t="shared" si="22"/>
        <v>0</v>
      </c>
      <c r="AX146" s="312">
        <f t="shared" si="23"/>
        <v>0</v>
      </c>
    </row>
    <row r="147" spans="1:50">
      <c r="A147" s="291" t="s">
        <v>494</v>
      </c>
      <c r="B147" s="291"/>
      <c r="C147" s="291"/>
      <c r="D147" s="291">
        <v>1160505004</v>
      </c>
      <c r="E147" s="291">
        <v>41317</v>
      </c>
      <c r="F147" s="291">
        <v>46174</v>
      </c>
      <c r="G147" s="306">
        <v>43519</v>
      </c>
      <c r="H147" s="306">
        <v>44615</v>
      </c>
      <c r="I147" s="291">
        <v>669</v>
      </c>
      <c r="J147" s="307">
        <v>8000000</v>
      </c>
      <c r="K147" s="307">
        <v>2234666</v>
      </c>
      <c r="L147" s="307">
        <v>0</v>
      </c>
      <c r="M147" s="291" t="s">
        <v>495</v>
      </c>
      <c r="N147" s="307">
        <v>8000000</v>
      </c>
      <c r="O147" s="307">
        <v>2234666</v>
      </c>
      <c r="P147" s="307">
        <v>2676000</v>
      </c>
      <c r="Q147" s="291">
        <v>1</v>
      </c>
      <c r="R147" s="291" t="s">
        <v>496</v>
      </c>
      <c r="S147" s="291">
        <v>100</v>
      </c>
      <c r="T147" s="307">
        <v>8000000</v>
      </c>
      <c r="U147" s="307">
        <v>2234666</v>
      </c>
      <c r="V147" s="291">
        <v>100</v>
      </c>
      <c r="W147" s="307">
        <v>6369295</v>
      </c>
      <c r="X147" s="291">
        <v>5</v>
      </c>
      <c r="Y147" s="291">
        <v>1160902010</v>
      </c>
      <c r="Z147" s="291">
        <v>2023</v>
      </c>
      <c r="AA147" s="291">
        <v>12</v>
      </c>
      <c r="AB147" s="291">
        <v>5026003002</v>
      </c>
      <c r="AC147" s="291">
        <v>1160903005</v>
      </c>
      <c r="AD147" s="291">
        <v>0</v>
      </c>
      <c r="AE147" s="291">
        <v>0</v>
      </c>
      <c r="AF147" s="291">
        <v>0</v>
      </c>
      <c r="AG147" s="291">
        <v>1160605001</v>
      </c>
      <c r="AH147" s="291">
        <v>669</v>
      </c>
      <c r="AI147" s="291" t="s">
        <v>498</v>
      </c>
      <c r="AJ147" s="308">
        <v>0.1</v>
      </c>
      <c r="AK147" s="309">
        <f t="shared" si="24"/>
        <v>800000</v>
      </c>
      <c r="AL147" s="309">
        <f t="shared" si="25"/>
        <v>800000</v>
      </c>
      <c r="AM147" s="309">
        <f t="shared" si="25"/>
        <v>800000</v>
      </c>
      <c r="AN147" s="309"/>
      <c r="AO147" s="309"/>
      <c r="AP147" s="309">
        <f t="shared" si="20"/>
        <v>111733.3</v>
      </c>
      <c r="AQ147" s="309">
        <f t="shared" si="26"/>
        <v>111733.3</v>
      </c>
      <c r="AR147" s="309">
        <f t="shared" si="26"/>
        <v>111733.3</v>
      </c>
      <c r="AS147" s="309"/>
      <c r="AT147" s="309"/>
      <c r="AV147" s="311">
        <f t="shared" si="21"/>
        <v>5600000</v>
      </c>
      <c r="AW147" s="311">
        <f t="shared" si="22"/>
        <v>1899466.1</v>
      </c>
      <c r="AX147" s="312">
        <f t="shared" si="23"/>
        <v>0</v>
      </c>
    </row>
    <row r="148" spans="1:50">
      <c r="A148" s="291" t="s">
        <v>494</v>
      </c>
      <c r="B148" s="291"/>
      <c r="C148" s="291"/>
      <c r="D148" s="291">
        <v>1160505004</v>
      </c>
      <c r="E148" s="291">
        <v>0</v>
      </c>
      <c r="F148" s="291">
        <v>44830</v>
      </c>
      <c r="G148" s="306">
        <v>43519</v>
      </c>
      <c r="H148" s="306">
        <v>44615</v>
      </c>
      <c r="I148" s="291">
        <v>669</v>
      </c>
      <c r="J148" s="307">
        <v>0</v>
      </c>
      <c r="K148" s="307">
        <v>1906498</v>
      </c>
      <c r="L148" s="307">
        <v>0</v>
      </c>
      <c r="M148" s="291" t="s">
        <v>495</v>
      </c>
      <c r="N148" s="307">
        <v>0</v>
      </c>
      <c r="O148" s="307">
        <v>1906498</v>
      </c>
      <c r="P148" s="307">
        <v>0</v>
      </c>
      <c r="Q148" s="291">
        <v>1</v>
      </c>
      <c r="R148" s="291" t="s">
        <v>496</v>
      </c>
      <c r="S148" s="291">
        <v>100</v>
      </c>
      <c r="T148" s="307">
        <v>0</v>
      </c>
      <c r="U148" s="307">
        <v>1906498</v>
      </c>
      <c r="V148" s="291">
        <v>100</v>
      </c>
      <c r="W148" s="307">
        <v>6369295</v>
      </c>
      <c r="X148" s="291">
        <v>5</v>
      </c>
      <c r="Y148" s="291">
        <v>1160902010</v>
      </c>
      <c r="Z148" s="291">
        <v>2023</v>
      </c>
      <c r="AA148" s="291">
        <v>12</v>
      </c>
      <c r="AB148" s="291">
        <v>5026003002</v>
      </c>
      <c r="AC148" s="291">
        <v>1160903005</v>
      </c>
      <c r="AD148" s="291">
        <v>0</v>
      </c>
      <c r="AE148" s="291">
        <v>0</v>
      </c>
      <c r="AF148" s="291">
        <v>0</v>
      </c>
      <c r="AG148" s="291">
        <v>1160605001</v>
      </c>
      <c r="AH148" s="291">
        <v>669</v>
      </c>
      <c r="AI148" s="291" t="s">
        <v>498</v>
      </c>
      <c r="AJ148" s="308">
        <v>0.1</v>
      </c>
      <c r="AK148" s="309">
        <f t="shared" si="24"/>
        <v>0</v>
      </c>
      <c r="AL148" s="309">
        <f t="shared" si="25"/>
        <v>0</v>
      </c>
      <c r="AM148" s="309">
        <f t="shared" si="25"/>
        <v>0</v>
      </c>
      <c r="AN148" s="309"/>
      <c r="AO148" s="309"/>
      <c r="AP148" s="309">
        <f t="shared" si="20"/>
        <v>95324.900000000009</v>
      </c>
      <c r="AQ148" s="309">
        <f t="shared" si="26"/>
        <v>95324.900000000009</v>
      </c>
      <c r="AR148" s="309">
        <f t="shared" si="26"/>
        <v>95324.900000000009</v>
      </c>
      <c r="AS148" s="309"/>
      <c r="AT148" s="309"/>
      <c r="AV148" s="311">
        <f t="shared" si="21"/>
        <v>0</v>
      </c>
      <c r="AW148" s="311">
        <f t="shared" si="22"/>
        <v>1620523.3000000003</v>
      </c>
      <c r="AX148" s="312">
        <f t="shared" si="23"/>
        <v>0</v>
      </c>
    </row>
    <row r="149" spans="1:50">
      <c r="A149" s="291" t="s">
        <v>494</v>
      </c>
      <c r="B149" s="291"/>
      <c r="C149" s="291"/>
      <c r="D149" s="291">
        <v>1160505001</v>
      </c>
      <c r="E149" s="291">
        <v>0</v>
      </c>
      <c r="F149" s="291">
        <v>44542</v>
      </c>
      <c r="G149" s="306">
        <v>43241</v>
      </c>
      <c r="H149" s="306">
        <v>44337</v>
      </c>
      <c r="I149" s="291">
        <v>941</v>
      </c>
      <c r="J149" s="307">
        <v>1000000</v>
      </c>
      <c r="K149" s="307">
        <v>540000</v>
      </c>
      <c r="L149" s="307">
        <v>0</v>
      </c>
      <c r="M149" s="291" t="s">
        <v>495</v>
      </c>
      <c r="N149" s="307">
        <v>1000000</v>
      </c>
      <c r="O149" s="307">
        <v>540000</v>
      </c>
      <c r="P149" s="307">
        <v>470500</v>
      </c>
      <c r="Q149" s="291">
        <v>1</v>
      </c>
      <c r="R149" s="291" t="s">
        <v>496</v>
      </c>
      <c r="S149" s="291">
        <v>100</v>
      </c>
      <c r="T149" s="307">
        <v>1000000</v>
      </c>
      <c r="U149" s="307">
        <v>540000</v>
      </c>
      <c r="V149" s="291">
        <v>100</v>
      </c>
      <c r="W149" s="307">
        <v>17387180</v>
      </c>
      <c r="X149" s="291">
        <v>2</v>
      </c>
      <c r="Y149" s="291">
        <v>1160902010</v>
      </c>
      <c r="Z149" s="291">
        <v>2023</v>
      </c>
      <c r="AA149" s="291">
        <v>12</v>
      </c>
      <c r="AB149" s="291">
        <v>5026003002</v>
      </c>
      <c r="AC149" s="291">
        <v>1160903005</v>
      </c>
      <c r="AD149" s="291">
        <v>0</v>
      </c>
      <c r="AE149" s="291">
        <v>0</v>
      </c>
      <c r="AF149" s="291">
        <v>0</v>
      </c>
      <c r="AG149" s="291">
        <v>1160605001</v>
      </c>
      <c r="AH149" s="291">
        <v>941</v>
      </c>
      <c r="AI149" s="291" t="s">
        <v>499</v>
      </c>
      <c r="AJ149" s="308">
        <v>0.05</v>
      </c>
      <c r="AK149" s="309">
        <f t="shared" si="24"/>
        <v>50000</v>
      </c>
      <c r="AL149" s="309">
        <f t="shared" si="25"/>
        <v>50000</v>
      </c>
      <c r="AM149" s="309">
        <f t="shared" si="25"/>
        <v>50000</v>
      </c>
      <c r="AN149" s="309"/>
      <c r="AO149" s="309"/>
      <c r="AP149" s="309">
        <f t="shared" si="20"/>
        <v>13500</v>
      </c>
      <c r="AQ149" s="309">
        <f t="shared" si="26"/>
        <v>13500</v>
      </c>
      <c r="AR149" s="309">
        <f t="shared" si="26"/>
        <v>13500</v>
      </c>
      <c r="AS149" s="309"/>
      <c r="AT149" s="309"/>
      <c r="AV149" s="311">
        <f t="shared" si="21"/>
        <v>850000</v>
      </c>
      <c r="AW149" s="311">
        <f t="shared" si="22"/>
        <v>499500</v>
      </c>
      <c r="AX149" s="312">
        <f t="shared" si="23"/>
        <v>0</v>
      </c>
    </row>
    <row r="150" spans="1:50">
      <c r="A150" s="291" t="s">
        <v>494</v>
      </c>
      <c r="B150" s="291"/>
      <c r="C150" s="291"/>
      <c r="D150" s="291">
        <v>1160505001</v>
      </c>
      <c r="E150" s="291">
        <v>0</v>
      </c>
      <c r="F150" s="291">
        <v>44543</v>
      </c>
      <c r="G150" s="306">
        <v>43241</v>
      </c>
      <c r="H150" s="306">
        <v>44337</v>
      </c>
      <c r="I150" s="291">
        <v>941</v>
      </c>
      <c r="J150" s="307">
        <v>15000000</v>
      </c>
      <c r="K150" s="307">
        <v>8100000</v>
      </c>
      <c r="L150" s="307">
        <v>0</v>
      </c>
      <c r="M150" s="291" t="s">
        <v>495</v>
      </c>
      <c r="N150" s="307">
        <v>15000000</v>
      </c>
      <c r="O150" s="307">
        <v>8100000</v>
      </c>
      <c r="P150" s="307">
        <v>7057500</v>
      </c>
      <c r="Q150" s="291">
        <v>1</v>
      </c>
      <c r="R150" s="291" t="s">
        <v>496</v>
      </c>
      <c r="S150" s="291">
        <v>100</v>
      </c>
      <c r="T150" s="307">
        <v>15000000</v>
      </c>
      <c r="U150" s="307">
        <v>8100000</v>
      </c>
      <c r="V150" s="291">
        <v>100</v>
      </c>
      <c r="W150" s="307">
        <v>17387180</v>
      </c>
      <c r="X150" s="291">
        <v>14</v>
      </c>
      <c r="Y150" s="291">
        <v>1160902010</v>
      </c>
      <c r="Z150" s="291">
        <v>2023</v>
      </c>
      <c r="AA150" s="291">
        <v>12</v>
      </c>
      <c r="AB150" s="291">
        <v>5026003002</v>
      </c>
      <c r="AC150" s="291">
        <v>1160903005</v>
      </c>
      <c r="AD150" s="291">
        <v>0</v>
      </c>
      <c r="AE150" s="291">
        <v>0</v>
      </c>
      <c r="AF150" s="291">
        <v>0</v>
      </c>
      <c r="AG150" s="291">
        <v>1160605001</v>
      </c>
      <c r="AH150" s="291">
        <v>941</v>
      </c>
      <c r="AI150" s="291" t="s">
        <v>499</v>
      </c>
      <c r="AJ150" s="308">
        <v>0.05</v>
      </c>
      <c r="AK150" s="309">
        <f t="shared" si="24"/>
        <v>750000</v>
      </c>
      <c r="AL150" s="309">
        <f t="shared" si="25"/>
        <v>750000</v>
      </c>
      <c r="AM150" s="309">
        <f t="shared" si="25"/>
        <v>750000</v>
      </c>
      <c r="AN150" s="309"/>
      <c r="AO150" s="309"/>
      <c r="AP150" s="309">
        <f t="shared" si="20"/>
        <v>202500</v>
      </c>
      <c r="AQ150" s="309">
        <f t="shared" si="26"/>
        <v>202500</v>
      </c>
      <c r="AR150" s="309">
        <f t="shared" si="26"/>
        <v>202500</v>
      </c>
      <c r="AS150" s="309"/>
      <c r="AT150" s="309"/>
      <c r="AV150" s="311">
        <f t="shared" si="21"/>
        <v>12750000</v>
      </c>
      <c r="AW150" s="311">
        <f t="shared" si="22"/>
        <v>7492500</v>
      </c>
      <c r="AX150" s="312">
        <f t="shared" si="23"/>
        <v>0</v>
      </c>
    </row>
    <row r="151" spans="1:50">
      <c r="A151" s="291" t="s">
        <v>494</v>
      </c>
      <c r="B151" s="291"/>
      <c r="C151" s="291"/>
      <c r="D151" s="291">
        <v>1160505001</v>
      </c>
      <c r="E151" s="291">
        <v>0</v>
      </c>
      <c r="F151" s="291">
        <v>45723</v>
      </c>
      <c r="G151" s="306">
        <v>43482</v>
      </c>
      <c r="H151" s="306">
        <v>43847</v>
      </c>
      <c r="I151" s="291">
        <v>1425</v>
      </c>
      <c r="J151" s="307">
        <v>17019198</v>
      </c>
      <c r="K151" s="307">
        <v>0</v>
      </c>
      <c r="L151" s="307">
        <v>0</v>
      </c>
      <c r="M151" s="291" t="s">
        <v>495</v>
      </c>
      <c r="N151" s="307">
        <v>17019198</v>
      </c>
      <c r="O151" s="307">
        <v>0</v>
      </c>
      <c r="P151" s="307">
        <v>12126179</v>
      </c>
      <c r="Q151" s="291">
        <v>1</v>
      </c>
      <c r="R151" s="291" t="s">
        <v>496</v>
      </c>
      <c r="S151" s="291">
        <v>100</v>
      </c>
      <c r="T151" s="307">
        <v>17019198</v>
      </c>
      <c r="U151" s="307">
        <v>0</v>
      </c>
      <c r="V151" s="291">
        <v>100</v>
      </c>
      <c r="W151" s="307">
        <v>12832904</v>
      </c>
      <c r="X151" s="291">
        <v>2</v>
      </c>
      <c r="Y151" s="291">
        <v>1160902010</v>
      </c>
      <c r="Z151" s="291">
        <v>2023</v>
      </c>
      <c r="AA151" s="291">
        <v>12</v>
      </c>
      <c r="AB151" s="291">
        <v>5026003002</v>
      </c>
      <c r="AC151" s="291">
        <v>1160903005</v>
      </c>
      <c r="AD151" s="291">
        <v>0</v>
      </c>
      <c r="AE151" s="291">
        <v>0</v>
      </c>
      <c r="AF151" s="291">
        <v>0</v>
      </c>
      <c r="AG151" s="291">
        <v>1160605001</v>
      </c>
      <c r="AH151" s="291">
        <v>1425</v>
      </c>
      <c r="AI151" s="291" t="s">
        <v>497</v>
      </c>
      <c r="AJ151" s="308">
        <v>0.01</v>
      </c>
      <c r="AK151" s="309">
        <f t="shared" si="24"/>
        <v>170191.98</v>
      </c>
      <c r="AL151" s="309">
        <f t="shared" si="25"/>
        <v>170191.98</v>
      </c>
      <c r="AM151" s="309">
        <f t="shared" si="25"/>
        <v>170191.98</v>
      </c>
      <c r="AN151" s="309"/>
      <c r="AO151" s="309"/>
      <c r="AP151" s="309">
        <f t="shared" si="20"/>
        <v>0</v>
      </c>
      <c r="AQ151" s="309">
        <f t="shared" ref="AQ151:AR166" si="27">AP151</f>
        <v>0</v>
      </c>
      <c r="AR151" s="309">
        <f t="shared" si="27"/>
        <v>0</v>
      </c>
      <c r="AS151" s="309"/>
      <c r="AT151" s="309"/>
      <c r="AV151" s="311">
        <f t="shared" si="21"/>
        <v>16508622.059999999</v>
      </c>
      <c r="AW151" s="311">
        <f t="shared" si="22"/>
        <v>0</v>
      </c>
      <c r="AX151" s="312">
        <f t="shared" si="23"/>
        <v>0</v>
      </c>
    </row>
    <row r="152" spans="1:50">
      <c r="A152" s="291" t="s">
        <v>494</v>
      </c>
      <c r="B152" s="291"/>
      <c r="C152" s="291"/>
      <c r="D152" s="291">
        <v>1160505002</v>
      </c>
      <c r="E152" s="291">
        <v>0</v>
      </c>
      <c r="F152" s="291">
        <v>41693</v>
      </c>
      <c r="G152" s="306">
        <v>42807</v>
      </c>
      <c r="H152" s="306">
        <v>43172</v>
      </c>
      <c r="I152" s="291">
        <v>2089</v>
      </c>
      <c r="J152" s="307">
        <v>1254161</v>
      </c>
      <c r="K152" s="307">
        <v>0</v>
      </c>
      <c r="L152" s="307">
        <v>0</v>
      </c>
      <c r="M152" s="291" t="s">
        <v>495</v>
      </c>
      <c r="N152" s="307">
        <v>1254161</v>
      </c>
      <c r="O152" s="307">
        <v>0</v>
      </c>
      <c r="P152" s="307">
        <v>1309971</v>
      </c>
      <c r="Q152" s="291">
        <v>1</v>
      </c>
      <c r="R152" s="291" t="s">
        <v>496</v>
      </c>
      <c r="S152" s="291">
        <v>100</v>
      </c>
      <c r="T152" s="307">
        <v>1254161</v>
      </c>
      <c r="U152" s="307">
        <v>0</v>
      </c>
      <c r="V152" s="291">
        <v>100</v>
      </c>
      <c r="W152" s="307">
        <v>3607712</v>
      </c>
      <c r="X152" s="291">
        <v>6</v>
      </c>
      <c r="Y152" s="291">
        <v>1160902010</v>
      </c>
      <c r="Z152" s="291">
        <v>2023</v>
      </c>
      <c r="AA152" s="291">
        <v>12</v>
      </c>
      <c r="AB152" s="291">
        <v>5026003002</v>
      </c>
      <c r="AC152" s="291">
        <v>1160903005</v>
      </c>
      <c r="AD152" s="291">
        <v>0</v>
      </c>
      <c r="AE152" s="291">
        <v>0</v>
      </c>
      <c r="AF152" s="291">
        <v>0</v>
      </c>
      <c r="AG152" s="291">
        <v>1160605001</v>
      </c>
      <c r="AH152" s="291">
        <v>2089</v>
      </c>
      <c r="AI152" s="291" t="s">
        <v>497</v>
      </c>
      <c r="AJ152" s="308">
        <v>0.01</v>
      </c>
      <c r="AK152" s="309">
        <f t="shared" si="24"/>
        <v>12541.61</v>
      </c>
      <c r="AL152" s="309">
        <f t="shared" si="25"/>
        <v>12541.61</v>
      </c>
      <c r="AM152" s="309">
        <f t="shared" si="25"/>
        <v>12541.61</v>
      </c>
      <c r="AN152" s="309"/>
      <c r="AO152" s="309"/>
      <c r="AP152" s="309">
        <f t="shared" si="20"/>
        <v>0</v>
      </c>
      <c r="AQ152" s="309">
        <f t="shared" si="27"/>
        <v>0</v>
      </c>
      <c r="AR152" s="309">
        <f t="shared" si="27"/>
        <v>0</v>
      </c>
      <c r="AS152" s="309"/>
      <c r="AT152" s="309"/>
      <c r="AV152" s="311">
        <f t="shared" si="21"/>
        <v>1216536.1699999997</v>
      </c>
      <c r="AW152" s="311">
        <f t="shared" si="22"/>
        <v>0</v>
      </c>
      <c r="AX152" s="312">
        <f t="shared" si="23"/>
        <v>0</v>
      </c>
    </row>
    <row r="153" spans="1:50">
      <c r="A153" s="291" t="s">
        <v>494</v>
      </c>
      <c r="B153" s="291"/>
      <c r="C153" s="291"/>
      <c r="D153" s="291">
        <v>1160505001</v>
      </c>
      <c r="E153" s="291">
        <v>0</v>
      </c>
      <c r="F153" s="291">
        <v>41667</v>
      </c>
      <c r="G153" s="306">
        <v>42806</v>
      </c>
      <c r="H153" s="306">
        <v>43536</v>
      </c>
      <c r="I153" s="291">
        <v>1730</v>
      </c>
      <c r="J153" s="307">
        <v>8000000</v>
      </c>
      <c r="K153" s="307">
        <v>1600008</v>
      </c>
      <c r="L153" s="307">
        <v>0</v>
      </c>
      <c r="M153" s="291" t="s">
        <v>495</v>
      </c>
      <c r="N153" s="307">
        <v>8000000</v>
      </c>
      <c r="O153" s="307">
        <v>1600008</v>
      </c>
      <c r="P153" s="307">
        <v>6920000</v>
      </c>
      <c r="Q153" s="291">
        <v>1</v>
      </c>
      <c r="R153" s="291" t="s">
        <v>496</v>
      </c>
      <c r="S153" s="291">
        <v>100</v>
      </c>
      <c r="T153" s="307">
        <v>8000000</v>
      </c>
      <c r="U153" s="307">
        <v>1600008</v>
      </c>
      <c r="V153" s="291">
        <v>100</v>
      </c>
      <c r="W153" s="307">
        <v>3607712</v>
      </c>
      <c r="X153" s="291">
        <v>14</v>
      </c>
      <c r="Y153" s="291">
        <v>1160902010</v>
      </c>
      <c r="Z153" s="291">
        <v>2023</v>
      </c>
      <c r="AA153" s="291">
        <v>12</v>
      </c>
      <c r="AB153" s="291">
        <v>5026003002</v>
      </c>
      <c r="AC153" s="291">
        <v>1160903005</v>
      </c>
      <c r="AD153" s="291">
        <v>0</v>
      </c>
      <c r="AE153" s="291">
        <v>0</v>
      </c>
      <c r="AF153" s="291">
        <v>0</v>
      </c>
      <c r="AG153" s="291">
        <v>1160605001</v>
      </c>
      <c r="AH153" s="291">
        <v>2089</v>
      </c>
      <c r="AI153" s="291" t="s">
        <v>497</v>
      </c>
      <c r="AJ153" s="308">
        <v>0.01</v>
      </c>
      <c r="AK153" s="309">
        <f t="shared" si="24"/>
        <v>80000</v>
      </c>
      <c r="AL153" s="309">
        <f t="shared" si="25"/>
        <v>80000</v>
      </c>
      <c r="AM153" s="309">
        <f t="shared" si="25"/>
        <v>80000</v>
      </c>
      <c r="AN153" s="309"/>
      <c r="AO153" s="309"/>
      <c r="AP153" s="309">
        <f t="shared" si="20"/>
        <v>8000.04</v>
      </c>
      <c r="AQ153" s="309">
        <f t="shared" si="27"/>
        <v>8000.04</v>
      </c>
      <c r="AR153" s="309">
        <f t="shared" si="27"/>
        <v>8000.04</v>
      </c>
      <c r="AS153" s="309"/>
      <c r="AT153" s="309"/>
      <c r="AV153" s="311">
        <f t="shared" si="21"/>
        <v>7760000</v>
      </c>
      <c r="AW153" s="311">
        <f t="shared" si="22"/>
        <v>1576007.88</v>
      </c>
      <c r="AX153" s="312">
        <f t="shared" si="23"/>
        <v>0</v>
      </c>
    </row>
    <row r="154" spans="1:50">
      <c r="A154" s="291" t="s">
        <v>494</v>
      </c>
      <c r="B154" s="291"/>
      <c r="C154" s="291"/>
      <c r="D154" s="291">
        <v>1160505001</v>
      </c>
      <c r="E154" s="291">
        <v>0</v>
      </c>
      <c r="F154" s="291">
        <v>46098</v>
      </c>
      <c r="G154" s="306">
        <v>43513</v>
      </c>
      <c r="H154" s="306">
        <v>43878</v>
      </c>
      <c r="I154" s="291">
        <v>1395</v>
      </c>
      <c r="J154" s="307">
        <v>20000000</v>
      </c>
      <c r="K154" s="307">
        <v>0</v>
      </c>
      <c r="L154" s="307">
        <v>0</v>
      </c>
      <c r="M154" s="291" t="s">
        <v>495</v>
      </c>
      <c r="N154" s="307">
        <v>20000000</v>
      </c>
      <c r="O154" s="307">
        <v>0</v>
      </c>
      <c r="P154" s="307">
        <v>13950000</v>
      </c>
      <c r="Q154" s="291">
        <v>1</v>
      </c>
      <c r="R154" s="291" t="s">
        <v>496</v>
      </c>
      <c r="S154" s="291">
        <v>100</v>
      </c>
      <c r="T154" s="307">
        <v>20000000</v>
      </c>
      <c r="U154" s="307">
        <v>0</v>
      </c>
      <c r="V154" s="291">
        <v>100</v>
      </c>
      <c r="W154" s="307">
        <v>37376395</v>
      </c>
      <c r="X154" s="291">
        <v>2</v>
      </c>
      <c r="Y154" s="291">
        <v>1160902010</v>
      </c>
      <c r="Z154" s="291">
        <v>2023</v>
      </c>
      <c r="AA154" s="291">
        <v>12</v>
      </c>
      <c r="AB154" s="291">
        <v>5026003002</v>
      </c>
      <c r="AC154" s="291">
        <v>1160903005</v>
      </c>
      <c r="AD154" s="291">
        <v>0</v>
      </c>
      <c r="AE154" s="291">
        <v>0</v>
      </c>
      <c r="AF154" s="291">
        <v>0</v>
      </c>
      <c r="AG154" s="291">
        <v>1160605001</v>
      </c>
      <c r="AH154" s="291">
        <v>1395</v>
      </c>
      <c r="AI154" s="291" t="s">
        <v>497</v>
      </c>
      <c r="AJ154" s="308">
        <v>0.01</v>
      </c>
      <c r="AK154" s="309">
        <f t="shared" si="24"/>
        <v>200000</v>
      </c>
      <c r="AL154" s="309">
        <f t="shared" si="25"/>
        <v>200000</v>
      </c>
      <c r="AM154" s="309">
        <f t="shared" si="25"/>
        <v>200000</v>
      </c>
      <c r="AN154" s="309"/>
      <c r="AO154" s="309"/>
      <c r="AP154" s="309">
        <f t="shared" si="20"/>
        <v>0</v>
      </c>
      <c r="AQ154" s="309">
        <f t="shared" si="27"/>
        <v>0</v>
      </c>
      <c r="AR154" s="309">
        <f t="shared" si="27"/>
        <v>0</v>
      </c>
      <c r="AS154" s="309"/>
      <c r="AT154" s="309"/>
      <c r="AV154" s="311">
        <f t="shared" si="21"/>
        <v>19400000</v>
      </c>
      <c r="AW154" s="311">
        <f t="shared" si="22"/>
        <v>0</v>
      </c>
      <c r="AX154" s="312">
        <f t="shared" si="23"/>
        <v>0</v>
      </c>
    </row>
    <row r="155" spans="1:50">
      <c r="A155" s="291" t="s">
        <v>494</v>
      </c>
      <c r="B155" s="291"/>
      <c r="C155" s="291"/>
      <c r="D155" s="291">
        <v>1160505001</v>
      </c>
      <c r="E155" s="291">
        <v>0</v>
      </c>
      <c r="F155" s="291">
        <v>47249</v>
      </c>
      <c r="G155" s="306">
        <v>43695</v>
      </c>
      <c r="H155" s="306">
        <v>43817</v>
      </c>
      <c r="I155" s="291">
        <v>1454</v>
      </c>
      <c r="J155" s="307">
        <v>917400</v>
      </c>
      <c r="K155" s="307">
        <v>0</v>
      </c>
      <c r="L155" s="307">
        <v>0</v>
      </c>
      <c r="M155" s="291" t="s">
        <v>495</v>
      </c>
      <c r="N155" s="307">
        <v>917400</v>
      </c>
      <c r="O155" s="307">
        <v>0</v>
      </c>
      <c r="P155" s="307">
        <v>666950</v>
      </c>
      <c r="Q155" s="291">
        <v>1</v>
      </c>
      <c r="R155" s="291" t="s">
        <v>496</v>
      </c>
      <c r="S155" s="291">
        <v>100</v>
      </c>
      <c r="T155" s="307">
        <v>917400</v>
      </c>
      <c r="U155" s="307">
        <v>0</v>
      </c>
      <c r="V155" s="291">
        <v>100</v>
      </c>
      <c r="W155" s="307">
        <v>1238274</v>
      </c>
      <c r="X155" s="291">
        <v>2</v>
      </c>
      <c r="Y155" s="291">
        <v>1160902010</v>
      </c>
      <c r="Z155" s="291">
        <v>2023</v>
      </c>
      <c r="AA155" s="291">
        <v>12</v>
      </c>
      <c r="AB155" s="291">
        <v>5026003002</v>
      </c>
      <c r="AC155" s="291">
        <v>1160903005</v>
      </c>
      <c r="AD155" s="291">
        <v>0</v>
      </c>
      <c r="AE155" s="291">
        <v>0</v>
      </c>
      <c r="AF155" s="291">
        <v>0</v>
      </c>
      <c r="AG155" s="291">
        <v>1160605001</v>
      </c>
      <c r="AH155" s="291">
        <v>1454</v>
      </c>
      <c r="AI155" s="291" t="s">
        <v>497</v>
      </c>
      <c r="AJ155" s="308">
        <v>0.01</v>
      </c>
      <c r="AK155" s="309">
        <f t="shared" si="24"/>
        <v>9174</v>
      </c>
      <c r="AL155" s="309">
        <f t="shared" si="25"/>
        <v>9174</v>
      </c>
      <c r="AM155" s="309">
        <f t="shared" si="25"/>
        <v>9174</v>
      </c>
      <c r="AN155" s="309"/>
      <c r="AO155" s="309"/>
      <c r="AP155" s="309">
        <f t="shared" si="20"/>
        <v>0</v>
      </c>
      <c r="AQ155" s="309">
        <f t="shared" si="27"/>
        <v>0</v>
      </c>
      <c r="AR155" s="309">
        <f t="shared" si="27"/>
        <v>0</v>
      </c>
      <c r="AS155" s="309"/>
      <c r="AT155" s="309"/>
      <c r="AV155" s="311">
        <f t="shared" si="21"/>
        <v>889878</v>
      </c>
      <c r="AW155" s="311">
        <f t="shared" si="22"/>
        <v>0</v>
      </c>
      <c r="AX155" s="312">
        <f t="shared" si="23"/>
        <v>0</v>
      </c>
    </row>
    <row r="156" spans="1:50">
      <c r="A156" s="291" t="s">
        <v>494</v>
      </c>
      <c r="B156" s="291"/>
      <c r="C156" s="291"/>
      <c r="D156" s="291">
        <v>1160505002</v>
      </c>
      <c r="E156" s="291">
        <v>0</v>
      </c>
      <c r="F156" s="291">
        <v>46273</v>
      </c>
      <c r="G156" s="306">
        <v>43527</v>
      </c>
      <c r="H156" s="306">
        <v>43893</v>
      </c>
      <c r="I156" s="291">
        <v>1379</v>
      </c>
      <c r="J156" s="307">
        <v>4450300</v>
      </c>
      <c r="K156" s="307">
        <v>801059</v>
      </c>
      <c r="L156" s="307">
        <v>0</v>
      </c>
      <c r="M156" s="291" t="s">
        <v>495</v>
      </c>
      <c r="N156" s="307">
        <v>4450300</v>
      </c>
      <c r="O156" s="307">
        <v>801059</v>
      </c>
      <c r="P156" s="307">
        <v>3068482</v>
      </c>
      <c r="Q156" s="291">
        <v>1</v>
      </c>
      <c r="R156" s="291" t="s">
        <v>496</v>
      </c>
      <c r="S156" s="291">
        <v>100</v>
      </c>
      <c r="T156" s="307">
        <v>4450300</v>
      </c>
      <c r="U156" s="307">
        <v>801059</v>
      </c>
      <c r="V156" s="291">
        <v>100</v>
      </c>
      <c r="W156" s="307">
        <v>1238274</v>
      </c>
      <c r="X156" s="291">
        <v>6</v>
      </c>
      <c r="Y156" s="291">
        <v>1160902010</v>
      </c>
      <c r="Z156" s="291">
        <v>2023</v>
      </c>
      <c r="AA156" s="291">
        <v>12</v>
      </c>
      <c r="AB156" s="291">
        <v>5026003002</v>
      </c>
      <c r="AC156" s="291">
        <v>1160903005</v>
      </c>
      <c r="AD156" s="291">
        <v>0</v>
      </c>
      <c r="AE156" s="291">
        <v>0</v>
      </c>
      <c r="AF156" s="291">
        <v>0</v>
      </c>
      <c r="AG156" s="291">
        <v>1160605001</v>
      </c>
      <c r="AH156" s="291">
        <v>1454</v>
      </c>
      <c r="AI156" s="291" t="s">
        <v>497</v>
      </c>
      <c r="AJ156" s="308">
        <v>0.01</v>
      </c>
      <c r="AK156" s="309">
        <f t="shared" si="24"/>
        <v>44503</v>
      </c>
      <c r="AL156" s="309">
        <f t="shared" si="25"/>
        <v>44503</v>
      </c>
      <c r="AM156" s="309">
        <f t="shared" si="25"/>
        <v>44503</v>
      </c>
      <c r="AN156" s="309"/>
      <c r="AO156" s="309"/>
      <c r="AP156" s="309">
        <f t="shared" si="20"/>
        <v>4005.2950000000001</v>
      </c>
      <c r="AQ156" s="309">
        <f t="shared" si="27"/>
        <v>4005.2950000000001</v>
      </c>
      <c r="AR156" s="309">
        <f t="shared" si="27"/>
        <v>4005.2950000000001</v>
      </c>
      <c r="AS156" s="309"/>
      <c r="AT156" s="309"/>
      <c r="AV156" s="311">
        <f t="shared" si="21"/>
        <v>4316791</v>
      </c>
      <c r="AW156" s="311">
        <f t="shared" si="22"/>
        <v>789043.11499999987</v>
      </c>
      <c r="AX156" s="312">
        <f t="shared" si="23"/>
        <v>0</v>
      </c>
    </row>
    <row r="157" spans="1:50">
      <c r="A157" s="291" t="s">
        <v>494</v>
      </c>
      <c r="B157" s="291"/>
      <c r="C157" s="291"/>
      <c r="D157" s="291">
        <v>1160505001</v>
      </c>
      <c r="E157" s="291">
        <v>0</v>
      </c>
      <c r="F157" s="291">
        <v>42597</v>
      </c>
      <c r="G157" s="306">
        <v>42932</v>
      </c>
      <c r="H157" s="306">
        <v>44758</v>
      </c>
      <c r="I157" s="291">
        <v>526</v>
      </c>
      <c r="J157" s="307">
        <v>3000000</v>
      </c>
      <c r="K157" s="307">
        <v>247000</v>
      </c>
      <c r="L157" s="307">
        <v>0</v>
      </c>
      <c r="M157" s="291" t="s">
        <v>495</v>
      </c>
      <c r="N157" s="307">
        <v>3000000</v>
      </c>
      <c r="O157" s="307">
        <v>247000</v>
      </c>
      <c r="P157" s="307">
        <v>789000</v>
      </c>
      <c r="Q157" s="291">
        <v>1</v>
      </c>
      <c r="R157" s="291" t="s">
        <v>496</v>
      </c>
      <c r="S157" s="291">
        <v>100</v>
      </c>
      <c r="T157" s="307">
        <v>3000000</v>
      </c>
      <c r="U157" s="307">
        <v>247000</v>
      </c>
      <c r="V157" s="291">
        <v>100</v>
      </c>
      <c r="W157" s="307">
        <v>7394732</v>
      </c>
      <c r="X157" s="291">
        <v>14</v>
      </c>
      <c r="Y157" s="291">
        <v>1160902010</v>
      </c>
      <c r="Z157" s="291">
        <v>2023</v>
      </c>
      <c r="AA157" s="291">
        <v>12</v>
      </c>
      <c r="AB157" s="291">
        <v>5026003002</v>
      </c>
      <c r="AC157" s="291">
        <v>1160903005</v>
      </c>
      <c r="AD157" s="291">
        <v>0</v>
      </c>
      <c r="AE157" s="291">
        <v>0</v>
      </c>
      <c r="AF157" s="291">
        <v>0</v>
      </c>
      <c r="AG157" s="291">
        <v>1160605001</v>
      </c>
      <c r="AH157" s="291">
        <v>619</v>
      </c>
      <c r="AI157" s="291" t="s">
        <v>498</v>
      </c>
      <c r="AJ157" s="308">
        <v>0.1</v>
      </c>
      <c r="AK157" s="309">
        <f t="shared" si="24"/>
        <v>300000</v>
      </c>
      <c r="AL157" s="309">
        <f t="shared" si="25"/>
        <v>300000</v>
      </c>
      <c r="AM157" s="309">
        <f t="shared" si="25"/>
        <v>300000</v>
      </c>
      <c r="AN157" s="309"/>
      <c r="AO157" s="309"/>
      <c r="AP157" s="309">
        <f t="shared" si="20"/>
        <v>12350</v>
      </c>
      <c r="AQ157" s="309">
        <f t="shared" si="27"/>
        <v>12350</v>
      </c>
      <c r="AR157" s="309">
        <f t="shared" si="27"/>
        <v>12350</v>
      </c>
      <c r="AS157" s="309"/>
      <c r="AT157" s="309"/>
      <c r="AV157" s="311">
        <f t="shared" si="21"/>
        <v>2100000</v>
      </c>
      <c r="AW157" s="311">
        <f t="shared" si="22"/>
        <v>209950</v>
      </c>
      <c r="AX157" s="312">
        <f t="shared" si="23"/>
        <v>0</v>
      </c>
    </row>
    <row r="158" spans="1:50">
      <c r="A158" s="291" t="s">
        <v>494</v>
      </c>
      <c r="B158" s="291"/>
      <c r="C158" s="291"/>
      <c r="D158" s="291">
        <v>1160505004</v>
      </c>
      <c r="E158" s="291">
        <v>0</v>
      </c>
      <c r="F158" s="291">
        <v>43900</v>
      </c>
      <c r="G158" s="306">
        <v>43568</v>
      </c>
      <c r="H158" s="306">
        <v>44664</v>
      </c>
      <c r="I158" s="291">
        <v>619</v>
      </c>
      <c r="J158" s="307">
        <v>0</v>
      </c>
      <c r="K158" s="307">
        <v>554419</v>
      </c>
      <c r="L158" s="307">
        <v>0</v>
      </c>
      <c r="M158" s="291" t="s">
        <v>495</v>
      </c>
      <c r="N158" s="307">
        <v>0</v>
      </c>
      <c r="O158" s="307">
        <v>554419</v>
      </c>
      <c r="P158" s="307">
        <v>0</v>
      </c>
      <c r="Q158" s="291">
        <v>1</v>
      </c>
      <c r="R158" s="291" t="s">
        <v>496</v>
      </c>
      <c r="S158" s="291">
        <v>100</v>
      </c>
      <c r="T158" s="307">
        <v>0</v>
      </c>
      <c r="U158" s="307">
        <v>554419</v>
      </c>
      <c r="V158" s="291">
        <v>100</v>
      </c>
      <c r="W158" s="307">
        <v>7394732</v>
      </c>
      <c r="X158" s="291">
        <v>5</v>
      </c>
      <c r="Y158" s="291">
        <v>1160902010</v>
      </c>
      <c r="Z158" s="291">
        <v>2023</v>
      </c>
      <c r="AA158" s="291">
        <v>12</v>
      </c>
      <c r="AB158" s="291">
        <v>5026003002</v>
      </c>
      <c r="AC158" s="291">
        <v>1160903005</v>
      </c>
      <c r="AD158" s="291">
        <v>0</v>
      </c>
      <c r="AE158" s="291">
        <v>0</v>
      </c>
      <c r="AF158" s="291">
        <v>0</v>
      </c>
      <c r="AG158" s="291">
        <v>1160605001</v>
      </c>
      <c r="AH158" s="291">
        <v>619</v>
      </c>
      <c r="AI158" s="291" t="s">
        <v>498</v>
      </c>
      <c r="AJ158" s="308">
        <v>0.1</v>
      </c>
      <c r="AK158" s="309">
        <f t="shared" si="24"/>
        <v>0</v>
      </c>
      <c r="AL158" s="309">
        <f t="shared" si="25"/>
        <v>0</v>
      </c>
      <c r="AM158" s="309">
        <f t="shared" si="25"/>
        <v>0</v>
      </c>
      <c r="AN158" s="309"/>
      <c r="AO158" s="309"/>
      <c r="AP158" s="309">
        <f t="shared" si="20"/>
        <v>27720.95</v>
      </c>
      <c r="AQ158" s="309">
        <f t="shared" si="27"/>
        <v>27720.95</v>
      </c>
      <c r="AR158" s="309">
        <f t="shared" si="27"/>
        <v>27720.95</v>
      </c>
      <c r="AS158" s="309"/>
      <c r="AT158" s="309"/>
      <c r="AV158" s="311">
        <f t="shared" si="21"/>
        <v>0</v>
      </c>
      <c r="AW158" s="311">
        <f t="shared" si="22"/>
        <v>471256.15</v>
      </c>
      <c r="AX158" s="312">
        <f t="shared" si="23"/>
        <v>0</v>
      </c>
    </row>
    <row r="159" spans="1:50">
      <c r="A159" s="291" t="s">
        <v>494</v>
      </c>
      <c r="B159" s="291"/>
      <c r="C159" s="291"/>
      <c r="D159" s="291">
        <v>1160505001</v>
      </c>
      <c r="E159" s="291">
        <v>0</v>
      </c>
      <c r="F159" s="291">
        <v>45170</v>
      </c>
      <c r="G159" s="306">
        <v>43324</v>
      </c>
      <c r="H159" s="306">
        <v>43689</v>
      </c>
      <c r="I159" s="291">
        <v>1580</v>
      </c>
      <c r="J159" s="307">
        <v>20000000</v>
      </c>
      <c r="K159" s="307">
        <v>1800000</v>
      </c>
      <c r="L159" s="307">
        <v>0</v>
      </c>
      <c r="M159" s="291" t="s">
        <v>495</v>
      </c>
      <c r="N159" s="307">
        <v>20000000</v>
      </c>
      <c r="O159" s="307">
        <v>1800000</v>
      </c>
      <c r="P159" s="307">
        <v>15800000</v>
      </c>
      <c r="Q159" s="291">
        <v>1</v>
      </c>
      <c r="R159" s="291" t="s">
        <v>496</v>
      </c>
      <c r="S159" s="291">
        <v>100</v>
      </c>
      <c r="T159" s="307">
        <v>20000000</v>
      </c>
      <c r="U159" s="307">
        <v>1800000</v>
      </c>
      <c r="V159" s="291">
        <v>100</v>
      </c>
      <c r="W159" s="307">
        <v>9172613</v>
      </c>
      <c r="X159" s="291">
        <v>2</v>
      </c>
      <c r="Y159" s="291">
        <v>1160902010</v>
      </c>
      <c r="Z159" s="291">
        <v>2023</v>
      </c>
      <c r="AA159" s="291">
        <v>12</v>
      </c>
      <c r="AB159" s="291">
        <v>5026003002</v>
      </c>
      <c r="AC159" s="291">
        <v>1160903005</v>
      </c>
      <c r="AD159" s="291">
        <v>0</v>
      </c>
      <c r="AE159" s="291">
        <v>0</v>
      </c>
      <c r="AF159" s="291">
        <v>0</v>
      </c>
      <c r="AG159" s="291">
        <v>1160605001</v>
      </c>
      <c r="AH159" s="291">
        <v>1580</v>
      </c>
      <c r="AI159" s="291" t="s">
        <v>497</v>
      </c>
      <c r="AJ159" s="308">
        <v>0.01</v>
      </c>
      <c r="AK159" s="309">
        <f t="shared" si="24"/>
        <v>200000</v>
      </c>
      <c r="AL159" s="309">
        <f t="shared" si="25"/>
        <v>200000</v>
      </c>
      <c r="AM159" s="309">
        <f t="shared" si="25"/>
        <v>200000</v>
      </c>
      <c r="AN159" s="309"/>
      <c r="AO159" s="309"/>
      <c r="AP159" s="309">
        <f t="shared" si="20"/>
        <v>9000</v>
      </c>
      <c r="AQ159" s="309">
        <f t="shared" si="27"/>
        <v>9000</v>
      </c>
      <c r="AR159" s="309">
        <f t="shared" si="27"/>
        <v>9000</v>
      </c>
      <c r="AS159" s="309"/>
      <c r="AT159" s="309"/>
      <c r="AV159" s="311">
        <f t="shared" si="21"/>
        <v>19400000</v>
      </c>
      <c r="AW159" s="311">
        <f t="shared" si="22"/>
        <v>1773000</v>
      </c>
      <c r="AX159" s="312">
        <f t="shared" si="23"/>
        <v>0</v>
      </c>
    </row>
    <row r="160" spans="1:50">
      <c r="A160" s="291" t="s">
        <v>494</v>
      </c>
      <c r="B160" s="291"/>
      <c r="C160" s="291"/>
      <c r="D160" s="291">
        <v>1160505001</v>
      </c>
      <c r="E160" s="291">
        <v>0</v>
      </c>
      <c r="F160" s="291">
        <v>45775</v>
      </c>
      <c r="G160" s="306">
        <v>43486</v>
      </c>
      <c r="H160" s="306">
        <v>44217</v>
      </c>
      <c r="I160" s="291">
        <v>1061</v>
      </c>
      <c r="J160" s="307">
        <v>1939417</v>
      </c>
      <c r="K160" s="307">
        <v>0</v>
      </c>
      <c r="L160" s="307">
        <v>0</v>
      </c>
      <c r="M160" s="291" t="s">
        <v>495</v>
      </c>
      <c r="N160" s="307">
        <v>1939417</v>
      </c>
      <c r="O160" s="307">
        <v>0</v>
      </c>
      <c r="P160" s="307">
        <v>1028861</v>
      </c>
      <c r="Q160" s="291">
        <v>1</v>
      </c>
      <c r="R160" s="291" t="s">
        <v>496</v>
      </c>
      <c r="S160" s="291">
        <v>100</v>
      </c>
      <c r="T160" s="307">
        <v>1939417</v>
      </c>
      <c r="U160" s="307">
        <v>0</v>
      </c>
      <c r="V160" s="291">
        <v>100</v>
      </c>
      <c r="W160" s="307">
        <v>2504045</v>
      </c>
      <c r="X160" s="291">
        <v>2</v>
      </c>
      <c r="Y160" s="291">
        <v>1160902010</v>
      </c>
      <c r="Z160" s="291">
        <v>2023</v>
      </c>
      <c r="AA160" s="291">
        <v>12</v>
      </c>
      <c r="AB160" s="291">
        <v>5026003002</v>
      </c>
      <c r="AC160" s="291">
        <v>1160903005</v>
      </c>
      <c r="AD160" s="291">
        <v>0</v>
      </c>
      <c r="AE160" s="291">
        <v>0</v>
      </c>
      <c r="AF160" s="291">
        <v>0</v>
      </c>
      <c r="AG160" s="291">
        <v>1160605001</v>
      </c>
      <c r="AH160" s="291">
        <v>1061</v>
      </c>
      <c r="AI160" s="291" t="s">
        <v>499</v>
      </c>
      <c r="AJ160" s="308">
        <v>0.05</v>
      </c>
      <c r="AK160" s="309">
        <f t="shared" si="24"/>
        <v>96970.85</v>
      </c>
      <c r="AL160" s="309">
        <f t="shared" si="25"/>
        <v>96970.85</v>
      </c>
      <c r="AM160" s="309">
        <f t="shared" si="25"/>
        <v>96970.85</v>
      </c>
      <c r="AN160" s="309"/>
      <c r="AO160" s="309"/>
      <c r="AP160" s="309">
        <f t="shared" si="20"/>
        <v>0</v>
      </c>
      <c r="AQ160" s="309">
        <f t="shared" si="27"/>
        <v>0</v>
      </c>
      <c r="AR160" s="309">
        <f t="shared" si="27"/>
        <v>0</v>
      </c>
      <c r="AS160" s="309"/>
      <c r="AT160" s="309"/>
      <c r="AV160" s="311">
        <f t="shared" si="21"/>
        <v>1648504.4499999997</v>
      </c>
      <c r="AW160" s="311">
        <f t="shared" si="22"/>
        <v>0</v>
      </c>
      <c r="AX160" s="312">
        <f t="shared" si="23"/>
        <v>0</v>
      </c>
    </row>
    <row r="161" spans="1:50">
      <c r="A161" s="291" t="s">
        <v>494</v>
      </c>
      <c r="B161" s="291"/>
      <c r="C161" s="291"/>
      <c r="D161" s="291">
        <v>1160505001</v>
      </c>
      <c r="E161" s="291">
        <v>0</v>
      </c>
      <c r="F161" s="291">
        <v>45731</v>
      </c>
      <c r="G161" s="306">
        <v>43483</v>
      </c>
      <c r="H161" s="306">
        <v>44214</v>
      </c>
      <c r="I161" s="291">
        <v>1064</v>
      </c>
      <c r="J161" s="307">
        <v>8493900</v>
      </c>
      <c r="K161" s="307">
        <v>0</v>
      </c>
      <c r="L161" s="307">
        <v>0</v>
      </c>
      <c r="M161" s="291" t="s">
        <v>495</v>
      </c>
      <c r="N161" s="307">
        <v>8493900</v>
      </c>
      <c r="O161" s="307">
        <v>0</v>
      </c>
      <c r="P161" s="307">
        <v>4518755</v>
      </c>
      <c r="Q161" s="291">
        <v>1</v>
      </c>
      <c r="R161" s="291" t="s">
        <v>496</v>
      </c>
      <c r="S161" s="291">
        <v>100</v>
      </c>
      <c r="T161" s="307">
        <v>8493900</v>
      </c>
      <c r="U161" s="307">
        <v>0</v>
      </c>
      <c r="V161" s="291">
        <v>100</v>
      </c>
      <c r="W161" s="307">
        <v>5778152</v>
      </c>
      <c r="X161" s="291">
        <v>2</v>
      </c>
      <c r="Y161" s="291">
        <v>1160902010</v>
      </c>
      <c r="Z161" s="291">
        <v>2023</v>
      </c>
      <c r="AA161" s="291">
        <v>12</v>
      </c>
      <c r="AB161" s="291">
        <v>5026003002</v>
      </c>
      <c r="AC161" s="291">
        <v>1160903005</v>
      </c>
      <c r="AD161" s="291">
        <v>0</v>
      </c>
      <c r="AE161" s="291">
        <v>0</v>
      </c>
      <c r="AF161" s="291">
        <v>0</v>
      </c>
      <c r="AG161" s="291">
        <v>1160605001</v>
      </c>
      <c r="AH161" s="291">
        <v>1064</v>
      </c>
      <c r="AI161" s="291" t="s">
        <v>499</v>
      </c>
      <c r="AJ161" s="308">
        <v>0.05</v>
      </c>
      <c r="AK161" s="309">
        <f t="shared" si="24"/>
        <v>424695</v>
      </c>
      <c r="AL161" s="309">
        <f t="shared" si="25"/>
        <v>424695</v>
      </c>
      <c r="AM161" s="309">
        <f t="shared" si="25"/>
        <v>424695</v>
      </c>
      <c r="AN161" s="309"/>
      <c r="AO161" s="309"/>
      <c r="AP161" s="309">
        <f t="shared" si="20"/>
        <v>0</v>
      </c>
      <c r="AQ161" s="309">
        <f t="shared" si="27"/>
        <v>0</v>
      </c>
      <c r="AR161" s="309">
        <f t="shared" si="27"/>
        <v>0</v>
      </c>
      <c r="AS161" s="309"/>
      <c r="AT161" s="309"/>
      <c r="AV161" s="311">
        <f t="shared" si="21"/>
        <v>7219815</v>
      </c>
      <c r="AW161" s="311">
        <f t="shared" si="22"/>
        <v>0</v>
      </c>
      <c r="AX161" s="312">
        <f t="shared" si="23"/>
        <v>0</v>
      </c>
    </row>
    <row r="162" spans="1:50">
      <c r="A162" s="291" t="s">
        <v>494</v>
      </c>
      <c r="B162" s="291"/>
      <c r="C162" s="291"/>
      <c r="D162" s="291">
        <v>1160505004</v>
      </c>
      <c r="E162" s="291">
        <v>36621</v>
      </c>
      <c r="F162" s="291">
        <v>44522</v>
      </c>
      <c r="G162" s="306">
        <v>43239</v>
      </c>
      <c r="H162" s="306">
        <v>44335</v>
      </c>
      <c r="I162" s="291">
        <v>943</v>
      </c>
      <c r="J162" s="307">
        <v>7018663</v>
      </c>
      <c r="K162" s="307">
        <v>0</v>
      </c>
      <c r="L162" s="307">
        <v>0</v>
      </c>
      <c r="M162" s="291" t="s">
        <v>495</v>
      </c>
      <c r="N162" s="307">
        <v>7018663</v>
      </c>
      <c r="O162" s="307">
        <v>0</v>
      </c>
      <c r="P162" s="307">
        <v>3309300</v>
      </c>
      <c r="Q162" s="291">
        <v>1</v>
      </c>
      <c r="R162" s="291" t="s">
        <v>496</v>
      </c>
      <c r="S162" s="291">
        <v>100</v>
      </c>
      <c r="T162" s="307">
        <v>7018663</v>
      </c>
      <c r="U162" s="307">
        <v>0</v>
      </c>
      <c r="V162" s="291">
        <v>500</v>
      </c>
      <c r="W162" s="307">
        <v>9679933</v>
      </c>
      <c r="X162" s="291">
        <v>5</v>
      </c>
      <c r="Y162" s="291">
        <v>1160902010</v>
      </c>
      <c r="Z162" s="291">
        <v>2023</v>
      </c>
      <c r="AA162" s="291">
        <v>12</v>
      </c>
      <c r="AB162" s="291">
        <v>5026003002</v>
      </c>
      <c r="AC162" s="291">
        <v>1160903005</v>
      </c>
      <c r="AD162" s="291">
        <v>0</v>
      </c>
      <c r="AE162" s="291">
        <v>0</v>
      </c>
      <c r="AF162" s="291">
        <v>0</v>
      </c>
      <c r="AG162" s="291">
        <v>1160605001</v>
      </c>
      <c r="AH162" s="291">
        <v>943</v>
      </c>
      <c r="AI162" s="291" t="s">
        <v>499</v>
      </c>
      <c r="AJ162" s="308">
        <v>0.05</v>
      </c>
      <c r="AK162" s="309">
        <f t="shared" si="24"/>
        <v>350933.15</v>
      </c>
      <c r="AL162" s="309">
        <f t="shared" si="25"/>
        <v>350933.15</v>
      </c>
      <c r="AM162" s="309">
        <f t="shared" si="25"/>
        <v>350933.15</v>
      </c>
      <c r="AN162" s="309"/>
      <c r="AO162" s="309"/>
      <c r="AP162" s="309">
        <f t="shared" si="20"/>
        <v>0</v>
      </c>
      <c r="AQ162" s="309">
        <f t="shared" si="27"/>
        <v>0</v>
      </c>
      <c r="AR162" s="309">
        <f t="shared" si="27"/>
        <v>0</v>
      </c>
      <c r="AS162" s="309"/>
      <c r="AT162" s="309"/>
      <c r="AV162" s="311">
        <f t="shared" si="21"/>
        <v>5965863.5499999989</v>
      </c>
      <c r="AW162" s="311">
        <f t="shared" si="22"/>
        <v>0</v>
      </c>
      <c r="AX162" s="312">
        <f t="shared" si="23"/>
        <v>0</v>
      </c>
    </row>
    <row r="163" spans="1:50">
      <c r="A163" s="291" t="s">
        <v>494</v>
      </c>
      <c r="B163" s="291"/>
      <c r="C163" s="291"/>
      <c r="D163" s="291">
        <v>1160505004</v>
      </c>
      <c r="E163" s="291">
        <v>0</v>
      </c>
      <c r="F163" s="291">
        <v>36621</v>
      </c>
      <c r="G163" s="306">
        <v>43239</v>
      </c>
      <c r="H163" s="306">
        <v>44335</v>
      </c>
      <c r="I163" s="291">
        <v>943</v>
      </c>
      <c r="J163" s="307">
        <v>0</v>
      </c>
      <c r="K163" s="307">
        <v>3804048</v>
      </c>
      <c r="L163" s="307">
        <v>0</v>
      </c>
      <c r="M163" s="291" t="s">
        <v>495</v>
      </c>
      <c r="N163" s="307">
        <v>0</v>
      </c>
      <c r="O163" s="307">
        <v>3804048</v>
      </c>
      <c r="P163" s="307">
        <v>0</v>
      </c>
      <c r="Q163" s="291">
        <v>1</v>
      </c>
      <c r="R163" s="291" t="s">
        <v>496</v>
      </c>
      <c r="S163" s="291">
        <v>100</v>
      </c>
      <c r="T163" s="307">
        <v>0</v>
      </c>
      <c r="U163" s="307">
        <v>3804048</v>
      </c>
      <c r="V163" s="291">
        <v>500</v>
      </c>
      <c r="W163" s="307">
        <v>9679933</v>
      </c>
      <c r="X163" s="291">
        <v>5</v>
      </c>
      <c r="Y163" s="291">
        <v>1160902010</v>
      </c>
      <c r="Z163" s="291">
        <v>2023</v>
      </c>
      <c r="AA163" s="291">
        <v>12</v>
      </c>
      <c r="AB163" s="291">
        <v>5026003002</v>
      </c>
      <c r="AC163" s="291">
        <v>1160903005</v>
      </c>
      <c r="AD163" s="291">
        <v>0</v>
      </c>
      <c r="AE163" s="291">
        <v>0</v>
      </c>
      <c r="AF163" s="291">
        <v>0</v>
      </c>
      <c r="AG163" s="291">
        <v>1160605001</v>
      </c>
      <c r="AH163" s="291">
        <v>943</v>
      </c>
      <c r="AI163" s="291" t="s">
        <v>499</v>
      </c>
      <c r="AJ163" s="308">
        <v>0.05</v>
      </c>
      <c r="AK163" s="309">
        <f t="shared" si="24"/>
        <v>0</v>
      </c>
      <c r="AL163" s="309">
        <f t="shared" si="25"/>
        <v>0</v>
      </c>
      <c r="AM163" s="309">
        <f t="shared" si="25"/>
        <v>0</v>
      </c>
      <c r="AN163" s="309"/>
      <c r="AO163" s="309"/>
      <c r="AP163" s="309">
        <f t="shared" si="20"/>
        <v>95101.200000000012</v>
      </c>
      <c r="AQ163" s="309">
        <f t="shared" si="27"/>
        <v>95101.200000000012</v>
      </c>
      <c r="AR163" s="309">
        <f t="shared" si="27"/>
        <v>95101.200000000012</v>
      </c>
      <c r="AS163" s="309"/>
      <c r="AT163" s="309"/>
      <c r="AV163" s="311">
        <f t="shared" si="21"/>
        <v>0</v>
      </c>
      <c r="AW163" s="311">
        <f t="shared" si="22"/>
        <v>3518744.3999999994</v>
      </c>
      <c r="AX163" s="312">
        <f t="shared" si="23"/>
        <v>0</v>
      </c>
    </row>
    <row r="164" spans="1:50">
      <c r="A164" s="291" t="s">
        <v>494</v>
      </c>
      <c r="B164" s="291"/>
      <c r="C164" s="291"/>
      <c r="D164" s="291">
        <v>1160505004</v>
      </c>
      <c r="E164" s="291">
        <v>26268</v>
      </c>
      <c r="F164" s="291">
        <v>458</v>
      </c>
      <c r="G164" s="306">
        <v>41945</v>
      </c>
      <c r="H164" s="306">
        <v>43041</v>
      </c>
      <c r="I164" s="291">
        <v>2220</v>
      </c>
      <c r="J164" s="307">
        <v>1555300</v>
      </c>
      <c r="K164" s="307">
        <v>0</v>
      </c>
      <c r="L164" s="307">
        <v>0</v>
      </c>
      <c r="M164" s="291" t="s">
        <v>495</v>
      </c>
      <c r="N164" s="307">
        <v>1555300</v>
      </c>
      <c r="O164" s="307">
        <v>0</v>
      </c>
      <c r="P164" s="307">
        <v>1726383</v>
      </c>
      <c r="Q164" s="291">
        <v>1</v>
      </c>
      <c r="R164" s="291" t="s">
        <v>496</v>
      </c>
      <c r="S164" s="291">
        <v>100</v>
      </c>
      <c r="T164" s="307">
        <v>1555300</v>
      </c>
      <c r="U164" s="307">
        <v>0</v>
      </c>
      <c r="V164" s="291">
        <v>100</v>
      </c>
      <c r="W164" s="307">
        <v>4361078</v>
      </c>
      <c r="X164" s="291">
        <v>5</v>
      </c>
      <c r="Y164" s="291">
        <v>1160902010</v>
      </c>
      <c r="Z164" s="291">
        <v>2023</v>
      </c>
      <c r="AA164" s="291">
        <v>12</v>
      </c>
      <c r="AB164" s="291">
        <v>5026003002</v>
      </c>
      <c r="AC164" s="291">
        <v>1160903005</v>
      </c>
      <c r="AD164" s="291">
        <v>0</v>
      </c>
      <c r="AE164" s="291">
        <v>0</v>
      </c>
      <c r="AF164" s="291">
        <v>0</v>
      </c>
      <c r="AG164" s="291">
        <v>1160605001</v>
      </c>
      <c r="AH164" s="291">
        <v>2220</v>
      </c>
      <c r="AI164" s="291" t="s">
        <v>497</v>
      </c>
      <c r="AJ164" s="308">
        <v>0.01</v>
      </c>
      <c r="AK164" s="309">
        <f t="shared" si="24"/>
        <v>15553</v>
      </c>
      <c r="AL164" s="309">
        <f t="shared" si="25"/>
        <v>15553</v>
      </c>
      <c r="AM164" s="309">
        <f t="shared" si="25"/>
        <v>15553</v>
      </c>
      <c r="AN164" s="309"/>
      <c r="AO164" s="309"/>
      <c r="AP164" s="309">
        <f t="shared" si="20"/>
        <v>0</v>
      </c>
      <c r="AQ164" s="309">
        <f t="shared" si="27"/>
        <v>0</v>
      </c>
      <c r="AR164" s="309">
        <f t="shared" si="27"/>
        <v>0</v>
      </c>
      <c r="AS164" s="309"/>
      <c r="AT164" s="309"/>
      <c r="AV164" s="311">
        <f t="shared" si="21"/>
        <v>1508641</v>
      </c>
      <c r="AW164" s="311">
        <f t="shared" si="22"/>
        <v>0</v>
      </c>
      <c r="AX164" s="312">
        <f t="shared" si="23"/>
        <v>0</v>
      </c>
    </row>
    <row r="165" spans="1:50">
      <c r="A165" s="291" t="s">
        <v>494</v>
      </c>
      <c r="B165" s="291"/>
      <c r="C165" s="291"/>
      <c r="D165" s="291">
        <v>1160505001</v>
      </c>
      <c r="E165" s="291">
        <v>0</v>
      </c>
      <c r="F165" s="291">
        <v>43521</v>
      </c>
      <c r="G165" s="306">
        <v>43135</v>
      </c>
      <c r="H165" s="306">
        <v>43865</v>
      </c>
      <c r="I165" s="291">
        <v>1408</v>
      </c>
      <c r="J165" s="307">
        <v>523288</v>
      </c>
      <c r="K165" s="307">
        <v>0</v>
      </c>
      <c r="L165" s="307">
        <v>0</v>
      </c>
      <c r="M165" s="291" t="s">
        <v>495</v>
      </c>
      <c r="N165" s="307">
        <v>523288</v>
      </c>
      <c r="O165" s="307">
        <v>0</v>
      </c>
      <c r="P165" s="307">
        <v>368395</v>
      </c>
      <c r="Q165" s="291">
        <v>1</v>
      </c>
      <c r="R165" s="291" t="s">
        <v>496</v>
      </c>
      <c r="S165" s="291">
        <v>100</v>
      </c>
      <c r="T165" s="307">
        <v>523288</v>
      </c>
      <c r="U165" s="307">
        <v>0</v>
      </c>
      <c r="V165" s="291">
        <v>100</v>
      </c>
      <c r="W165" s="307">
        <v>4466935</v>
      </c>
      <c r="X165" s="291">
        <v>2</v>
      </c>
      <c r="Y165" s="291">
        <v>1160902010</v>
      </c>
      <c r="Z165" s="291">
        <v>2023</v>
      </c>
      <c r="AA165" s="291">
        <v>12</v>
      </c>
      <c r="AB165" s="291">
        <v>5026003002</v>
      </c>
      <c r="AC165" s="291">
        <v>1160903005</v>
      </c>
      <c r="AD165" s="291">
        <v>0</v>
      </c>
      <c r="AE165" s="291">
        <v>0</v>
      </c>
      <c r="AF165" s="291">
        <v>0</v>
      </c>
      <c r="AG165" s="291">
        <v>1160605001</v>
      </c>
      <c r="AH165" s="291">
        <v>1408</v>
      </c>
      <c r="AI165" s="291" t="s">
        <v>497</v>
      </c>
      <c r="AJ165" s="308">
        <v>0.01</v>
      </c>
      <c r="AK165" s="309">
        <f t="shared" si="24"/>
        <v>5232.88</v>
      </c>
      <c r="AL165" s="309">
        <f t="shared" si="25"/>
        <v>5232.88</v>
      </c>
      <c r="AM165" s="309">
        <f t="shared" si="25"/>
        <v>5232.88</v>
      </c>
      <c r="AN165" s="309"/>
      <c r="AO165" s="309"/>
      <c r="AP165" s="309">
        <f t="shared" si="20"/>
        <v>0</v>
      </c>
      <c r="AQ165" s="309">
        <f t="shared" si="27"/>
        <v>0</v>
      </c>
      <c r="AR165" s="309">
        <f t="shared" si="27"/>
        <v>0</v>
      </c>
      <c r="AS165" s="309"/>
      <c r="AT165" s="309"/>
      <c r="AV165" s="311">
        <f t="shared" si="21"/>
        <v>507589.36</v>
      </c>
      <c r="AW165" s="311">
        <f t="shared" si="22"/>
        <v>0</v>
      </c>
      <c r="AX165" s="312">
        <f t="shared" si="23"/>
        <v>0</v>
      </c>
    </row>
    <row r="166" spans="1:50">
      <c r="A166" s="291" t="s">
        <v>494</v>
      </c>
      <c r="B166" s="291"/>
      <c r="C166" s="291"/>
      <c r="D166" s="291">
        <v>1160505001</v>
      </c>
      <c r="E166" s="291">
        <v>0</v>
      </c>
      <c r="F166" s="291">
        <v>45206</v>
      </c>
      <c r="G166" s="306">
        <v>43329</v>
      </c>
      <c r="H166" s="306">
        <v>44425</v>
      </c>
      <c r="I166" s="291">
        <v>855</v>
      </c>
      <c r="J166" s="307">
        <v>3000000</v>
      </c>
      <c r="K166" s="307">
        <v>168000</v>
      </c>
      <c r="L166" s="307">
        <v>0</v>
      </c>
      <c r="M166" s="291" t="s">
        <v>495</v>
      </c>
      <c r="N166" s="307">
        <v>3000000</v>
      </c>
      <c r="O166" s="307">
        <v>168000</v>
      </c>
      <c r="P166" s="307">
        <v>1282500</v>
      </c>
      <c r="Q166" s="291">
        <v>1</v>
      </c>
      <c r="R166" s="291" t="s">
        <v>496</v>
      </c>
      <c r="S166" s="291">
        <v>100</v>
      </c>
      <c r="T166" s="307">
        <v>3000000</v>
      </c>
      <c r="U166" s="307">
        <v>168000</v>
      </c>
      <c r="V166" s="291">
        <v>100</v>
      </c>
      <c r="W166" s="307">
        <v>7578414</v>
      </c>
      <c r="X166" s="291">
        <v>15</v>
      </c>
      <c r="Y166" s="291">
        <v>1160902010</v>
      </c>
      <c r="Z166" s="291">
        <v>2023</v>
      </c>
      <c r="AA166" s="291">
        <v>12</v>
      </c>
      <c r="AB166" s="291">
        <v>5026003002</v>
      </c>
      <c r="AC166" s="291">
        <v>1160903005</v>
      </c>
      <c r="AD166" s="291">
        <v>0</v>
      </c>
      <c r="AE166" s="291">
        <v>0</v>
      </c>
      <c r="AF166" s="291">
        <v>0</v>
      </c>
      <c r="AG166" s="291">
        <v>1160605001</v>
      </c>
      <c r="AH166" s="291">
        <v>855</v>
      </c>
      <c r="AI166" s="291" t="s">
        <v>499</v>
      </c>
      <c r="AJ166" s="308">
        <v>0.05</v>
      </c>
      <c r="AK166" s="309">
        <f t="shared" si="24"/>
        <v>150000</v>
      </c>
      <c r="AL166" s="309">
        <f t="shared" si="25"/>
        <v>150000</v>
      </c>
      <c r="AM166" s="309">
        <f t="shared" si="25"/>
        <v>150000</v>
      </c>
      <c r="AN166" s="309"/>
      <c r="AO166" s="309"/>
      <c r="AP166" s="309">
        <f t="shared" si="20"/>
        <v>4200</v>
      </c>
      <c r="AQ166" s="309">
        <f t="shared" si="27"/>
        <v>4200</v>
      </c>
      <c r="AR166" s="309">
        <f t="shared" si="27"/>
        <v>4200</v>
      </c>
      <c r="AS166" s="309"/>
      <c r="AT166" s="309"/>
      <c r="AV166" s="311">
        <f t="shared" si="21"/>
        <v>2550000</v>
      </c>
      <c r="AW166" s="311">
        <f t="shared" si="22"/>
        <v>155400</v>
      </c>
      <c r="AX166" s="312">
        <f t="shared" si="23"/>
        <v>0</v>
      </c>
    </row>
    <row r="167" spans="1:50">
      <c r="A167" s="291" t="s">
        <v>494</v>
      </c>
      <c r="B167" s="291"/>
      <c r="C167" s="291"/>
      <c r="D167" s="291">
        <v>1160505001</v>
      </c>
      <c r="E167" s="291">
        <v>0</v>
      </c>
      <c r="F167" s="291">
        <v>45399</v>
      </c>
      <c r="G167" s="306">
        <v>43395</v>
      </c>
      <c r="H167" s="306">
        <v>44491</v>
      </c>
      <c r="I167" s="291">
        <v>790</v>
      </c>
      <c r="J167" s="307">
        <v>1166000</v>
      </c>
      <c r="K167" s="307">
        <v>84244</v>
      </c>
      <c r="L167" s="307">
        <v>0</v>
      </c>
      <c r="M167" s="291" t="s">
        <v>495</v>
      </c>
      <c r="N167" s="307">
        <v>1166000</v>
      </c>
      <c r="O167" s="307">
        <v>84244</v>
      </c>
      <c r="P167" s="307">
        <v>460570</v>
      </c>
      <c r="Q167" s="291">
        <v>1</v>
      </c>
      <c r="R167" s="291" t="s">
        <v>496</v>
      </c>
      <c r="S167" s="291">
        <v>100</v>
      </c>
      <c r="T167" s="307">
        <v>1166000</v>
      </c>
      <c r="U167" s="307">
        <v>84244</v>
      </c>
      <c r="V167" s="291">
        <v>100</v>
      </c>
      <c r="W167" s="307">
        <v>7578414</v>
      </c>
      <c r="X167" s="291">
        <v>15</v>
      </c>
      <c r="Y167" s="291">
        <v>1160902010</v>
      </c>
      <c r="Z167" s="291">
        <v>2023</v>
      </c>
      <c r="AA167" s="291">
        <v>12</v>
      </c>
      <c r="AB167" s="291">
        <v>5026003002</v>
      </c>
      <c r="AC167" s="291">
        <v>1160903005</v>
      </c>
      <c r="AD167" s="291">
        <v>0</v>
      </c>
      <c r="AE167" s="291">
        <v>0</v>
      </c>
      <c r="AF167" s="291">
        <v>0</v>
      </c>
      <c r="AG167" s="291">
        <v>1160605001</v>
      </c>
      <c r="AH167" s="291">
        <v>855</v>
      </c>
      <c r="AI167" s="291" t="s">
        <v>499</v>
      </c>
      <c r="AJ167" s="308">
        <v>0.05</v>
      </c>
      <c r="AK167" s="309">
        <f t="shared" si="24"/>
        <v>58300</v>
      </c>
      <c r="AL167" s="309">
        <f t="shared" si="25"/>
        <v>58300</v>
      </c>
      <c r="AM167" s="309">
        <f t="shared" si="25"/>
        <v>58300</v>
      </c>
      <c r="AN167" s="309"/>
      <c r="AO167" s="309"/>
      <c r="AP167" s="309">
        <f t="shared" si="20"/>
        <v>2106.1</v>
      </c>
      <c r="AQ167" s="309">
        <f t="shared" ref="AQ167:AR182" si="28">AP167</f>
        <v>2106.1</v>
      </c>
      <c r="AR167" s="309">
        <f t="shared" si="28"/>
        <v>2106.1</v>
      </c>
      <c r="AS167" s="309"/>
      <c r="AT167" s="309"/>
      <c r="AV167" s="311">
        <f t="shared" si="21"/>
        <v>991100</v>
      </c>
      <c r="AW167" s="311">
        <f t="shared" si="22"/>
        <v>77925.699999999983</v>
      </c>
      <c r="AX167" s="312">
        <f t="shared" si="23"/>
        <v>0</v>
      </c>
    </row>
    <row r="168" spans="1:50">
      <c r="A168" s="291" t="s">
        <v>494</v>
      </c>
      <c r="B168" s="291"/>
      <c r="C168" s="291"/>
      <c r="D168" s="291">
        <v>1160505001</v>
      </c>
      <c r="E168" s="291">
        <v>0</v>
      </c>
      <c r="F168" s="291">
        <v>45426</v>
      </c>
      <c r="G168" s="306">
        <v>43408</v>
      </c>
      <c r="H168" s="306">
        <v>44504</v>
      </c>
      <c r="I168" s="291">
        <v>778</v>
      </c>
      <c r="J168" s="307">
        <v>933000</v>
      </c>
      <c r="K168" s="307">
        <v>70213</v>
      </c>
      <c r="L168" s="307">
        <v>0</v>
      </c>
      <c r="M168" s="291" t="s">
        <v>495</v>
      </c>
      <c r="N168" s="307">
        <v>933000</v>
      </c>
      <c r="O168" s="307">
        <v>70213</v>
      </c>
      <c r="P168" s="307">
        <v>362937</v>
      </c>
      <c r="Q168" s="291">
        <v>1</v>
      </c>
      <c r="R168" s="291" t="s">
        <v>496</v>
      </c>
      <c r="S168" s="291">
        <v>100</v>
      </c>
      <c r="T168" s="307">
        <v>933000</v>
      </c>
      <c r="U168" s="307">
        <v>70213</v>
      </c>
      <c r="V168" s="291">
        <v>100</v>
      </c>
      <c r="W168" s="307">
        <v>7578414</v>
      </c>
      <c r="X168" s="291">
        <v>15</v>
      </c>
      <c r="Y168" s="291">
        <v>1160902010</v>
      </c>
      <c r="Z168" s="291">
        <v>2023</v>
      </c>
      <c r="AA168" s="291">
        <v>12</v>
      </c>
      <c r="AB168" s="291">
        <v>5026003002</v>
      </c>
      <c r="AC168" s="291">
        <v>1160903005</v>
      </c>
      <c r="AD168" s="291">
        <v>0</v>
      </c>
      <c r="AE168" s="291">
        <v>0</v>
      </c>
      <c r="AF168" s="291">
        <v>0</v>
      </c>
      <c r="AG168" s="291">
        <v>1160605001</v>
      </c>
      <c r="AH168" s="291">
        <v>855</v>
      </c>
      <c r="AI168" s="291" t="s">
        <v>499</v>
      </c>
      <c r="AJ168" s="308">
        <v>0.05</v>
      </c>
      <c r="AK168" s="309">
        <f t="shared" si="24"/>
        <v>46650</v>
      </c>
      <c r="AL168" s="309">
        <f t="shared" si="25"/>
        <v>46650</v>
      </c>
      <c r="AM168" s="309">
        <f t="shared" si="25"/>
        <v>46650</v>
      </c>
      <c r="AN168" s="309"/>
      <c r="AO168" s="309"/>
      <c r="AP168" s="309">
        <f t="shared" si="20"/>
        <v>1755.325</v>
      </c>
      <c r="AQ168" s="309">
        <f t="shared" si="28"/>
        <v>1755.325</v>
      </c>
      <c r="AR168" s="309">
        <f t="shared" si="28"/>
        <v>1755.325</v>
      </c>
      <c r="AS168" s="309"/>
      <c r="AT168" s="309"/>
      <c r="AV168" s="311">
        <f t="shared" si="21"/>
        <v>793050</v>
      </c>
      <c r="AW168" s="311">
        <f t="shared" si="22"/>
        <v>64947.025000000009</v>
      </c>
      <c r="AX168" s="312">
        <f t="shared" si="23"/>
        <v>0</v>
      </c>
    </row>
    <row r="169" spans="1:50">
      <c r="A169" s="291" t="s">
        <v>494</v>
      </c>
      <c r="B169" s="291"/>
      <c r="C169" s="291"/>
      <c r="D169" s="291">
        <v>1160504001</v>
      </c>
      <c r="E169" s="291">
        <v>0</v>
      </c>
      <c r="F169" s="291">
        <v>44704</v>
      </c>
      <c r="G169" s="306">
        <v>43261</v>
      </c>
      <c r="H169" s="306">
        <v>45087</v>
      </c>
      <c r="I169" s="291">
        <v>202</v>
      </c>
      <c r="J169" s="307">
        <v>3600000</v>
      </c>
      <c r="K169" s="307">
        <v>847200</v>
      </c>
      <c r="L169" s="307">
        <v>0</v>
      </c>
      <c r="M169" s="291" t="s">
        <v>495</v>
      </c>
      <c r="N169" s="307">
        <v>3600000</v>
      </c>
      <c r="O169" s="307">
        <v>847200</v>
      </c>
      <c r="P169" s="307">
        <v>363600</v>
      </c>
      <c r="Q169" s="291">
        <v>1</v>
      </c>
      <c r="R169" s="291" t="s">
        <v>501</v>
      </c>
      <c r="S169" s="291">
        <v>100</v>
      </c>
      <c r="T169" s="307">
        <v>3600000</v>
      </c>
      <c r="U169" s="307">
        <v>847200</v>
      </c>
      <c r="V169" s="291">
        <v>100</v>
      </c>
      <c r="W169" s="307">
        <v>1914219</v>
      </c>
      <c r="X169" s="291">
        <v>14</v>
      </c>
      <c r="Y169" s="291">
        <v>1160902008</v>
      </c>
      <c r="Z169" s="291">
        <v>2023</v>
      </c>
      <c r="AA169" s="291">
        <v>12</v>
      </c>
      <c r="AB169" s="291">
        <v>5026003002</v>
      </c>
      <c r="AC169" s="291">
        <v>1160903004</v>
      </c>
      <c r="AD169" s="291">
        <v>0</v>
      </c>
      <c r="AE169" s="291">
        <v>0</v>
      </c>
      <c r="AF169" s="291">
        <v>0</v>
      </c>
      <c r="AG169" s="291">
        <v>1160604001</v>
      </c>
      <c r="AH169" s="291">
        <v>202</v>
      </c>
      <c r="AI169" s="291" t="s">
        <v>500</v>
      </c>
      <c r="AJ169" s="308">
        <v>0.3</v>
      </c>
      <c r="AK169" s="309">
        <f t="shared" si="24"/>
        <v>1080000</v>
      </c>
      <c r="AL169" s="309">
        <f t="shared" si="25"/>
        <v>1080000</v>
      </c>
      <c r="AM169" s="309">
        <f t="shared" si="25"/>
        <v>1080000</v>
      </c>
      <c r="AN169" s="309"/>
      <c r="AO169" s="309"/>
      <c r="AP169" s="309">
        <f t="shared" si="20"/>
        <v>127080</v>
      </c>
      <c r="AQ169" s="309">
        <f t="shared" si="28"/>
        <v>127080</v>
      </c>
      <c r="AR169" s="309">
        <f t="shared" si="28"/>
        <v>127080</v>
      </c>
      <c r="AS169" s="309"/>
      <c r="AT169" s="309"/>
      <c r="AV169" s="311">
        <f t="shared" si="21"/>
        <v>360000</v>
      </c>
      <c r="AW169" s="311">
        <f t="shared" si="22"/>
        <v>465960</v>
      </c>
      <c r="AX169" s="312">
        <f t="shared" si="23"/>
        <v>0</v>
      </c>
    </row>
    <row r="170" spans="1:50">
      <c r="A170" s="291" t="s">
        <v>494</v>
      </c>
      <c r="B170" s="291"/>
      <c r="C170" s="291"/>
      <c r="D170" s="291">
        <v>1160505001</v>
      </c>
      <c r="E170" s="291">
        <v>0</v>
      </c>
      <c r="F170" s="291">
        <v>41700</v>
      </c>
      <c r="G170" s="306">
        <v>42807</v>
      </c>
      <c r="H170" s="306">
        <v>43903</v>
      </c>
      <c r="I170" s="291">
        <v>1369</v>
      </c>
      <c r="J170" s="307">
        <v>1300000</v>
      </c>
      <c r="K170" s="307">
        <v>141018</v>
      </c>
      <c r="L170" s="307">
        <v>0</v>
      </c>
      <c r="M170" s="291" t="s">
        <v>495</v>
      </c>
      <c r="N170" s="307">
        <v>1300000</v>
      </c>
      <c r="O170" s="307">
        <v>141018</v>
      </c>
      <c r="P170" s="307">
        <v>889850</v>
      </c>
      <c r="Q170" s="291">
        <v>1</v>
      </c>
      <c r="R170" s="291" t="s">
        <v>496</v>
      </c>
      <c r="S170" s="291">
        <v>100</v>
      </c>
      <c r="T170" s="307">
        <v>1300000</v>
      </c>
      <c r="U170" s="307">
        <v>141018</v>
      </c>
      <c r="V170" s="291">
        <v>100</v>
      </c>
      <c r="W170" s="307">
        <v>1434398</v>
      </c>
      <c r="X170" s="291">
        <v>14</v>
      </c>
      <c r="Y170" s="291">
        <v>1160902010</v>
      </c>
      <c r="Z170" s="291">
        <v>2023</v>
      </c>
      <c r="AA170" s="291">
        <v>12</v>
      </c>
      <c r="AB170" s="291">
        <v>5026003002</v>
      </c>
      <c r="AC170" s="291">
        <v>1160903005</v>
      </c>
      <c r="AD170" s="291">
        <v>0</v>
      </c>
      <c r="AE170" s="291">
        <v>0</v>
      </c>
      <c r="AF170" s="291">
        <v>0</v>
      </c>
      <c r="AG170" s="291">
        <v>1160605001</v>
      </c>
      <c r="AH170" s="291">
        <v>1369</v>
      </c>
      <c r="AI170" s="291" t="s">
        <v>497</v>
      </c>
      <c r="AJ170" s="308">
        <v>0.01</v>
      </c>
      <c r="AK170" s="309">
        <f t="shared" si="24"/>
        <v>13000</v>
      </c>
      <c r="AL170" s="309">
        <f t="shared" si="25"/>
        <v>13000</v>
      </c>
      <c r="AM170" s="309">
        <f t="shared" si="25"/>
        <v>13000</v>
      </c>
      <c r="AN170" s="309"/>
      <c r="AO170" s="309"/>
      <c r="AP170" s="309">
        <f t="shared" si="20"/>
        <v>705.09</v>
      </c>
      <c r="AQ170" s="309">
        <f t="shared" si="28"/>
        <v>705.09</v>
      </c>
      <c r="AR170" s="309">
        <f t="shared" si="28"/>
        <v>705.09</v>
      </c>
      <c r="AS170" s="309"/>
      <c r="AT170" s="309"/>
      <c r="AV170" s="311">
        <f t="shared" si="21"/>
        <v>1261000</v>
      </c>
      <c r="AW170" s="311">
        <f t="shared" si="22"/>
        <v>138902.73000000001</v>
      </c>
      <c r="AX170" s="312">
        <f t="shared" si="23"/>
        <v>0</v>
      </c>
    </row>
    <row r="171" spans="1:50">
      <c r="A171" s="291" t="s">
        <v>494</v>
      </c>
      <c r="B171" s="291"/>
      <c r="C171" s="291"/>
      <c r="D171" s="291">
        <v>1160505001</v>
      </c>
      <c r="E171" s="291">
        <v>0</v>
      </c>
      <c r="F171" s="291">
        <v>46405</v>
      </c>
      <c r="G171" s="306">
        <v>43542</v>
      </c>
      <c r="H171" s="306">
        <v>44638</v>
      </c>
      <c r="I171" s="291">
        <v>644</v>
      </c>
      <c r="J171" s="307">
        <v>3150000</v>
      </c>
      <c r="K171" s="307">
        <v>850500</v>
      </c>
      <c r="L171" s="307">
        <v>0</v>
      </c>
      <c r="M171" s="291" t="s">
        <v>495</v>
      </c>
      <c r="N171" s="307">
        <v>3150000</v>
      </c>
      <c r="O171" s="307">
        <v>850500</v>
      </c>
      <c r="P171" s="307">
        <v>1014300</v>
      </c>
      <c r="Q171" s="291">
        <v>1</v>
      </c>
      <c r="R171" s="291" t="s">
        <v>496</v>
      </c>
      <c r="S171" s="291">
        <v>100</v>
      </c>
      <c r="T171" s="307">
        <v>3150000</v>
      </c>
      <c r="U171" s="307">
        <v>850500</v>
      </c>
      <c r="V171" s="291">
        <v>100</v>
      </c>
      <c r="W171" s="307">
        <v>1434398</v>
      </c>
      <c r="X171" s="291">
        <v>15</v>
      </c>
      <c r="Y171" s="291">
        <v>1160902010</v>
      </c>
      <c r="Z171" s="291">
        <v>2023</v>
      </c>
      <c r="AA171" s="291">
        <v>12</v>
      </c>
      <c r="AB171" s="291">
        <v>5026003002</v>
      </c>
      <c r="AC171" s="291">
        <v>1160903005</v>
      </c>
      <c r="AD171" s="291">
        <v>0</v>
      </c>
      <c r="AE171" s="291">
        <v>0</v>
      </c>
      <c r="AF171" s="291">
        <v>0</v>
      </c>
      <c r="AG171" s="291">
        <v>1160605001</v>
      </c>
      <c r="AH171" s="291">
        <v>1369</v>
      </c>
      <c r="AI171" s="291" t="s">
        <v>497</v>
      </c>
      <c r="AJ171" s="308">
        <v>0.01</v>
      </c>
      <c r="AK171" s="309">
        <f t="shared" si="24"/>
        <v>31500</v>
      </c>
      <c r="AL171" s="309">
        <f t="shared" si="25"/>
        <v>31500</v>
      </c>
      <c r="AM171" s="309">
        <f t="shared" si="25"/>
        <v>31500</v>
      </c>
      <c r="AN171" s="309"/>
      <c r="AO171" s="309"/>
      <c r="AP171" s="309">
        <f t="shared" si="20"/>
        <v>4252.5</v>
      </c>
      <c r="AQ171" s="309">
        <f t="shared" si="28"/>
        <v>4252.5</v>
      </c>
      <c r="AR171" s="309">
        <f t="shared" si="28"/>
        <v>4252.5</v>
      </c>
      <c r="AS171" s="309"/>
      <c r="AT171" s="309"/>
      <c r="AV171" s="311">
        <f t="shared" si="21"/>
        <v>3055500</v>
      </c>
      <c r="AW171" s="311">
        <f t="shared" si="22"/>
        <v>837742.5</v>
      </c>
      <c r="AX171" s="312">
        <f t="shared" si="23"/>
        <v>0</v>
      </c>
    </row>
    <row r="172" spans="1:50">
      <c r="A172" s="291" t="s">
        <v>494</v>
      </c>
      <c r="B172" s="291"/>
      <c r="C172" s="291"/>
      <c r="D172" s="291">
        <v>1160505002</v>
      </c>
      <c r="E172" s="291">
        <v>0</v>
      </c>
      <c r="F172" s="291">
        <v>46435</v>
      </c>
      <c r="G172" s="306">
        <v>43547</v>
      </c>
      <c r="H172" s="306">
        <v>43913</v>
      </c>
      <c r="I172" s="291">
        <v>1359</v>
      </c>
      <c r="J172" s="307">
        <v>800000</v>
      </c>
      <c r="K172" s="307">
        <v>72000</v>
      </c>
      <c r="L172" s="307">
        <v>0</v>
      </c>
      <c r="M172" s="291" t="s">
        <v>495</v>
      </c>
      <c r="N172" s="307">
        <v>800000</v>
      </c>
      <c r="O172" s="307">
        <v>72000</v>
      </c>
      <c r="P172" s="307">
        <v>543600</v>
      </c>
      <c r="Q172" s="291">
        <v>1</v>
      </c>
      <c r="R172" s="291" t="s">
        <v>496</v>
      </c>
      <c r="S172" s="291">
        <v>100</v>
      </c>
      <c r="T172" s="307">
        <v>800000</v>
      </c>
      <c r="U172" s="307">
        <v>72000</v>
      </c>
      <c r="V172" s="291">
        <v>100</v>
      </c>
      <c r="W172" s="307">
        <v>1434398</v>
      </c>
      <c r="X172" s="291">
        <v>17</v>
      </c>
      <c r="Y172" s="291">
        <v>1160902010</v>
      </c>
      <c r="Z172" s="291">
        <v>2023</v>
      </c>
      <c r="AA172" s="291">
        <v>12</v>
      </c>
      <c r="AB172" s="291">
        <v>5026003002</v>
      </c>
      <c r="AC172" s="291">
        <v>1160903005</v>
      </c>
      <c r="AD172" s="291">
        <v>0</v>
      </c>
      <c r="AE172" s="291">
        <v>0</v>
      </c>
      <c r="AF172" s="291">
        <v>0</v>
      </c>
      <c r="AG172" s="291">
        <v>1160605001</v>
      </c>
      <c r="AH172" s="291">
        <v>1369</v>
      </c>
      <c r="AI172" s="291" t="s">
        <v>497</v>
      </c>
      <c r="AJ172" s="308">
        <v>0.01</v>
      </c>
      <c r="AK172" s="309">
        <f t="shared" si="24"/>
        <v>8000</v>
      </c>
      <c r="AL172" s="309">
        <f t="shared" si="25"/>
        <v>8000</v>
      </c>
      <c r="AM172" s="309">
        <f t="shared" si="25"/>
        <v>8000</v>
      </c>
      <c r="AN172" s="309"/>
      <c r="AO172" s="309"/>
      <c r="AP172" s="309">
        <f t="shared" si="20"/>
        <v>360</v>
      </c>
      <c r="AQ172" s="309">
        <f t="shared" si="28"/>
        <v>360</v>
      </c>
      <c r="AR172" s="309">
        <f t="shared" si="28"/>
        <v>360</v>
      </c>
      <c r="AS172" s="309"/>
      <c r="AT172" s="309"/>
      <c r="AV172" s="311">
        <f t="shared" si="21"/>
        <v>776000</v>
      </c>
      <c r="AW172" s="311">
        <f t="shared" si="22"/>
        <v>70920</v>
      </c>
      <c r="AX172" s="312">
        <f t="shared" si="23"/>
        <v>0</v>
      </c>
    </row>
    <row r="173" spans="1:50">
      <c r="A173" s="291" t="s">
        <v>494</v>
      </c>
      <c r="B173" s="291"/>
      <c r="C173" s="291"/>
      <c r="D173" s="291">
        <v>1160405001</v>
      </c>
      <c r="E173" s="291">
        <v>0</v>
      </c>
      <c r="F173" s="291">
        <v>42199</v>
      </c>
      <c r="G173" s="306">
        <v>42873</v>
      </c>
      <c r="H173" s="306">
        <v>43969</v>
      </c>
      <c r="I173" s="291">
        <v>1304</v>
      </c>
      <c r="J173" s="307">
        <v>113791793</v>
      </c>
      <c r="K173" s="307">
        <v>5111146</v>
      </c>
      <c r="L173" s="307">
        <v>0</v>
      </c>
      <c r="M173" s="291" t="s">
        <v>495</v>
      </c>
      <c r="N173" s="307">
        <v>113791793</v>
      </c>
      <c r="O173" s="307">
        <v>5111146</v>
      </c>
      <c r="P173" s="307">
        <v>74192249</v>
      </c>
      <c r="Q173" s="291">
        <v>2</v>
      </c>
      <c r="R173" s="291" t="s">
        <v>496</v>
      </c>
      <c r="S173" s="291">
        <v>100</v>
      </c>
      <c r="T173" s="307">
        <v>113791793</v>
      </c>
      <c r="U173" s="307">
        <v>5111146</v>
      </c>
      <c r="V173" s="291">
        <v>100</v>
      </c>
      <c r="W173" s="307">
        <v>84376930</v>
      </c>
      <c r="X173" s="291">
        <v>2</v>
      </c>
      <c r="Y173" s="291">
        <v>1160902009</v>
      </c>
      <c r="Z173" s="291">
        <v>2023</v>
      </c>
      <c r="AA173" s="291">
        <v>12</v>
      </c>
      <c r="AB173" s="291">
        <v>5026003002</v>
      </c>
      <c r="AC173" s="291">
        <v>1160903005</v>
      </c>
      <c r="AD173" s="291">
        <v>0</v>
      </c>
      <c r="AE173" s="291">
        <v>0</v>
      </c>
      <c r="AF173" s="291">
        <v>1</v>
      </c>
      <c r="AG173" s="291">
        <v>1160605001</v>
      </c>
      <c r="AH173" s="291">
        <v>1304</v>
      </c>
      <c r="AI173" s="291" t="s">
        <v>497</v>
      </c>
      <c r="AJ173" s="308">
        <v>0.01</v>
      </c>
      <c r="AK173" s="309">
        <f t="shared" si="24"/>
        <v>1137917.93</v>
      </c>
      <c r="AL173" s="309">
        <f t="shared" si="25"/>
        <v>1137917.93</v>
      </c>
      <c r="AM173" s="309">
        <f t="shared" si="25"/>
        <v>1137917.93</v>
      </c>
      <c r="AN173" s="309"/>
      <c r="AO173" s="309"/>
      <c r="AP173" s="309">
        <f t="shared" si="20"/>
        <v>25555.73</v>
      </c>
      <c r="AQ173" s="309">
        <f t="shared" si="28"/>
        <v>25555.73</v>
      </c>
      <c r="AR173" s="309">
        <f t="shared" si="28"/>
        <v>25555.73</v>
      </c>
      <c r="AS173" s="309"/>
      <c r="AT173" s="309"/>
      <c r="AV173" s="311">
        <f t="shared" si="21"/>
        <v>110378039.20999998</v>
      </c>
      <c r="AW173" s="311">
        <f t="shared" si="22"/>
        <v>5034478.8099999987</v>
      </c>
      <c r="AX173" s="312">
        <f t="shared" si="23"/>
        <v>0</v>
      </c>
    </row>
    <row r="174" spans="1:50">
      <c r="A174" s="291" t="s">
        <v>494</v>
      </c>
      <c r="B174" s="291"/>
      <c r="C174" s="291"/>
      <c r="D174" s="291">
        <v>1160405001</v>
      </c>
      <c r="E174" s="291">
        <v>0</v>
      </c>
      <c r="F174" s="291">
        <v>46633</v>
      </c>
      <c r="G174" s="306">
        <v>43582</v>
      </c>
      <c r="H174" s="306">
        <v>44678</v>
      </c>
      <c r="I174" s="291">
        <v>605</v>
      </c>
      <c r="J174" s="307">
        <v>120000000</v>
      </c>
      <c r="K174" s="307">
        <v>43200000</v>
      </c>
      <c r="L174" s="307">
        <v>0</v>
      </c>
      <c r="M174" s="291" t="s">
        <v>495</v>
      </c>
      <c r="N174" s="307">
        <v>120000000</v>
      </c>
      <c r="O174" s="307">
        <v>43200000</v>
      </c>
      <c r="P174" s="307">
        <v>36300000</v>
      </c>
      <c r="Q174" s="291">
        <v>2</v>
      </c>
      <c r="R174" s="291" t="s">
        <v>496</v>
      </c>
      <c r="S174" s="291">
        <v>100</v>
      </c>
      <c r="T174" s="307">
        <v>120000000</v>
      </c>
      <c r="U174" s="307">
        <v>43200000</v>
      </c>
      <c r="V174" s="291">
        <v>100</v>
      </c>
      <c r="W174" s="307">
        <v>84376930</v>
      </c>
      <c r="X174" s="291">
        <v>2</v>
      </c>
      <c r="Y174" s="291">
        <v>1160902009</v>
      </c>
      <c r="Z174" s="291">
        <v>2023</v>
      </c>
      <c r="AA174" s="291">
        <v>12</v>
      </c>
      <c r="AB174" s="291">
        <v>5026003002</v>
      </c>
      <c r="AC174" s="291">
        <v>1160903005</v>
      </c>
      <c r="AD174" s="291">
        <v>0</v>
      </c>
      <c r="AE174" s="291">
        <v>0</v>
      </c>
      <c r="AF174" s="291">
        <v>1</v>
      </c>
      <c r="AG174" s="291">
        <v>1160605001</v>
      </c>
      <c r="AH174" s="291">
        <v>1304</v>
      </c>
      <c r="AI174" s="291" t="s">
        <v>497</v>
      </c>
      <c r="AJ174" s="308">
        <v>0.01</v>
      </c>
      <c r="AK174" s="309">
        <f t="shared" si="24"/>
        <v>1200000</v>
      </c>
      <c r="AL174" s="309">
        <f t="shared" si="25"/>
        <v>1200000</v>
      </c>
      <c r="AM174" s="309">
        <f t="shared" si="25"/>
        <v>1200000</v>
      </c>
      <c r="AN174" s="309"/>
      <c r="AO174" s="309"/>
      <c r="AP174" s="309">
        <f t="shared" si="20"/>
        <v>216000</v>
      </c>
      <c r="AQ174" s="309">
        <f t="shared" si="28"/>
        <v>216000</v>
      </c>
      <c r="AR174" s="309">
        <f t="shared" si="28"/>
        <v>216000</v>
      </c>
      <c r="AS174" s="309"/>
      <c r="AT174" s="309"/>
      <c r="AV174" s="311">
        <f t="shared" si="21"/>
        <v>116400000</v>
      </c>
      <c r="AW174" s="311">
        <f t="shared" si="22"/>
        <v>42552000</v>
      </c>
      <c r="AX174" s="312">
        <f t="shared" si="23"/>
        <v>0</v>
      </c>
    </row>
    <row r="175" spans="1:50">
      <c r="A175" s="291" t="s">
        <v>494</v>
      </c>
      <c r="B175" s="291"/>
      <c r="C175" s="291"/>
      <c r="D175" s="291">
        <v>1160505001</v>
      </c>
      <c r="E175" s="291">
        <v>0</v>
      </c>
      <c r="F175" s="291">
        <v>42705</v>
      </c>
      <c r="G175" s="306">
        <v>42944</v>
      </c>
      <c r="H175" s="306">
        <v>43309</v>
      </c>
      <c r="I175" s="291">
        <v>1954</v>
      </c>
      <c r="J175" s="307">
        <v>2000000</v>
      </c>
      <c r="K175" s="307">
        <v>180000</v>
      </c>
      <c r="L175" s="307">
        <v>0</v>
      </c>
      <c r="M175" s="291" t="s">
        <v>495</v>
      </c>
      <c r="N175" s="307">
        <v>2000000</v>
      </c>
      <c r="O175" s="307">
        <v>180000</v>
      </c>
      <c r="P175" s="307">
        <v>1954000</v>
      </c>
      <c r="Q175" s="291">
        <v>1</v>
      </c>
      <c r="R175" s="291" t="s">
        <v>496</v>
      </c>
      <c r="S175" s="291">
        <v>100</v>
      </c>
      <c r="T175" s="307">
        <v>2000000</v>
      </c>
      <c r="U175" s="307">
        <v>180000</v>
      </c>
      <c r="V175" s="291">
        <v>100</v>
      </c>
      <c r="W175" s="307">
        <v>5349691</v>
      </c>
      <c r="X175" s="291">
        <v>2</v>
      </c>
      <c r="Y175" s="291">
        <v>1160902010</v>
      </c>
      <c r="Z175" s="291">
        <v>2023</v>
      </c>
      <c r="AA175" s="291">
        <v>12</v>
      </c>
      <c r="AB175" s="291">
        <v>5026003002</v>
      </c>
      <c r="AC175" s="291">
        <v>1160903005</v>
      </c>
      <c r="AD175" s="291">
        <v>0</v>
      </c>
      <c r="AE175" s="291">
        <v>0</v>
      </c>
      <c r="AF175" s="291">
        <v>0</v>
      </c>
      <c r="AG175" s="291">
        <v>1160605001</v>
      </c>
      <c r="AH175" s="291">
        <v>1954</v>
      </c>
      <c r="AI175" s="291" t="s">
        <v>497</v>
      </c>
      <c r="AJ175" s="308">
        <v>0.01</v>
      </c>
      <c r="AK175" s="309">
        <f t="shared" si="24"/>
        <v>20000</v>
      </c>
      <c r="AL175" s="309">
        <f t="shared" si="25"/>
        <v>20000</v>
      </c>
      <c r="AM175" s="309">
        <f t="shared" si="25"/>
        <v>20000</v>
      </c>
      <c r="AN175" s="309"/>
      <c r="AO175" s="309"/>
      <c r="AP175" s="309">
        <f t="shared" si="20"/>
        <v>900</v>
      </c>
      <c r="AQ175" s="309">
        <f t="shared" si="28"/>
        <v>900</v>
      </c>
      <c r="AR175" s="309">
        <f t="shared" si="28"/>
        <v>900</v>
      </c>
      <c r="AS175" s="309"/>
      <c r="AT175" s="309"/>
      <c r="AV175" s="311">
        <f t="shared" si="21"/>
        <v>1940000</v>
      </c>
      <c r="AW175" s="311">
        <f t="shared" si="22"/>
        <v>177300</v>
      </c>
      <c r="AX175" s="312">
        <f t="shared" si="23"/>
        <v>0</v>
      </c>
    </row>
    <row r="176" spans="1:50">
      <c r="A176" s="291" t="s">
        <v>494</v>
      </c>
      <c r="B176" s="291"/>
      <c r="C176" s="291"/>
      <c r="D176" s="291">
        <v>1160505001</v>
      </c>
      <c r="E176" s="291">
        <v>0</v>
      </c>
      <c r="F176" s="291">
        <v>43463</v>
      </c>
      <c r="G176" s="306">
        <v>43129</v>
      </c>
      <c r="H176" s="306">
        <v>44225</v>
      </c>
      <c r="I176" s="291">
        <v>1053</v>
      </c>
      <c r="J176" s="307">
        <v>5000000</v>
      </c>
      <c r="K176" s="307">
        <v>1178333</v>
      </c>
      <c r="L176" s="307">
        <v>0</v>
      </c>
      <c r="M176" s="291" t="s">
        <v>495</v>
      </c>
      <c r="N176" s="307">
        <v>5000000</v>
      </c>
      <c r="O176" s="307">
        <v>1178333</v>
      </c>
      <c r="P176" s="307">
        <v>2632500</v>
      </c>
      <c r="Q176" s="291">
        <v>1</v>
      </c>
      <c r="R176" s="291" t="s">
        <v>496</v>
      </c>
      <c r="S176" s="291">
        <v>100</v>
      </c>
      <c r="T176" s="307">
        <v>5000000</v>
      </c>
      <c r="U176" s="307">
        <v>1178333</v>
      </c>
      <c r="V176" s="291">
        <v>100</v>
      </c>
      <c r="W176" s="307">
        <v>5879988</v>
      </c>
      <c r="X176" s="291">
        <v>2</v>
      </c>
      <c r="Y176" s="291">
        <v>1160902010</v>
      </c>
      <c r="Z176" s="291">
        <v>2023</v>
      </c>
      <c r="AA176" s="291">
        <v>12</v>
      </c>
      <c r="AB176" s="291">
        <v>5026003002</v>
      </c>
      <c r="AC176" s="291">
        <v>1160903005</v>
      </c>
      <c r="AD176" s="291">
        <v>0</v>
      </c>
      <c r="AE176" s="291">
        <v>0</v>
      </c>
      <c r="AF176" s="291">
        <v>0</v>
      </c>
      <c r="AG176" s="291">
        <v>1160605001</v>
      </c>
      <c r="AH176" s="291">
        <v>1053</v>
      </c>
      <c r="AI176" s="291" t="s">
        <v>499</v>
      </c>
      <c r="AJ176" s="308">
        <v>0.05</v>
      </c>
      <c r="AK176" s="309">
        <f t="shared" si="24"/>
        <v>250000</v>
      </c>
      <c r="AL176" s="309">
        <f t="shared" si="25"/>
        <v>250000</v>
      </c>
      <c r="AM176" s="309">
        <f t="shared" si="25"/>
        <v>250000</v>
      </c>
      <c r="AN176" s="309"/>
      <c r="AO176" s="309"/>
      <c r="AP176" s="309">
        <f t="shared" si="20"/>
        <v>29458.325000000001</v>
      </c>
      <c r="AQ176" s="309">
        <f t="shared" si="28"/>
        <v>29458.325000000001</v>
      </c>
      <c r="AR176" s="309">
        <f t="shared" si="28"/>
        <v>29458.325000000001</v>
      </c>
      <c r="AS176" s="309"/>
      <c r="AT176" s="309"/>
      <c r="AV176" s="311">
        <f t="shared" si="21"/>
        <v>4250000</v>
      </c>
      <c r="AW176" s="311">
        <f t="shared" si="22"/>
        <v>1089958.0250000001</v>
      </c>
      <c r="AX176" s="312">
        <f t="shared" si="23"/>
        <v>0</v>
      </c>
    </row>
    <row r="177" spans="1:50">
      <c r="A177" s="291" t="s">
        <v>494</v>
      </c>
      <c r="B177" s="291"/>
      <c r="C177" s="291"/>
      <c r="D177" s="291">
        <v>1160505001</v>
      </c>
      <c r="E177" s="291">
        <v>0</v>
      </c>
      <c r="F177" s="291">
        <v>1443463</v>
      </c>
      <c r="G177" s="306">
        <v>43129</v>
      </c>
      <c r="H177" s="306">
        <v>44225</v>
      </c>
      <c r="I177" s="291">
        <v>1053</v>
      </c>
      <c r="J177" s="307">
        <v>13000000</v>
      </c>
      <c r="K177" s="307">
        <v>2019334</v>
      </c>
      <c r="L177" s="307">
        <v>0</v>
      </c>
      <c r="M177" s="291" t="s">
        <v>495</v>
      </c>
      <c r="N177" s="307">
        <v>13000000</v>
      </c>
      <c r="O177" s="307">
        <v>2019334</v>
      </c>
      <c r="P177" s="307">
        <v>6844500</v>
      </c>
      <c r="Q177" s="291">
        <v>1</v>
      </c>
      <c r="R177" s="291" t="s">
        <v>496</v>
      </c>
      <c r="S177" s="291">
        <v>100</v>
      </c>
      <c r="T177" s="307">
        <v>13000000</v>
      </c>
      <c r="U177" s="307">
        <v>2019334</v>
      </c>
      <c r="V177" s="291">
        <v>100</v>
      </c>
      <c r="W177" s="307">
        <v>5879988</v>
      </c>
      <c r="X177" s="291">
        <v>14</v>
      </c>
      <c r="Y177" s="291">
        <v>1160902010</v>
      </c>
      <c r="Z177" s="291">
        <v>2023</v>
      </c>
      <c r="AA177" s="291">
        <v>12</v>
      </c>
      <c r="AB177" s="291">
        <v>5026003002</v>
      </c>
      <c r="AC177" s="291">
        <v>1160903005</v>
      </c>
      <c r="AD177" s="291">
        <v>0</v>
      </c>
      <c r="AE177" s="291">
        <v>0</v>
      </c>
      <c r="AF177" s="291">
        <v>0</v>
      </c>
      <c r="AG177" s="291">
        <v>1160605001</v>
      </c>
      <c r="AH177" s="291">
        <v>1053</v>
      </c>
      <c r="AI177" s="291" t="s">
        <v>499</v>
      </c>
      <c r="AJ177" s="308">
        <v>0.05</v>
      </c>
      <c r="AK177" s="309">
        <f t="shared" si="24"/>
        <v>650000</v>
      </c>
      <c r="AL177" s="309">
        <f t="shared" si="25"/>
        <v>650000</v>
      </c>
      <c r="AM177" s="309">
        <f t="shared" si="25"/>
        <v>650000</v>
      </c>
      <c r="AN177" s="309"/>
      <c r="AO177" s="309"/>
      <c r="AP177" s="309">
        <f t="shared" si="20"/>
        <v>50483.350000000006</v>
      </c>
      <c r="AQ177" s="309">
        <f t="shared" si="28"/>
        <v>50483.350000000006</v>
      </c>
      <c r="AR177" s="309">
        <f t="shared" si="28"/>
        <v>50483.350000000006</v>
      </c>
      <c r="AS177" s="309"/>
      <c r="AT177" s="309"/>
      <c r="AV177" s="311">
        <f t="shared" si="21"/>
        <v>11050000</v>
      </c>
      <c r="AW177" s="311">
        <f t="shared" si="22"/>
        <v>1867883.9499999997</v>
      </c>
      <c r="AX177" s="312">
        <f t="shared" si="23"/>
        <v>0</v>
      </c>
    </row>
    <row r="178" spans="1:50">
      <c r="A178" s="291" t="s">
        <v>494</v>
      </c>
      <c r="B178" s="291"/>
      <c r="C178" s="291"/>
      <c r="D178" s="291">
        <v>1160505001</v>
      </c>
      <c r="E178" s="291">
        <v>0</v>
      </c>
      <c r="F178" s="291">
        <v>41538</v>
      </c>
      <c r="G178" s="306">
        <v>42792</v>
      </c>
      <c r="H178" s="306">
        <v>43522</v>
      </c>
      <c r="I178" s="291">
        <v>1746</v>
      </c>
      <c r="J178" s="307">
        <v>4400000</v>
      </c>
      <c r="K178" s="307">
        <v>967993</v>
      </c>
      <c r="L178" s="307">
        <v>0</v>
      </c>
      <c r="M178" s="291" t="s">
        <v>495</v>
      </c>
      <c r="N178" s="307">
        <v>4400000</v>
      </c>
      <c r="O178" s="307">
        <v>967993</v>
      </c>
      <c r="P178" s="307">
        <v>3841200</v>
      </c>
      <c r="Q178" s="291">
        <v>1</v>
      </c>
      <c r="R178" s="291" t="s">
        <v>496</v>
      </c>
      <c r="S178" s="291">
        <v>100</v>
      </c>
      <c r="T178" s="307">
        <v>4400000</v>
      </c>
      <c r="U178" s="307">
        <v>967993</v>
      </c>
      <c r="V178" s="291">
        <v>100</v>
      </c>
      <c r="W178" s="307">
        <v>3915709</v>
      </c>
      <c r="X178" s="291">
        <v>2</v>
      </c>
      <c r="Y178" s="291">
        <v>1160902010</v>
      </c>
      <c r="Z178" s="291">
        <v>2023</v>
      </c>
      <c r="AA178" s="291">
        <v>12</v>
      </c>
      <c r="AB178" s="291">
        <v>5026003002</v>
      </c>
      <c r="AC178" s="291">
        <v>1160903005</v>
      </c>
      <c r="AD178" s="291">
        <v>0</v>
      </c>
      <c r="AE178" s="291">
        <v>0</v>
      </c>
      <c r="AF178" s="291">
        <v>0</v>
      </c>
      <c r="AG178" s="291">
        <v>1160605001</v>
      </c>
      <c r="AH178" s="291">
        <v>1746</v>
      </c>
      <c r="AI178" s="291" t="s">
        <v>497</v>
      </c>
      <c r="AJ178" s="308">
        <v>0.01</v>
      </c>
      <c r="AK178" s="309">
        <f t="shared" si="24"/>
        <v>44000</v>
      </c>
      <c r="AL178" s="309">
        <f t="shared" si="25"/>
        <v>44000</v>
      </c>
      <c r="AM178" s="309">
        <f t="shared" si="25"/>
        <v>44000</v>
      </c>
      <c r="AN178" s="309"/>
      <c r="AO178" s="309"/>
      <c r="AP178" s="309">
        <f t="shared" si="20"/>
        <v>4839.9650000000001</v>
      </c>
      <c r="AQ178" s="309">
        <f t="shared" si="28"/>
        <v>4839.9650000000001</v>
      </c>
      <c r="AR178" s="309">
        <f t="shared" si="28"/>
        <v>4839.9650000000001</v>
      </c>
      <c r="AS178" s="309"/>
      <c r="AT178" s="309"/>
      <c r="AV178" s="311">
        <f t="shared" si="21"/>
        <v>4268000</v>
      </c>
      <c r="AW178" s="311">
        <f t="shared" si="22"/>
        <v>953473.1050000001</v>
      </c>
      <c r="AX178" s="312">
        <f t="shared" si="23"/>
        <v>0</v>
      </c>
    </row>
    <row r="179" spans="1:50">
      <c r="A179" s="291" t="s">
        <v>494</v>
      </c>
      <c r="B179" s="291"/>
      <c r="C179" s="291"/>
      <c r="D179" s="291">
        <v>1160505001</v>
      </c>
      <c r="E179" s="291">
        <v>0</v>
      </c>
      <c r="F179" s="291">
        <v>44862</v>
      </c>
      <c r="G179" s="306">
        <v>43282</v>
      </c>
      <c r="H179" s="306">
        <v>44378</v>
      </c>
      <c r="I179" s="291">
        <v>901</v>
      </c>
      <c r="J179" s="307">
        <v>3000000</v>
      </c>
      <c r="K179" s="307">
        <v>189000</v>
      </c>
      <c r="L179" s="307">
        <v>0</v>
      </c>
      <c r="M179" s="291" t="s">
        <v>495</v>
      </c>
      <c r="N179" s="307">
        <v>3000000</v>
      </c>
      <c r="O179" s="307">
        <v>189000</v>
      </c>
      <c r="P179" s="307">
        <v>1351500</v>
      </c>
      <c r="Q179" s="291">
        <v>1</v>
      </c>
      <c r="R179" s="291" t="s">
        <v>496</v>
      </c>
      <c r="S179" s="291">
        <v>100</v>
      </c>
      <c r="T179" s="307">
        <v>3000000</v>
      </c>
      <c r="U179" s="307">
        <v>189000</v>
      </c>
      <c r="V179" s="291">
        <v>100</v>
      </c>
      <c r="W179" s="307">
        <v>8941007</v>
      </c>
      <c r="X179" s="291">
        <v>2</v>
      </c>
      <c r="Y179" s="291">
        <v>1160902010</v>
      </c>
      <c r="Z179" s="291">
        <v>2023</v>
      </c>
      <c r="AA179" s="291">
        <v>12</v>
      </c>
      <c r="AB179" s="291">
        <v>5026003002</v>
      </c>
      <c r="AC179" s="291">
        <v>1160903005</v>
      </c>
      <c r="AD179" s="291">
        <v>0</v>
      </c>
      <c r="AE179" s="291">
        <v>0</v>
      </c>
      <c r="AF179" s="291">
        <v>0</v>
      </c>
      <c r="AG179" s="291">
        <v>1160605001</v>
      </c>
      <c r="AH179" s="291">
        <v>1351</v>
      </c>
      <c r="AI179" s="291" t="s">
        <v>497</v>
      </c>
      <c r="AJ179" s="308">
        <v>0.01</v>
      </c>
      <c r="AK179" s="309">
        <f t="shared" si="24"/>
        <v>30000</v>
      </c>
      <c r="AL179" s="309">
        <f t="shared" si="25"/>
        <v>30000</v>
      </c>
      <c r="AM179" s="309">
        <f t="shared" si="25"/>
        <v>30000</v>
      </c>
      <c r="AN179" s="309"/>
      <c r="AO179" s="309"/>
      <c r="AP179" s="309">
        <f t="shared" si="20"/>
        <v>945</v>
      </c>
      <c r="AQ179" s="309">
        <f t="shared" si="28"/>
        <v>945</v>
      </c>
      <c r="AR179" s="309">
        <f t="shared" si="28"/>
        <v>945</v>
      </c>
      <c r="AS179" s="309"/>
      <c r="AT179" s="309"/>
      <c r="AV179" s="311">
        <f t="shared" si="21"/>
        <v>2910000</v>
      </c>
      <c r="AW179" s="311">
        <f t="shared" si="22"/>
        <v>186165</v>
      </c>
      <c r="AX179" s="312">
        <f t="shared" si="23"/>
        <v>0</v>
      </c>
    </row>
    <row r="180" spans="1:50">
      <c r="A180" s="291" t="s">
        <v>494</v>
      </c>
      <c r="B180" s="291"/>
      <c r="C180" s="291"/>
      <c r="D180" s="291">
        <v>1160505001</v>
      </c>
      <c r="E180" s="291">
        <v>0</v>
      </c>
      <c r="F180" s="291">
        <v>46515</v>
      </c>
      <c r="G180" s="306">
        <v>43556</v>
      </c>
      <c r="H180" s="306">
        <v>43922</v>
      </c>
      <c r="I180" s="291">
        <v>1351</v>
      </c>
      <c r="J180" s="307">
        <v>1000000</v>
      </c>
      <c r="K180" s="307">
        <v>0</v>
      </c>
      <c r="L180" s="307">
        <v>0</v>
      </c>
      <c r="M180" s="291" t="s">
        <v>495</v>
      </c>
      <c r="N180" s="307">
        <v>1000000</v>
      </c>
      <c r="O180" s="307">
        <v>0</v>
      </c>
      <c r="P180" s="307">
        <v>675500</v>
      </c>
      <c r="Q180" s="291">
        <v>1</v>
      </c>
      <c r="R180" s="291" t="s">
        <v>496</v>
      </c>
      <c r="S180" s="291">
        <v>100</v>
      </c>
      <c r="T180" s="307">
        <v>1000000</v>
      </c>
      <c r="U180" s="307">
        <v>0</v>
      </c>
      <c r="V180" s="291">
        <v>100</v>
      </c>
      <c r="W180" s="307">
        <v>8941007</v>
      </c>
      <c r="X180" s="291">
        <v>2</v>
      </c>
      <c r="Y180" s="291">
        <v>1160902010</v>
      </c>
      <c r="Z180" s="291">
        <v>2023</v>
      </c>
      <c r="AA180" s="291">
        <v>12</v>
      </c>
      <c r="AB180" s="291">
        <v>5026003002</v>
      </c>
      <c r="AC180" s="291">
        <v>1160903005</v>
      </c>
      <c r="AD180" s="291">
        <v>0</v>
      </c>
      <c r="AE180" s="291">
        <v>0</v>
      </c>
      <c r="AF180" s="291">
        <v>0</v>
      </c>
      <c r="AG180" s="291">
        <v>1160605001</v>
      </c>
      <c r="AH180" s="291">
        <v>1351</v>
      </c>
      <c r="AI180" s="291" t="s">
        <v>497</v>
      </c>
      <c r="AJ180" s="308">
        <v>0.01</v>
      </c>
      <c r="AK180" s="309">
        <f t="shared" si="24"/>
        <v>10000</v>
      </c>
      <c r="AL180" s="309">
        <f t="shared" si="25"/>
        <v>10000</v>
      </c>
      <c r="AM180" s="309">
        <f t="shared" si="25"/>
        <v>10000</v>
      </c>
      <c r="AN180" s="309"/>
      <c r="AO180" s="309"/>
      <c r="AP180" s="309">
        <f t="shared" si="20"/>
        <v>0</v>
      </c>
      <c r="AQ180" s="309">
        <f t="shared" si="28"/>
        <v>0</v>
      </c>
      <c r="AR180" s="309">
        <f t="shared" si="28"/>
        <v>0</v>
      </c>
      <c r="AS180" s="309"/>
      <c r="AT180" s="309"/>
      <c r="AV180" s="311">
        <f t="shared" si="21"/>
        <v>970000</v>
      </c>
      <c r="AW180" s="311">
        <f t="shared" si="22"/>
        <v>0</v>
      </c>
      <c r="AX180" s="312">
        <f t="shared" si="23"/>
        <v>0</v>
      </c>
    </row>
    <row r="181" spans="1:50">
      <c r="A181" s="291" t="s">
        <v>494</v>
      </c>
      <c r="B181" s="291"/>
      <c r="C181" s="291"/>
      <c r="D181" s="291">
        <v>1160505004</v>
      </c>
      <c r="E181" s="291">
        <v>45540</v>
      </c>
      <c r="F181" s="291">
        <v>45541</v>
      </c>
      <c r="G181" s="306">
        <v>43447</v>
      </c>
      <c r="H181" s="306">
        <v>44543</v>
      </c>
      <c r="I181" s="291">
        <v>739</v>
      </c>
      <c r="J181" s="307">
        <v>21996537</v>
      </c>
      <c r="K181" s="307">
        <v>8072200</v>
      </c>
      <c r="L181" s="307">
        <v>0</v>
      </c>
      <c r="M181" s="291" t="s">
        <v>495</v>
      </c>
      <c r="N181" s="307">
        <v>21996537</v>
      </c>
      <c r="O181" s="307">
        <v>8072200</v>
      </c>
      <c r="P181" s="307">
        <v>8127720</v>
      </c>
      <c r="Q181" s="291">
        <v>1</v>
      </c>
      <c r="R181" s="291" t="s">
        <v>496</v>
      </c>
      <c r="S181" s="291">
        <v>100</v>
      </c>
      <c r="T181" s="307">
        <v>21996537</v>
      </c>
      <c r="U181" s="307">
        <v>8072200</v>
      </c>
      <c r="V181" s="291">
        <v>100</v>
      </c>
      <c r="W181" s="307">
        <v>7361964</v>
      </c>
      <c r="X181" s="291">
        <v>5</v>
      </c>
      <c r="Y181" s="291">
        <v>1160902010</v>
      </c>
      <c r="Z181" s="291">
        <v>2023</v>
      </c>
      <c r="AA181" s="291">
        <v>12</v>
      </c>
      <c r="AB181" s="291">
        <v>5026003002</v>
      </c>
      <c r="AC181" s="291">
        <v>1160903005</v>
      </c>
      <c r="AD181" s="291">
        <v>0</v>
      </c>
      <c r="AE181" s="291">
        <v>0</v>
      </c>
      <c r="AF181" s="291">
        <v>0</v>
      </c>
      <c r="AG181" s="291">
        <v>1160605001</v>
      </c>
      <c r="AH181" s="291">
        <v>739</v>
      </c>
      <c r="AI181" s="291" t="s">
        <v>499</v>
      </c>
      <c r="AJ181" s="308">
        <v>0.05</v>
      </c>
      <c r="AK181" s="309">
        <f t="shared" si="24"/>
        <v>1099826.8500000001</v>
      </c>
      <c r="AL181" s="309">
        <f t="shared" si="25"/>
        <v>1099826.8500000001</v>
      </c>
      <c r="AM181" s="309">
        <f t="shared" si="25"/>
        <v>1099826.8500000001</v>
      </c>
      <c r="AN181" s="309"/>
      <c r="AO181" s="309"/>
      <c r="AP181" s="309">
        <f t="shared" si="20"/>
        <v>201805</v>
      </c>
      <c r="AQ181" s="309">
        <f t="shared" si="28"/>
        <v>201805</v>
      </c>
      <c r="AR181" s="309">
        <f t="shared" si="28"/>
        <v>201805</v>
      </c>
      <c r="AS181" s="309"/>
      <c r="AT181" s="309"/>
      <c r="AV181" s="311">
        <f t="shared" si="21"/>
        <v>18697056.449999996</v>
      </c>
      <c r="AW181" s="311">
        <f t="shared" si="22"/>
        <v>7466785</v>
      </c>
      <c r="AX181" s="312">
        <f t="shared" si="23"/>
        <v>0</v>
      </c>
    </row>
    <row r="182" spans="1:50">
      <c r="A182" s="291" t="s">
        <v>494</v>
      </c>
      <c r="B182" s="291"/>
      <c r="C182" s="291"/>
      <c r="D182" s="291">
        <v>1160505004</v>
      </c>
      <c r="E182" s="291">
        <v>0</v>
      </c>
      <c r="F182" s="291">
        <v>43091</v>
      </c>
      <c r="G182" s="306">
        <v>43447</v>
      </c>
      <c r="H182" s="306">
        <v>44543</v>
      </c>
      <c r="I182" s="291">
        <v>739</v>
      </c>
      <c r="J182" s="307">
        <v>0</v>
      </c>
      <c r="K182" s="307">
        <v>2929013</v>
      </c>
      <c r="L182" s="307">
        <v>0</v>
      </c>
      <c r="M182" s="291" t="s">
        <v>495</v>
      </c>
      <c r="N182" s="307">
        <v>0</v>
      </c>
      <c r="O182" s="307">
        <v>2929013</v>
      </c>
      <c r="P182" s="307">
        <v>0</v>
      </c>
      <c r="Q182" s="291">
        <v>1</v>
      </c>
      <c r="R182" s="291" t="s">
        <v>496</v>
      </c>
      <c r="S182" s="291">
        <v>100</v>
      </c>
      <c r="T182" s="307">
        <v>0</v>
      </c>
      <c r="U182" s="307">
        <v>2929013</v>
      </c>
      <c r="V182" s="291">
        <v>100</v>
      </c>
      <c r="W182" s="307">
        <v>7361964</v>
      </c>
      <c r="X182" s="291">
        <v>5</v>
      </c>
      <c r="Y182" s="291">
        <v>1160902010</v>
      </c>
      <c r="Z182" s="291">
        <v>2023</v>
      </c>
      <c r="AA182" s="291">
        <v>12</v>
      </c>
      <c r="AB182" s="291">
        <v>5026003002</v>
      </c>
      <c r="AC182" s="291">
        <v>1160903005</v>
      </c>
      <c r="AD182" s="291">
        <v>0</v>
      </c>
      <c r="AE182" s="291">
        <v>0</v>
      </c>
      <c r="AF182" s="291">
        <v>0</v>
      </c>
      <c r="AG182" s="291">
        <v>1160605001</v>
      </c>
      <c r="AH182" s="291">
        <v>739</v>
      </c>
      <c r="AI182" s="291" t="s">
        <v>499</v>
      </c>
      <c r="AJ182" s="308">
        <v>0.05</v>
      </c>
      <c r="AK182" s="309">
        <f t="shared" si="24"/>
        <v>0</v>
      </c>
      <c r="AL182" s="309">
        <f t="shared" si="25"/>
        <v>0</v>
      </c>
      <c r="AM182" s="309">
        <f t="shared" si="25"/>
        <v>0</v>
      </c>
      <c r="AN182" s="309"/>
      <c r="AO182" s="309"/>
      <c r="AP182" s="309">
        <f t="shared" si="20"/>
        <v>73225.324999999997</v>
      </c>
      <c r="AQ182" s="309">
        <f t="shared" si="28"/>
        <v>73225.324999999997</v>
      </c>
      <c r="AR182" s="309">
        <f t="shared" si="28"/>
        <v>73225.324999999997</v>
      </c>
      <c r="AS182" s="309"/>
      <c r="AT182" s="309"/>
      <c r="AV182" s="311">
        <f t="shared" si="21"/>
        <v>0</v>
      </c>
      <c r="AW182" s="311">
        <f t="shared" si="22"/>
        <v>2709337.0249999994</v>
      </c>
      <c r="AX182" s="312">
        <f t="shared" si="23"/>
        <v>0</v>
      </c>
    </row>
    <row r="183" spans="1:50">
      <c r="A183" s="291" t="s">
        <v>494</v>
      </c>
      <c r="B183" s="291"/>
      <c r="C183" s="291"/>
      <c r="D183" s="291">
        <v>1160505004</v>
      </c>
      <c r="E183" s="291">
        <v>36446</v>
      </c>
      <c r="F183" s="291">
        <v>42079</v>
      </c>
      <c r="G183" s="306">
        <v>42859</v>
      </c>
      <c r="H183" s="306">
        <v>43955</v>
      </c>
      <c r="I183" s="291">
        <v>1318</v>
      </c>
      <c r="J183" s="307">
        <v>8036703</v>
      </c>
      <c r="K183" s="307">
        <v>1844206</v>
      </c>
      <c r="L183" s="307">
        <v>0</v>
      </c>
      <c r="M183" s="291" t="s">
        <v>495</v>
      </c>
      <c r="N183" s="307">
        <v>8036703</v>
      </c>
      <c r="O183" s="307">
        <v>1844206</v>
      </c>
      <c r="P183" s="307">
        <v>5296187</v>
      </c>
      <c r="Q183" s="291">
        <v>1</v>
      </c>
      <c r="R183" s="291" t="s">
        <v>496</v>
      </c>
      <c r="S183" s="291">
        <v>100</v>
      </c>
      <c r="T183" s="307">
        <v>8036703</v>
      </c>
      <c r="U183" s="307">
        <v>1844206</v>
      </c>
      <c r="V183" s="291">
        <v>100</v>
      </c>
      <c r="W183" s="307">
        <v>3127493</v>
      </c>
      <c r="X183" s="291">
        <v>5</v>
      </c>
      <c r="Y183" s="291">
        <v>1160902010</v>
      </c>
      <c r="Z183" s="291">
        <v>2023</v>
      </c>
      <c r="AA183" s="291">
        <v>12</v>
      </c>
      <c r="AB183" s="291">
        <v>5026003002</v>
      </c>
      <c r="AC183" s="291">
        <v>1160903005</v>
      </c>
      <c r="AD183" s="291">
        <v>0</v>
      </c>
      <c r="AE183" s="291">
        <v>0</v>
      </c>
      <c r="AF183" s="291">
        <v>0</v>
      </c>
      <c r="AG183" s="291">
        <v>1160605001</v>
      </c>
      <c r="AH183" s="291">
        <v>1318</v>
      </c>
      <c r="AI183" s="291" t="s">
        <v>497</v>
      </c>
      <c r="AJ183" s="308">
        <v>0.01</v>
      </c>
      <c r="AK183" s="309">
        <f t="shared" si="24"/>
        <v>80367.03</v>
      </c>
      <c r="AL183" s="309">
        <f t="shared" si="25"/>
        <v>80367.03</v>
      </c>
      <c r="AM183" s="309">
        <f t="shared" si="25"/>
        <v>80367.03</v>
      </c>
      <c r="AN183" s="309"/>
      <c r="AO183" s="309"/>
      <c r="AP183" s="309">
        <f t="shared" si="20"/>
        <v>9221.0300000000007</v>
      </c>
      <c r="AQ183" s="309">
        <f t="shared" ref="AQ183:AR198" si="29">AP183</f>
        <v>9221.0300000000007</v>
      </c>
      <c r="AR183" s="309">
        <f t="shared" si="29"/>
        <v>9221.0300000000007</v>
      </c>
      <c r="AS183" s="309"/>
      <c r="AT183" s="309"/>
      <c r="AV183" s="311">
        <f t="shared" si="21"/>
        <v>7795601.9099999992</v>
      </c>
      <c r="AW183" s="311">
        <f t="shared" si="22"/>
        <v>1816542.91</v>
      </c>
      <c r="AX183" s="312">
        <f t="shared" si="23"/>
        <v>0</v>
      </c>
    </row>
    <row r="184" spans="1:50">
      <c r="A184" s="291" t="s">
        <v>494</v>
      </c>
      <c r="B184" s="291"/>
      <c r="C184" s="291"/>
      <c r="D184" s="291">
        <v>1160505004</v>
      </c>
      <c r="E184" s="291">
        <v>39730</v>
      </c>
      <c r="F184" s="291">
        <v>43161</v>
      </c>
      <c r="G184" s="306">
        <v>43086</v>
      </c>
      <c r="H184" s="306">
        <v>44182</v>
      </c>
      <c r="I184" s="291">
        <v>1095</v>
      </c>
      <c r="J184" s="307">
        <v>2429000</v>
      </c>
      <c r="K184" s="307">
        <v>801576</v>
      </c>
      <c r="L184" s="307">
        <v>0</v>
      </c>
      <c r="M184" s="291" t="s">
        <v>495</v>
      </c>
      <c r="N184" s="307">
        <v>2429000</v>
      </c>
      <c r="O184" s="307">
        <v>801576</v>
      </c>
      <c r="P184" s="307">
        <v>1329878</v>
      </c>
      <c r="Q184" s="291">
        <v>1</v>
      </c>
      <c r="R184" s="291" t="s">
        <v>496</v>
      </c>
      <c r="S184" s="291">
        <v>100</v>
      </c>
      <c r="T184" s="307">
        <v>2429000</v>
      </c>
      <c r="U184" s="307">
        <v>801576</v>
      </c>
      <c r="V184" s="291">
        <v>100</v>
      </c>
      <c r="W184" s="307">
        <v>2158439</v>
      </c>
      <c r="X184" s="291">
        <v>5</v>
      </c>
      <c r="Y184" s="291">
        <v>1160902010</v>
      </c>
      <c r="Z184" s="291">
        <v>2023</v>
      </c>
      <c r="AA184" s="291">
        <v>12</v>
      </c>
      <c r="AB184" s="291">
        <v>5026003002</v>
      </c>
      <c r="AC184" s="291">
        <v>1160903005</v>
      </c>
      <c r="AD184" s="291">
        <v>0</v>
      </c>
      <c r="AE184" s="291">
        <v>0</v>
      </c>
      <c r="AF184" s="291">
        <v>0</v>
      </c>
      <c r="AG184" s="291">
        <v>1160605001</v>
      </c>
      <c r="AH184" s="291">
        <v>1095</v>
      </c>
      <c r="AI184" s="291" t="s">
        <v>497</v>
      </c>
      <c r="AJ184" s="308">
        <v>0.01</v>
      </c>
      <c r="AK184" s="309">
        <f t="shared" si="24"/>
        <v>24290</v>
      </c>
      <c r="AL184" s="309">
        <f t="shared" si="25"/>
        <v>24290</v>
      </c>
      <c r="AM184" s="309">
        <f t="shared" si="25"/>
        <v>24290</v>
      </c>
      <c r="AN184" s="309"/>
      <c r="AO184" s="309"/>
      <c r="AP184" s="309">
        <f t="shared" si="20"/>
        <v>4007.88</v>
      </c>
      <c r="AQ184" s="309">
        <f t="shared" si="29"/>
        <v>4007.88</v>
      </c>
      <c r="AR184" s="309">
        <f t="shared" si="29"/>
        <v>4007.88</v>
      </c>
      <c r="AS184" s="309"/>
      <c r="AT184" s="309"/>
      <c r="AV184" s="311">
        <f t="shared" si="21"/>
        <v>2356130</v>
      </c>
      <c r="AW184" s="311">
        <f t="shared" si="22"/>
        <v>789552.36</v>
      </c>
      <c r="AX184" s="312">
        <f t="shared" si="23"/>
        <v>0</v>
      </c>
    </row>
    <row r="185" spans="1:50">
      <c r="A185" s="291" t="s">
        <v>494</v>
      </c>
      <c r="B185" s="291"/>
      <c r="C185" s="291"/>
      <c r="D185" s="291">
        <v>1160505001</v>
      </c>
      <c r="E185" s="291">
        <v>0</v>
      </c>
      <c r="F185" s="291">
        <v>42570</v>
      </c>
      <c r="G185" s="306">
        <v>42925</v>
      </c>
      <c r="H185" s="306">
        <v>44386</v>
      </c>
      <c r="I185" s="291">
        <v>893</v>
      </c>
      <c r="J185" s="307">
        <v>2089552</v>
      </c>
      <c r="K185" s="307">
        <v>0</v>
      </c>
      <c r="L185" s="307">
        <v>0</v>
      </c>
      <c r="M185" s="291" t="s">
        <v>495</v>
      </c>
      <c r="N185" s="307">
        <v>2089552</v>
      </c>
      <c r="O185" s="307">
        <v>0</v>
      </c>
      <c r="P185" s="307">
        <v>932985</v>
      </c>
      <c r="Q185" s="291">
        <v>1</v>
      </c>
      <c r="R185" s="291" t="s">
        <v>496</v>
      </c>
      <c r="S185" s="291">
        <v>100</v>
      </c>
      <c r="T185" s="307">
        <v>2089552</v>
      </c>
      <c r="U185" s="307">
        <v>0</v>
      </c>
      <c r="V185" s="291">
        <v>100</v>
      </c>
      <c r="W185" s="307">
        <v>1137320</v>
      </c>
      <c r="X185" s="291">
        <v>14</v>
      </c>
      <c r="Y185" s="291">
        <v>1160902010</v>
      </c>
      <c r="Z185" s="291">
        <v>2023</v>
      </c>
      <c r="AA185" s="291">
        <v>12</v>
      </c>
      <c r="AB185" s="291">
        <v>5026003002</v>
      </c>
      <c r="AC185" s="291">
        <v>1160903005</v>
      </c>
      <c r="AD185" s="291">
        <v>0</v>
      </c>
      <c r="AE185" s="291">
        <v>0</v>
      </c>
      <c r="AF185" s="291">
        <v>0</v>
      </c>
      <c r="AG185" s="291">
        <v>1160605001</v>
      </c>
      <c r="AH185" s="291">
        <v>893</v>
      </c>
      <c r="AI185" s="291" t="s">
        <v>499</v>
      </c>
      <c r="AJ185" s="308">
        <v>0.05</v>
      </c>
      <c r="AK185" s="309">
        <f t="shared" si="24"/>
        <v>104477.6</v>
      </c>
      <c r="AL185" s="309">
        <f t="shared" si="25"/>
        <v>104477.6</v>
      </c>
      <c r="AM185" s="309">
        <f t="shared" si="25"/>
        <v>104477.6</v>
      </c>
      <c r="AN185" s="309"/>
      <c r="AO185" s="309"/>
      <c r="AP185" s="309">
        <f t="shared" si="20"/>
        <v>0</v>
      </c>
      <c r="AQ185" s="309">
        <f t="shared" si="29"/>
        <v>0</v>
      </c>
      <c r="AR185" s="309">
        <f t="shared" si="29"/>
        <v>0</v>
      </c>
      <c r="AS185" s="309"/>
      <c r="AT185" s="309"/>
      <c r="AV185" s="311">
        <f t="shared" si="21"/>
        <v>1776119.1999999997</v>
      </c>
      <c r="AW185" s="311">
        <f t="shared" si="22"/>
        <v>0</v>
      </c>
      <c r="AX185" s="312">
        <f t="shared" si="23"/>
        <v>0</v>
      </c>
    </row>
    <row r="186" spans="1:50">
      <c r="A186" s="291" t="s">
        <v>494</v>
      </c>
      <c r="B186" s="291"/>
      <c r="C186" s="291"/>
      <c r="D186" s="291">
        <v>1160505001</v>
      </c>
      <c r="E186" s="291">
        <v>0</v>
      </c>
      <c r="F186" s="291">
        <v>43660</v>
      </c>
      <c r="G186" s="306">
        <v>43143</v>
      </c>
      <c r="H186" s="306">
        <v>44239</v>
      </c>
      <c r="I186" s="291">
        <v>1040</v>
      </c>
      <c r="J186" s="307">
        <v>2811644</v>
      </c>
      <c r="K186" s="307">
        <v>0</v>
      </c>
      <c r="L186" s="307">
        <v>0</v>
      </c>
      <c r="M186" s="291" t="s">
        <v>495</v>
      </c>
      <c r="N186" s="307">
        <v>2811644</v>
      </c>
      <c r="O186" s="307">
        <v>0</v>
      </c>
      <c r="P186" s="307">
        <v>1462055</v>
      </c>
      <c r="Q186" s="291">
        <v>1</v>
      </c>
      <c r="R186" s="291" t="s">
        <v>496</v>
      </c>
      <c r="S186" s="291">
        <v>100</v>
      </c>
      <c r="T186" s="307">
        <v>2811644</v>
      </c>
      <c r="U186" s="307">
        <v>0</v>
      </c>
      <c r="V186" s="291">
        <v>100</v>
      </c>
      <c r="W186" s="307">
        <v>5458897</v>
      </c>
      <c r="X186" s="291">
        <v>2</v>
      </c>
      <c r="Y186" s="291">
        <v>1160902010</v>
      </c>
      <c r="Z186" s="291">
        <v>2023</v>
      </c>
      <c r="AA186" s="291">
        <v>12</v>
      </c>
      <c r="AB186" s="291">
        <v>5026003002</v>
      </c>
      <c r="AC186" s="291">
        <v>1160903005</v>
      </c>
      <c r="AD186" s="291">
        <v>0</v>
      </c>
      <c r="AE186" s="291">
        <v>0</v>
      </c>
      <c r="AF186" s="291">
        <v>0</v>
      </c>
      <c r="AG186" s="291">
        <v>1160605001</v>
      </c>
      <c r="AH186" s="291">
        <v>1040</v>
      </c>
      <c r="AI186" s="291" t="s">
        <v>499</v>
      </c>
      <c r="AJ186" s="308">
        <v>0.05</v>
      </c>
      <c r="AK186" s="309">
        <f t="shared" si="24"/>
        <v>140582.20000000001</v>
      </c>
      <c r="AL186" s="309">
        <f t="shared" si="25"/>
        <v>140582.20000000001</v>
      </c>
      <c r="AM186" s="309">
        <f t="shared" si="25"/>
        <v>140582.20000000001</v>
      </c>
      <c r="AN186" s="309"/>
      <c r="AO186" s="309"/>
      <c r="AP186" s="309">
        <f t="shared" si="20"/>
        <v>0</v>
      </c>
      <c r="AQ186" s="309">
        <f t="shared" si="29"/>
        <v>0</v>
      </c>
      <c r="AR186" s="309">
        <f t="shared" si="29"/>
        <v>0</v>
      </c>
      <c r="AS186" s="309"/>
      <c r="AT186" s="309"/>
      <c r="AV186" s="311">
        <f t="shared" si="21"/>
        <v>2389897.3999999994</v>
      </c>
      <c r="AW186" s="311">
        <f t="shared" si="22"/>
        <v>0</v>
      </c>
      <c r="AX186" s="312">
        <f t="shared" si="23"/>
        <v>0</v>
      </c>
    </row>
    <row r="187" spans="1:50">
      <c r="A187" s="291" t="s">
        <v>494</v>
      </c>
      <c r="B187" s="291"/>
      <c r="C187" s="291"/>
      <c r="D187" s="291">
        <v>1160505001</v>
      </c>
      <c r="E187" s="291">
        <v>0</v>
      </c>
      <c r="F187" s="291">
        <v>44427</v>
      </c>
      <c r="G187" s="306">
        <v>43226</v>
      </c>
      <c r="H187" s="306">
        <v>44322</v>
      </c>
      <c r="I187" s="291">
        <v>956</v>
      </c>
      <c r="J187" s="307">
        <v>10684000</v>
      </c>
      <c r="K187" s="307">
        <v>1891068</v>
      </c>
      <c r="L187" s="307">
        <v>0</v>
      </c>
      <c r="M187" s="291" t="s">
        <v>495</v>
      </c>
      <c r="N187" s="307">
        <v>10684000</v>
      </c>
      <c r="O187" s="307">
        <v>1891068</v>
      </c>
      <c r="P187" s="307">
        <v>5106952</v>
      </c>
      <c r="Q187" s="291">
        <v>1</v>
      </c>
      <c r="R187" s="291" t="s">
        <v>496</v>
      </c>
      <c r="S187" s="291">
        <v>100</v>
      </c>
      <c r="T187" s="307">
        <v>10684000</v>
      </c>
      <c r="U187" s="307">
        <v>1891068</v>
      </c>
      <c r="V187" s="291">
        <v>100</v>
      </c>
      <c r="W187" s="307">
        <v>5458897</v>
      </c>
      <c r="X187" s="291">
        <v>2</v>
      </c>
      <c r="Y187" s="291">
        <v>1160902010</v>
      </c>
      <c r="Z187" s="291">
        <v>2023</v>
      </c>
      <c r="AA187" s="291">
        <v>12</v>
      </c>
      <c r="AB187" s="291">
        <v>5026003002</v>
      </c>
      <c r="AC187" s="291">
        <v>1160903005</v>
      </c>
      <c r="AD187" s="291">
        <v>0</v>
      </c>
      <c r="AE187" s="291">
        <v>0</v>
      </c>
      <c r="AF187" s="291">
        <v>0</v>
      </c>
      <c r="AG187" s="291">
        <v>1160605001</v>
      </c>
      <c r="AH187" s="291">
        <v>1040</v>
      </c>
      <c r="AI187" s="291" t="s">
        <v>499</v>
      </c>
      <c r="AJ187" s="308">
        <v>0.05</v>
      </c>
      <c r="AK187" s="309">
        <f t="shared" si="24"/>
        <v>534200</v>
      </c>
      <c r="AL187" s="309">
        <f t="shared" si="25"/>
        <v>534200</v>
      </c>
      <c r="AM187" s="309">
        <f t="shared" si="25"/>
        <v>534200</v>
      </c>
      <c r="AN187" s="309"/>
      <c r="AO187" s="309"/>
      <c r="AP187" s="309">
        <f t="shared" si="20"/>
        <v>47276.700000000004</v>
      </c>
      <c r="AQ187" s="309">
        <f t="shared" si="29"/>
        <v>47276.700000000004</v>
      </c>
      <c r="AR187" s="309">
        <f t="shared" si="29"/>
        <v>47276.700000000004</v>
      </c>
      <c r="AS187" s="309"/>
      <c r="AT187" s="309"/>
      <c r="AV187" s="311">
        <f t="shared" si="21"/>
        <v>9081400</v>
      </c>
      <c r="AW187" s="311">
        <f t="shared" si="22"/>
        <v>1749237.9000000001</v>
      </c>
      <c r="AX187" s="312">
        <f t="shared" si="23"/>
        <v>0</v>
      </c>
    </row>
    <row r="188" spans="1:50">
      <c r="A188" s="291" t="s">
        <v>494</v>
      </c>
      <c r="B188" s="291"/>
      <c r="C188" s="291"/>
      <c r="D188" s="291">
        <v>1160505001</v>
      </c>
      <c r="E188" s="291">
        <v>0</v>
      </c>
      <c r="F188" s="291">
        <v>46838</v>
      </c>
      <c r="G188" s="306">
        <v>43618</v>
      </c>
      <c r="H188" s="306">
        <v>44714</v>
      </c>
      <c r="I188" s="291">
        <v>570</v>
      </c>
      <c r="J188" s="307">
        <v>35000000</v>
      </c>
      <c r="K188" s="307">
        <v>9450000</v>
      </c>
      <c r="L188" s="307">
        <v>0</v>
      </c>
      <c r="M188" s="291" t="s">
        <v>495</v>
      </c>
      <c r="N188" s="307">
        <v>35000000</v>
      </c>
      <c r="O188" s="307">
        <v>9450000</v>
      </c>
      <c r="P188" s="307">
        <v>9975000</v>
      </c>
      <c r="Q188" s="291">
        <v>1</v>
      </c>
      <c r="R188" s="291" t="s">
        <v>496</v>
      </c>
      <c r="S188" s="291">
        <v>100</v>
      </c>
      <c r="T188" s="307">
        <v>35000000</v>
      </c>
      <c r="U188" s="307">
        <v>9450000</v>
      </c>
      <c r="V188" s="291">
        <v>100</v>
      </c>
      <c r="W188" s="307">
        <v>8185259</v>
      </c>
      <c r="X188" s="291">
        <v>2</v>
      </c>
      <c r="Y188" s="291">
        <v>1160902010</v>
      </c>
      <c r="Z188" s="291">
        <v>2023</v>
      </c>
      <c r="AA188" s="291">
        <v>12</v>
      </c>
      <c r="AB188" s="291">
        <v>5026003002</v>
      </c>
      <c r="AC188" s="291">
        <v>1160903005</v>
      </c>
      <c r="AD188" s="291">
        <v>0</v>
      </c>
      <c r="AE188" s="291">
        <v>0</v>
      </c>
      <c r="AF188" s="291">
        <v>0</v>
      </c>
      <c r="AG188" s="291">
        <v>1160605001</v>
      </c>
      <c r="AH188" s="291">
        <v>570</v>
      </c>
      <c r="AI188" s="291" t="s">
        <v>498</v>
      </c>
      <c r="AJ188" s="308">
        <v>0.1</v>
      </c>
      <c r="AK188" s="309">
        <f t="shared" si="24"/>
        <v>3500000</v>
      </c>
      <c r="AL188" s="309">
        <f t="shared" si="25"/>
        <v>3500000</v>
      </c>
      <c r="AM188" s="309">
        <f t="shared" si="25"/>
        <v>3500000</v>
      </c>
      <c r="AN188" s="309"/>
      <c r="AO188" s="309"/>
      <c r="AP188" s="309">
        <f t="shared" si="20"/>
        <v>472500</v>
      </c>
      <c r="AQ188" s="309">
        <f t="shared" si="29"/>
        <v>472500</v>
      </c>
      <c r="AR188" s="309">
        <f t="shared" si="29"/>
        <v>472500</v>
      </c>
      <c r="AS188" s="309"/>
      <c r="AT188" s="309"/>
      <c r="AV188" s="311">
        <f t="shared" si="21"/>
        <v>24500000</v>
      </c>
      <c r="AW188" s="311">
        <f t="shared" si="22"/>
        <v>8032500</v>
      </c>
      <c r="AX188" s="312">
        <f t="shared" si="23"/>
        <v>0</v>
      </c>
    </row>
    <row r="189" spans="1:50">
      <c r="A189" s="291" t="s">
        <v>494</v>
      </c>
      <c r="B189" s="291"/>
      <c r="C189" s="291"/>
      <c r="D189" s="291">
        <v>1160505001</v>
      </c>
      <c r="E189" s="291">
        <v>0</v>
      </c>
      <c r="F189" s="291">
        <v>42272</v>
      </c>
      <c r="G189" s="306">
        <v>42882</v>
      </c>
      <c r="H189" s="306">
        <v>44708</v>
      </c>
      <c r="I189" s="291">
        <v>575</v>
      </c>
      <c r="J189" s="307">
        <v>1000000</v>
      </c>
      <c r="K189" s="307">
        <v>103636</v>
      </c>
      <c r="L189" s="307">
        <v>0</v>
      </c>
      <c r="M189" s="291" t="s">
        <v>495</v>
      </c>
      <c r="N189" s="307">
        <v>1000000</v>
      </c>
      <c r="O189" s="307">
        <v>103636</v>
      </c>
      <c r="P189" s="307">
        <v>287500</v>
      </c>
      <c r="Q189" s="291">
        <v>1</v>
      </c>
      <c r="R189" s="291" t="s">
        <v>496</v>
      </c>
      <c r="S189" s="291">
        <v>100</v>
      </c>
      <c r="T189" s="307">
        <v>1000000</v>
      </c>
      <c r="U189" s="307">
        <v>103636</v>
      </c>
      <c r="V189" s="291">
        <v>100</v>
      </c>
      <c r="W189" s="307">
        <v>5359931</v>
      </c>
      <c r="X189" s="291">
        <v>14</v>
      </c>
      <c r="Y189" s="291">
        <v>1160902010</v>
      </c>
      <c r="Z189" s="291">
        <v>2023</v>
      </c>
      <c r="AA189" s="291">
        <v>12</v>
      </c>
      <c r="AB189" s="291">
        <v>5026003002</v>
      </c>
      <c r="AC189" s="291">
        <v>1160903005</v>
      </c>
      <c r="AD189" s="291">
        <v>0</v>
      </c>
      <c r="AE189" s="291">
        <v>0</v>
      </c>
      <c r="AF189" s="291">
        <v>0</v>
      </c>
      <c r="AG189" s="291">
        <v>1160605001</v>
      </c>
      <c r="AH189" s="291">
        <v>575</v>
      </c>
      <c r="AI189" s="291" t="s">
        <v>498</v>
      </c>
      <c r="AJ189" s="308">
        <v>0.1</v>
      </c>
      <c r="AK189" s="309">
        <f t="shared" si="24"/>
        <v>100000</v>
      </c>
      <c r="AL189" s="309">
        <f t="shared" si="25"/>
        <v>100000</v>
      </c>
      <c r="AM189" s="309">
        <f t="shared" si="25"/>
        <v>100000</v>
      </c>
      <c r="AN189" s="309"/>
      <c r="AO189" s="309"/>
      <c r="AP189" s="309">
        <f t="shared" si="20"/>
        <v>5181.8</v>
      </c>
      <c r="AQ189" s="309">
        <f t="shared" si="29"/>
        <v>5181.8</v>
      </c>
      <c r="AR189" s="309">
        <f t="shared" si="29"/>
        <v>5181.8</v>
      </c>
      <c r="AS189" s="309"/>
      <c r="AT189" s="309"/>
      <c r="AV189" s="311">
        <f t="shared" si="21"/>
        <v>700000</v>
      </c>
      <c r="AW189" s="311">
        <f t="shared" si="22"/>
        <v>88090.599999999991</v>
      </c>
      <c r="AX189" s="312">
        <f t="shared" si="23"/>
        <v>0</v>
      </c>
    </row>
    <row r="190" spans="1:50">
      <c r="A190" s="291" t="s">
        <v>494</v>
      </c>
      <c r="B190" s="291"/>
      <c r="C190" s="291"/>
      <c r="D190" s="291">
        <v>1160505001</v>
      </c>
      <c r="E190" s="291">
        <v>0</v>
      </c>
      <c r="F190" s="291">
        <v>41272</v>
      </c>
      <c r="G190" s="306">
        <v>42765</v>
      </c>
      <c r="H190" s="306">
        <v>43860</v>
      </c>
      <c r="I190" s="291">
        <v>1412</v>
      </c>
      <c r="J190" s="307">
        <v>2000000</v>
      </c>
      <c r="K190" s="307">
        <v>0</v>
      </c>
      <c r="L190" s="307">
        <v>0</v>
      </c>
      <c r="M190" s="291" t="s">
        <v>495</v>
      </c>
      <c r="N190" s="307">
        <v>2000000</v>
      </c>
      <c r="O190" s="307">
        <v>0</v>
      </c>
      <c r="P190" s="307">
        <v>1412000</v>
      </c>
      <c r="Q190" s="291">
        <v>1</v>
      </c>
      <c r="R190" s="291" t="s">
        <v>496</v>
      </c>
      <c r="S190" s="291">
        <v>100</v>
      </c>
      <c r="T190" s="307">
        <v>2000000</v>
      </c>
      <c r="U190" s="307">
        <v>0</v>
      </c>
      <c r="V190" s="291">
        <v>100</v>
      </c>
      <c r="W190" s="307">
        <v>6308421</v>
      </c>
      <c r="X190" s="291">
        <v>2</v>
      </c>
      <c r="Y190" s="291">
        <v>1160902010</v>
      </c>
      <c r="Z190" s="291">
        <v>2023</v>
      </c>
      <c r="AA190" s="291">
        <v>12</v>
      </c>
      <c r="AB190" s="291">
        <v>5026003002</v>
      </c>
      <c r="AC190" s="291">
        <v>1160903005</v>
      </c>
      <c r="AD190" s="291">
        <v>0</v>
      </c>
      <c r="AE190" s="291">
        <v>0</v>
      </c>
      <c r="AF190" s="291">
        <v>0</v>
      </c>
      <c r="AG190" s="291">
        <v>1160605001</v>
      </c>
      <c r="AH190" s="291">
        <v>1412</v>
      </c>
      <c r="AI190" s="291" t="s">
        <v>497</v>
      </c>
      <c r="AJ190" s="308">
        <v>0.01</v>
      </c>
      <c r="AK190" s="309">
        <f t="shared" si="24"/>
        <v>20000</v>
      </c>
      <c r="AL190" s="309">
        <f t="shared" si="25"/>
        <v>20000</v>
      </c>
      <c r="AM190" s="309">
        <f t="shared" si="25"/>
        <v>20000</v>
      </c>
      <c r="AN190" s="309"/>
      <c r="AO190" s="309"/>
      <c r="AP190" s="309">
        <f t="shared" si="20"/>
        <v>0</v>
      </c>
      <c r="AQ190" s="309">
        <f t="shared" si="29"/>
        <v>0</v>
      </c>
      <c r="AR190" s="309">
        <f t="shared" si="29"/>
        <v>0</v>
      </c>
      <c r="AS190" s="309"/>
      <c r="AT190" s="309"/>
      <c r="AV190" s="311">
        <f t="shared" si="21"/>
        <v>1940000</v>
      </c>
      <c r="AW190" s="311">
        <f t="shared" si="22"/>
        <v>0</v>
      </c>
      <c r="AX190" s="312">
        <f t="shared" si="23"/>
        <v>0</v>
      </c>
    </row>
    <row r="191" spans="1:50">
      <c r="A191" s="291" t="s">
        <v>494</v>
      </c>
      <c r="B191" s="291"/>
      <c r="C191" s="291"/>
      <c r="D191" s="291">
        <v>1160505001</v>
      </c>
      <c r="E191" s="291">
        <v>0</v>
      </c>
      <c r="F191" s="291">
        <v>46823</v>
      </c>
      <c r="G191" s="306">
        <v>43618</v>
      </c>
      <c r="H191" s="306">
        <v>44714</v>
      </c>
      <c r="I191" s="291">
        <v>570</v>
      </c>
      <c r="J191" s="307">
        <v>2332000</v>
      </c>
      <c r="K191" s="307">
        <v>195888</v>
      </c>
      <c r="L191" s="307">
        <v>0</v>
      </c>
      <c r="M191" s="291" t="s">
        <v>495</v>
      </c>
      <c r="N191" s="307">
        <v>2332000</v>
      </c>
      <c r="O191" s="307">
        <v>195888</v>
      </c>
      <c r="P191" s="307">
        <v>664620</v>
      </c>
      <c r="Q191" s="291">
        <v>1</v>
      </c>
      <c r="R191" s="291" t="s">
        <v>496</v>
      </c>
      <c r="S191" s="291">
        <v>100</v>
      </c>
      <c r="T191" s="307">
        <v>2332000</v>
      </c>
      <c r="U191" s="307">
        <v>195888</v>
      </c>
      <c r="V191" s="291">
        <v>100</v>
      </c>
      <c r="W191" s="307">
        <v>3911866</v>
      </c>
      <c r="X191" s="291">
        <v>2</v>
      </c>
      <c r="Y191" s="291">
        <v>1160902010</v>
      </c>
      <c r="Z191" s="291">
        <v>2023</v>
      </c>
      <c r="AA191" s="291">
        <v>12</v>
      </c>
      <c r="AB191" s="291">
        <v>5026003002</v>
      </c>
      <c r="AC191" s="291">
        <v>1160903005</v>
      </c>
      <c r="AD191" s="291">
        <v>0</v>
      </c>
      <c r="AE191" s="291">
        <v>0</v>
      </c>
      <c r="AF191" s="291">
        <v>0</v>
      </c>
      <c r="AG191" s="291">
        <v>1160605001</v>
      </c>
      <c r="AH191" s="291">
        <v>570</v>
      </c>
      <c r="AI191" s="291" t="s">
        <v>498</v>
      </c>
      <c r="AJ191" s="308">
        <v>0.1</v>
      </c>
      <c r="AK191" s="309">
        <f t="shared" si="24"/>
        <v>233200</v>
      </c>
      <c r="AL191" s="309">
        <f t="shared" si="25"/>
        <v>233200</v>
      </c>
      <c r="AM191" s="309">
        <f t="shared" si="25"/>
        <v>233200</v>
      </c>
      <c r="AN191" s="309"/>
      <c r="AO191" s="309"/>
      <c r="AP191" s="309">
        <f t="shared" si="20"/>
        <v>9794.4</v>
      </c>
      <c r="AQ191" s="309">
        <f t="shared" si="29"/>
        <v>9794.4</v>
      </c>
      <c r="AR191" s="309">
        <f t="shared" si="29"/>
        <v>9794.4</v>
      </c>
      <c r="AS191" s="309"/>
      <c r="AT191" s="309"/>
      <c r="AV191" s="311">
        <f t="shared" si="21"/>
        <v>1632400</v>
      </c>
      <c r="AW191" s="311">
        <f t="shared" si="22"/>
        <v>166504.80000000002</v>
      </c>
      <c r="AX191" s="312">
        <f t="shared" si="23"/>
        <v>0</v>
      </c>
    </row>
    <row r="192" spans="1:50">
      <c r="A192" s="291" t="s">
        <v>494</v>
      </c>
      <c r="B192" s="291"/>
      <c r="C192" s="291"/>
      <c r="D192" s="291">
        <v>1160505001</v>
      </c>
      <c r="E192" s="291">
        <v>0</v>
      </c>
      <c r="F192" s="291">
        <v>46975</v>
      </c>
      <c r="G192" s="306">
        <v>43639</v>
      </c>
      <c r="H192" s="306">
        <v>44005</v>
      </c>
      <c r="I192" s="291">
        <v>1269</v>
      </c>
      <c r="J192" s="307">
        <v>27850000</v>
      </c>
      <c r="K192" s="307">
        <v>5013000</v>
      </c>
      <c r="L192" s="307">
        <v>0</v>
      </c>
      <c r="M192" s="291" t="s">
        <v>495</v>
      </c>
      <c r="N192" s="307">
        <v>27850000</v>
      </c>
      <c r="O192" s="307">
        <v>5013000</v>
      </c>
      <c r="P192" s="307">
        <v>17670825</v>
      </c>
      <c r="Q192" s="291">
        <v>1</v>
      </c>
      <c r="R192" s="291" t="s">
        <v>496</v>
      </c>
      <c r="S192" s="291">
        <v>100</v>
      </c>
      <c r="T192" s="307">
        <v>27850000</v>
      </c>
      <c r="U192" s="307">
        <v>5013000</v>
      </c>
      <c r="V192" s="291">
        <v>100</v>
      </c>
      <c r="W192" s="307">
        <v>30978533</v>
      </c>
      <c r="X192" s="291">
        <v>2</v>
      </c>
      <c r="Y192" s="291">
        <v>1160902010</v>
      </c>
      <c r="Z192" s="291">
        <v>2023</v>
      </c>
      <c r="AA192" s="291">
        <v>12</v>
      </c>
      <c r="AB192" s="291">
        <v>5026003002</v>
      </c>
      <c r="AC192" s="291">
        <v>1160903005</v>
      </c>
      <c r="AD192" s="291">
        <v>0</v>
      </c>
      <c r="AE192" s="291">
        <v>0</v>
      </c>
      <c r="AF192" s="291">
        <v>0</v>
      </c>
      <c r="AG192" s="291">
        <v>1160605001</v>
      </c>
      <c r="AH192" s="291">
        <v>1269</v>
      </c>
      <c r="AI192" s="291" t="s">
        <v>503</v>
      </c>
      <c r="AJ192" s="308">
        <v>0</v>
      </c>
      <c r="AK192" s="309">
        <f t="shared" si="24"/>
        <v>0</v>
      </c>
      <c r="AL192" s="309">
        <f t="shared" si="25"/>
        <v>0</v>
      </c>
      <c r="AM192" s="309">
        <f t="shared" si="25"/>
        <v>0</v>
      </c>
      <c r="AN192" s="309"/>
      <c r="AO192" s="309"/>
      <c r="AP192" s="309">
        <f t="shared" si="20"/>
        <v>0</v>
      </c>
      <c r="AQ192" s="309">
        <f t="shared" si="29"/>
        <v>0</v>
      </c>
      <c r="AR192" s="309">
        <f t="shared" si="29"/>
        <v>0</v>
      </c>
      <c r="AS192" s="309"/>
      <c r="AT192" s="309"/>
      <c r="AV192" s="311">
        <f t="shared" si="21"/>
        <v>27850000</v>
      </c>
      <c r="AW192" s="311">
        <f t="shared" si="22"/>
        <v>5013000</v>
      </c>
      <c r="AX192" s="312">
        <f t="shared" si="23"/>
        <v>0</v>
      </c>
    </row>
    <row r="193" spans="1:50">
      <c r="A193" s="291" t="s">
        <v>494</v>
      </c>
      <c r="B193" s="291"/>
      <c r="C193" s="291"/>
      <c r="D193" s="291">
        <v>1160505004</v>
      </c>
      <c r="E193" s="291">
        <v>31457</v>
      </c>
      <c r="F193" s="291">
        <v>37486</v>
      </c>
      <c r="G193" s="306">
        <v>42079</v>
      </c>
      <c r="H193" s="306">
        <v>43175</v>
      </c>
      <c r="I193" s="291">
        <v>2086</v>
      </c>
      <c r="J193" s="307">
        <v>2739152</v>
      </c>
      <c r="K193" s="307">
        <v>0</v>
      </c>
      <c r="L193" s="307">
        <v>0</v>
      </c>
      <c r="M193" s="291" t="s">
        <v>495</v>
      </c>
      <c r="N193" s="307">
        <v>2739152</v>
      </c>
      <c r="O193" s="307">
        <v>0</v>
      </c>
      <c r="P193" s="307">
        <v>2856936</v>
      </c>
      <c r="Q193" s="291">
        <v>1</v>
      </c>
      <c r="R193" s="291" t="s">
        <v>496</v>
      </c>
      <c r="S193" s="291">
        <v>100</v>
      </c>
      <c r="T193" s="307">
        <v>2739152</v>
      </c>
      <c r="U193" s="307">
        <v>0</v>
      </c>
      <c r="V193" s="291">
        <v>100</v>
      </c>
      <c r="W193" s="307">
        <v>0</v>
      </c>
      <c r="X193" s="291">
        <v>5</v>
      </c>
      <c r="Y193" s="291">
        <v>1160902010</v>
      </c>
      <c r="Z193" s="291">
        <v>2023</v>
      </c>
      <c r="AA193" s="291">
        <v>12</v>
      </c>
      <c r="AB193" s="291">
        <v>5026003002</v>
      </c>
      <c r="AC193" s="291">
        <v>1160903005</v>
      </c>
      <c r="AD193" s="291">
        <v>0</v>
      </c>
      <c r="AE193" s="291">
        <v>0</v>
      </c>
      <c r="AF193" s="291">
        <v>0</v>
      </c>
      <c r="AG193" s="291">
        <v>1160605001</v>
      </c>
      <c r="AH193" s="291">
        <v>2086</v>
      </c>
      <c r="AI193" s="291" t="s">
        <v>497</v>
      </c>
      <c r="AJ193" s="308">
        <v>0.01</v>
      </c>
      <c r="AK193" s="309">
        <f t="shared" si="24"/>
        <v>27391.52</v>
      </c>
      <c r="AL193" s="309">
        <f t="shared" si="25"/>
        <v>27391.52</v>
      </c>
      <c r="AM193" s="309">
        <f t="shared" si="25"/>
        <v>27391.52</v>
      </c>
      <c r="AN193" s="309"/>
      <c r="AO193" s="309"/>
      <c r="AP193" s="309">
        <f t="shared" si="20"/>
        <v>0</v>
      </c>
      <c r="AQ193" s="309">
        <f t="shared" si="29"/>
        <v>0</v>
      </c>
      <c r="AR193" s="309">
        <f t="shared" si="29"/>
        <v>0</v>
      </c>
      <c r="AS193" s="309"/>
      <c r="AT193" s="309"/>
      <c r="AV193" s="311">
        <f t="shared" si="21"/>
        <v>2656977.44</v>
      </c>
      <c r="AW193" s="311">
        <f t="shared" si="22"/>
        <v>0</v>
      </c>
      <c r="AX193" s="312">
        <f t="shared" si="23"/>
        <v>0</v>
      </c>
    </row>
    <row r="194" spans="1:50">
      <c r="A194" s="291" t="s">
        <v>494</v>
      </c>
      <c r="B194" s="291"/>
      <c r="C194" s="291"/>
      <c r="D194" s="291">
        <v>1160505001</v>
      </c>
      <c r="E194" s="291">
        <v>0</v>
      </c>
      <c r="F194" s="291">
        <v>45567</v>
      </c>
      <c r="G194" s="306">
        <v>43451</v>
      </c>
      <c r="H194" s="306">
        <v>43816</v>
      </c>
      <c r="I194" s="291">
        <v>1455</v>
      </c>
      <c r="J194" s="307">
        <v>4872138</v>
      </c>
      <c r="K194" s="307">
        <v>0</v>
      </c>
      <c r="L194" s="307">
        <v>0</v>
      </c>
      <c r="M194" s="291" t="s">
        <v>495</v>
      </c>
      <c r="N194" s="307">
        <v>4872138</v>
      </c>
      <c r="O194" s="307">
        <v>0</v>
      </c>
      <c r="P194" s="307">
        <v>3544480</v>
      </c>
      <c r="Q194" s="291">
        <v>1</v>
      </c>
      <c r="R194" s="291" t="s">
        <v>496</v>
      </c>
      <c r="S194" s="291">
        <v>100</v>
      </c>
      <c r="T194" s="307">
        <v>4872138</v>
      </c>
      <c r="U194" s="307">
        <v>0</v>
      </c>
      <c r="V194" s="291">
        <v>100</v>
      </c>
      <c r="W194" s="307">
        <v>8261800</v>
      </c>
      <c r="X194" s="291">
        <v>2</v>
      </c>
      <c r="Y194" s="291">
        <v>1160902010</v>
      </c>
      <c r="Z194" s="291">
        <v>2023</v>
      </c>
      <c r="AA194" s="291">
        <v>12</v>
      </c>
      <c r="AB194" s="291">
        <v>5026003002</v>
      </c>
      <c r="AC194" s="291">
        <v>1160903005</v>
      </c>
      <c r="AD194" s="291">
        <v>0</v>
      </c>
      <c r="AE194" s="291">
        <v>0</v>
      </c>
      <c r="AF194" s="291">
        <v>0</v>
      </c>
      <c r="AG194" s="291">
        <v>1160605001</v>
      </c>
      <c r="AH194" s="291">
        <v>1455</v>
      </c>
      <c r="AI194" s="291" t="s">
        <v>497</v>
      </c>
      <c r="AJ194" s="308">
        <v>0.01</v>
      </c>
      <c r="AK194" s="309">
        <f t="shared" si="24"/>
        <v>48721.38</v>
      </c>
      <c r="AL194" s="309">
        <f t="shared" si="25"/>
        <v>48721.38</v>
      </c>
      <c r="AM194" s="309">
        <f t="shared" si="25"/>
        <v>48721.38</v>
      </c>
      <c r="AN194" s="309"/>
      <c r="AO194" s="309"/>
      <c r="AP194" s="309">
        <f t="shared" si="20"/>
        <v>0</v>
      </c>
      <c r="AQ194" s="309">
        <f t="shared" si="29"/>
        <v>0</v>
      </c>
      <c r="AR194" s="309">
        <f t="shared" si="29"/>
        <v>0</v>
      </c>
      <c r="AS194" s="309"/>
      <c r="AT194" s="309"/>
      <c r="AV194" s="311">
        <f t="shared" si="21"/>
        <v>4725973.8600000003</v>
      </c>
      <c r="AW194" s="311">
        <f t="shared" si="22"/>
        <v>0</v>
      </c>
      <c r="AX194" s="312">
        <f t="shared" si="23"/>
        <v>0</v>
      </c>
    </row>
    <row r="195" spans="1:50">
      <c r="A195" s="291" t="s">
        <v>494</v>
      </c>
      <c r="B195" s="291"/>
      <c r="C195" s="291"/>
      <c r="D195" s="291">
        <v>1160505001</v>
      </c>
      <c r="E195" s="291">
        <v>0</v>
      </c>
      <c r="F195" s="291">
        <v>45060</v>
      </c>
      <c r="G195" s="306">
        <v>43307</v>
      </c>
      <c r="H195" s="306">
        <v>45133</v>
      </c>
      <c r="I195" s="291">
        <v>156</v>
      </c>
      <c r="J195" s="307">
        <v>12000000</v>
      </c>
      <c r="K195" s="307">
        <v>7095000</v>
      </c>
      <c r="L195" s="307">
        <v>0</v>
      </c>
      <c r="M195" s="291" t="s">
        <v>495</v>
      </c>
      <c r="N195" s="307">
        <v>12000000</v>
      </c>
      <c r="O195" s="307">
        <v>7095000</v>
      </c>
      <c r="P195" s="307">
        <v>936000</v>
      </c>
      <c r="Q195" s="291">
        <v>1</v>
      </c>
      <c r="R195" s="291" t="s">
        <v>496</v>
      </c>
      <c r="S195" s="291">
        <v>100</v>
      </c>
      <c r="T195" s="307">
        <v>12000000</v>
      </c>
      <c r="U195" s="307">
        <v>7095000</v>
      </c>
      <c r="V195" s="291">
        <v>100</v>
      </c>
      <c r="W195" s="307">
        <v>8261800</v>
      </c>
      <c r="X195" s="291">
        <v>14</v>
      </c>
      <c r="Y195" s="291">
        <v>1160902010</v>
      </c>
      <c r="Z195" s="291">
        <v>2023</v>
      </c>
      <c r="AA195" s="291">
        <v>12</v>
      </c>
      <c r="AB195" s="291">
        <v>5026003002</v>
      </c>
      <c r="AC195" s="291">
        <v>1160903005</v>
      </c>
      <c r="AD195" s="291">
        <v>0</v>
      </c>
      <c r="AE195" s="291">
        <v>0</v>
      </c>
      <c r="AF195" s="291">
        <v>0</v>
      </c>
      <c r="AG195" s="291">
        <v>1160605001</v>
      </c>
      <c r="AH195" s="291">
        <v>1455</v>
      </c>
      <c r="AI195" s="291" t="s">
        <v>497</v>
      </c>
      <c r="AJ195" s="308">
        <v>0.01</v>
      </c>
      <c r="AK195" s="309">
        <f t="shared" si="24"/>
        <v>120000</v>
      </c>
      <c r="AL195" s="309">
        <f t="shared" si="25"/>
        <v>120000</v>
      </c>
      <c r="AM195" s="309">
        <f t="shared" si="25"/>
        <v>120000</v>
      </c>
      <c r="AN195" s="309"/>
      <c r="AO195" s="309"/>
      <c r="AP195" s="309">
        <f t="shared" si="20"/>
        <v>35475</v>
      </c>
      <c r="AQ195" s="309">
        <f t="shared" si="29"/>
        <v>35475</v>
      </c>
      <c r="AR195" s="309">
        <f t="shared" si="29"/>
        <v>35475</v>
      </c>
      <c r="AS195" s="309"/>
      <c r="AT195" s="309"/>
      <c r="AV195" s="311">
        <f t="shared" si="21"/>
        <v>11640000</v>
      </c>
      <c r="AW195" s="311">
        <f t="shared" si="22"/>
        <v>6988575</v>
      </c>
      <c r="AX195" s="312">
        <f t="shared" si="23"/>
        <v>0</v>
      </c>
    </row>
    <row r="196" spans="1:50">
      <c r="A196" s="291" t="s">
        <v>494</v>
      </c>
      <c r="B196" s="291"/>
      <c r="C196" s="291"/>
      <c r="D196" s="291">
        <v>1160505001</v>
      </c>
      <c r="E196" s="291">
        <v>0</v>
      </c>
      <c r="F196" s="291">
        <v>44755</v>
      </c>
      <c r="G196" s="306">
        <v>43268</v>
      </c>
      <c r="H196" s="306">
        <v>43633</v>
      </c>
      <c r="I196" s="291">
        <v>1635</v>
      </c>
      <c r="J196" s="307">
        <v>5000000</v>
      </c>
      <c r="K196" s="307">
        <v>0</v>
      </c>
      <c r="L196" s="307">
        <v>0</v>
      </c>
      <c r="M196" s="291" t="s">
        <v>495</v>
      </c>
      <c r="N196" s="307">
        <v>5000000</v>
      </c>
      <c r="O196" s="307">
        <v>0</v>
      </c>
      <c r="P196" s="307">
        <v>4087500</v>
      </c>
      <c r="Q196" s="291">
        <v>1</v>
      </c>
      <c r="R196" s="291" t="s">
        <v>496</v>
      </c>
      <c r="S196" s="291">
        <v>100</v>
      </c>
      <c r="T196" s="307">
        <v>5000000</v>
      </c>
      <c r="U196" s="307">
        <v>0</v>
      </c>
      <c r="V196" s="291">
        <v>100</v>
      </c>
      <c r="W196" s="307">
        <v>6189204</v>
      </c>
      <c r="X196" s="291">
        <v>2</v>
      </c>
      <c r="Y196" s="291">
        <v>1160902010</v>
      </c>
      <c r="Z196" s="291">
        <v>2023</v>
      </c>
      <c r="AA196" s="291">
        <v>12</v>
      </c>
      <c r="AB196" s="291">
        <v>5026003002</v>
      </c>
      <c r="AC196" s="291">
        <v>1160903005</v>
      </c>
      <c r="AD196" s="291">
        <v>0</v>
      </c>
      <c r="AE196" s="291">
        <v>0</v>
      </c>
      <c r="AF196" s="291">
        <v>0</v>
      </c>
      <c r="AG196" s="291">
        <v>1160605001</v>
      </c>
      <c r="AH196" s="291">
        <v>1635</v>
      </c>
      <c r="AI196" s="291" t="s">
        <v>497</v>
      </c>
      <c r="AJ196" s="308">
        <v>0.01</v>
      </c>
      <c r="AK196" s="309">
        <f t="shared" si="24"/>
        <v>50000</v>
      </c>
      <c r="AL196" s="309">
        <f t="shared" si="25"/>
        <v>50000</v>
      </c>
      <c r="AM196" s="309">
        <f t="shared" si="25"/>
        <v>50000</v>
      </c>
      <c r="AN196" s="309"/>
      <c r="AO196" s="309"/>
      <c r="AP196" s="309">
        <f t="shared" si="20"/>
        <v>0</v>
      </c>
      <c r="AQ196" s="309">
        <f t="shared" si="29"/>
        <v>0</v>
      </c>
      <c r="AR196" s="309">
        <f t="shared" si="29"/>
        <v>0</v>
      </c>
      <c r="AS196" s="309"/>
      <c r="AT196" s="309"/>
      <c r="AV196" s="311">
        <f t="shared" si="21"/>
        <v>4850000</v>
      </c>
      <c r="AW196" s="311">
        <f t="shared" si="22"/>
        <v>0</v>
      </c>
      <c r="AX196" s="312">
        <f t="shared" si="23"/>
        <v>0</v>
      </c>
    </row>
    <row r="197" spans="1:50">
      <c r="A197" s="291" t="s">
        <v>494</v>
      </c>
      <c r="B197" s="291"/>
      <c r="C197" s="291"/>
      <c r="D197" s="291">
        <v>1160505004</v>
      </c>
      <c r="E197" s="291">
        <v>41118</v>
      </c>
      <c r="F197" s="291">
        <v>45394</v>
      </c>
      <c r="G197" s="306">
        <v>43394</v>
      </c>
      <c r="H197" s="306">
        <v>44490</v>
      </c>
      <c r="I197" s="291">
        <v>791</v>
      </c>
      <c r="J197" s="307">
        <v>10563458</v>
      </c>
      <c r="K197" s="307">
        <v>0</v>
      </c>
      <c r="L197" s="307">
        <v>0</v>
      </c>
      <c r="M197" s="291" t="s">
        <v>495</v>
      </c>
      <c r="N197" s="307">
        <v>10563458</v>
      </c>
      <c r="O197" s="307">
        <v>0</v>
      </c>
      <c r="P197" s="307">
        <v>4177848</v>
      </c>
      <c r="Q197" s="291">
        <v>1</v>
      </c>
      <c r="R197" s="291" t="s">
        <v>496</v>
      </c>
      <c r="S197" s="291">
        <v>100</v>
      </c>
      <c r="T197" s="307">
        <v>10563458</v>
      </c>
      <c r="U197" s="307">
        <v>0</v>
      </c>
      <c r="V197" s="291">
        <v>500</v>
      </c>
      <c r="W197" s="307">
        <v>2752236</v>
      </c>
      <c r="X197" s="291">
        <v>5</v>
      </c>
      <c r="Y197" s="291">
        <v>1160902010</v>
      </c>
      <c r="Z197" s="291">
        <v>2023</v>
      </c>
      <c r="AA197" s="291">
        <v>12</v>
      </c>
      <c r="AB197" s="291">
        <v>5026003002</v>
      </c>
      <c r="AC197" s="291">
        <v>1160903005</v>
      </c>
      <c r="AD197" s="291">
        <v>0</v>
      </c>
      <c r="AE197" s="291">
        <v>0</v>
      </c>
      <c r="AF197" s="291">
        <v>0</v>
      </c>
      <c r="AG197" s="291">
        <v>1160605001</v>
      </c>
      <c r="AH197" s="291">
        <v>791</v>
      </c>
      <c r="AI197" s="291" t="s">
        <v>499</v>
      </c>
      <c r="AJ197" s="308">
        <v>0.05</v>
      </c>
      <c r="AK197" s="309">
        <f t="shared" si="24"/>
        <v>528172.9</v>
      </c>
      <c r="AL197" s="309">
        <f t="shared" si="25"/>
        <v>528172.9</v>
      </c>
      <c r="AM197" s="309">
        <f t="shared" si="25"/>
        <v>528172.9</v>
      </c>
      <c r="AN197" s="309"/>
      <c r="AO197" s="309"/>
      <c r="AP197" s="309">
        <f t="shared" si="20"/>
        <v>0</v>
      </c>
      <c r="AQ197" s="309">
        <f t="shared" si="29"/>
        <v>0</v>
      </c>
      <c r="AR197" s="309">
        <f t="shared" si="29"/>
        <v>0</v>
      </c>
      <c r="AS197" s="309"/>
      <c r="AT197" s="309"/>
      <c r="AV197" s="311">
        <f t="shared" si="21"/>
        <v>8978939.2999999989</v>
      </c>
      <c r="AW197" s="311">
        <f t="shared" si="22"/>
        <v>0</v>
      </c>
      <c r="AX197" s="312">
        <f t="shared" si="23"/>
        <v>0</v>
      </c>
    </row>
    <row r="198" spans="1:50">
      <c r="A198" s="291" t="s">
        <v>494</v>
      </c>
      <c r="B198" s="291"/>
      <c r="C198" s="291"/>
      <c r="D198" s="291">
        <v>1160505004</v>
      </c>
      <c r="E198" s="291">
        <v>0</v>
      </c>
      <c r="F198" s="291">
        <v>45394</v>
      </c>
      <c r="G198" s="306">
        <v>43394</v>
      </c>
      <c r="H198" s="306">
        <v>44490</v>
      </c>
      <c r="I198" s="291">
        <v>791</v>
      </c>
      <c r="J198" s="307">
        <v>0</v>
      </c>
      <c r="K198" s="307">
        <v>2831027</v>
      </c>
      <c r="L198" s="307">
        <v>0</v>
      </c>
      <c r="M198" s="291" t="s">
        <v>495</v>
      </c>
      <c r="N198" s="307">
        <v>0</v>
      </c>
      <c r="O198" s="307">
        <v>2831027</v>
      </c>
      <c r="P198" s="307">
        <v>0</v>
      </c>
      <c r="Q198" s="291">
        <v>1</v>
      </c>
      <c r="R198" s="291" t="s">
        <v>496</v>
      </c>
      <c r="S198" s="291">
        <v>100</v>
      </c>
      <c r="T198" s="307">
        <v>0</v>
      </c>
      <c r="U198" s="307">
        <v>2831027</v>
      </c>
      <c r="V198" s="291">
        <v>500</v>
      </c>
      <c r="W198" s="307">
        <v>2752236</v>
      </c>
      <c r="X198" s="291">
        <v>5</v>
      </c>
      <c r="Y198" s="291">
        <v>1160902010</v>
      </c>
      <c r="Z198" s="291">
        <v>2023</v>
      </c>
      <c r="AA198" s="291">
        <v>12</v>
      </c>
      <c r="AB198" s="291">
        <v>5026003002</v>
      </c>
      <c r="AC198" s="291">
        <v>1160903005</v>
      </c>
      <c r="AD198" s="291">
        <v>0</v>
      </c>
      <c r="AE198" s="291">
        <v>0</v>
      </c>
      <c r="AF198" s="291">
        <v>0</v>
      </c>
      <c r="AG198" s="291">
        <v>1160605001</v>
      </c>
      <c r="AH198" s="291">
        <v>791</v>
      </c>
      <c r="AI198" s="291" t="s">
        <v>499</v>
      </c>
      <c r="AJ198" s="308">
        <v>0.05</v>
      </c>
      <c r="AK198" s="309">
        <f t="shared" si="24"/>
        <v>0</v>
      </c>
      <c r="AL198" s="309">
        <f t="shared" si="25"/>
        <v>0</v>
      </c>
      <c r="AM198" s="309">
        <f t="shared" si="25"/>
        <v>0</v>
      </c>
      <c r="AN198" s="309"/>
      <c r="AO198" s="309"/>
      <c r="AP198" s="309">
        <f t="shared" ref="AP198:AP261" si="30">+K198*(AJ198/2)</f>
        <v>70775.675000000003</v>
      </c>
      <c r="AQ198" s="309">
        <f t="shared" si="29"/>
        <v>70775.675000000003</v>
      </c>
      <c r="AR198" s="309">
        <f t="shared" si="29"/>
        <v>70775.675000000003</v>
      </c>
      <c r="AS198" s="309"/>
      <c r="AT198" s="309"/>
      <c r="AV198" s="311">
        <f t="shared" ref="AV198:AV261" si="31">J198-AK198-AL198-AM198</f>
        <v>0</v>
      </c>
      <c r="AW198" s="311">
        <f t="shared" ref="AW198:AW261" si="32">+K198-AP198-AQ198-AR198</f>
        <v>2618699.9750000006</v>
      </c>
      <c r="AX198" s="312">
        <f t="shared" ref="AX198:AX261" si="33">+J198-N198</f>
        <v>0</v>
      </c>
    </row>
    <row r="199" spans="1:50">
      <c r="A199" s="291" t="s">
        <v>494</v>
      </c>
      <c r="B199" s="291"/>
      <c r="C199" s="291"/>
      <c r="D199" s="291">
        <v>1160505004</v>
      </c>
      <c r="E199" s="291">
        <v>42088</v>
      </c>
      <c r="F199" s="291">
        <v>46726</v>
      </c>
      <c r="G199" s="306">
        <v>43601</v>
      </c>
      <c r="H199" s="306">
        <v>44697</v>
      </c>
      <c r="I199" s="291">
        <v>586</v>
      </c>
      <c r="J199" s="307">
        <v>4456167</v>
      </c>
      <c r="K199" s="307">
        <v>302648</v>
      </c>
      <c r="L199" s="307">
        <v>0</v>
      </c>
      <c r="M199" s="291" t="s">
        <v>495</v>
      </c>
      <c r="N199" s="307">
        <v>4456167</v>
      </c>
      <c r="O199" s="307">
        <v>302648</v>
      </c>
      <c r="P199" s="307">
        <v>1305657</v>
      </c>
      <c r="Q199" s="291">
        <v>1</v>
      </c>
      <c r="R199" s="291" t="s">
        <v>496</v>
      </c>
      <c r="S199" s="291">
        <v>100</v>
      </c>
      <c r="T199" s="307">
        <v>4456167</v>
      </c>
      <c r="U199" s="307">
        <v>302648</v>
      </c>
      <c r="V199" s="291">
        <v>100</v>
      </c>
      <c r="W199" s="307">
        <v>8070700</v>
      </c>
      <c r="X199" s="291">
        <v>5</v>
      </c>
      <c r="Y199" s="291">
        <v>1160902010</v>
      </c>
      <c r="Z199" s="291">
        <v>2023</v>
      </c>
      <c r="AA199" s="291">
        <v>12</v>
      </c>
      <c r="AB199" s="291">
        <v>5026003002</v>
      </c>
      <c r="AC199" s="291">
        <v>1160903005</v>
      </c>
      <c r="AD199" s="291">
        <v>0</v>
      </c>
      <c r="AE199" s="291">
        <v>0</v>
      </c>
      <c r="AF199" s="291">
        <v>0</v>
      </c>
      <c r="AG199" s="291">
        <v>1160605001</v>
      </c>
      <c r="AH199" s="291">
        <v>586</v>
      </c>
      <c r="AI199" s="291" t="s">
        <v>498</v>
      </c>
      <c r="AJ199" s="308">
        <v>0.1</v>
      </c>
      <c r="AK199" s="309">
        <f t="shared" ref="AK199:AK262" si="34">+$J199*$AJ199</f>
        <v>445616.7</v>
      </c>
      <c r="AL199" s="309">
        <f t="shared" ref="AL199:AM262" si="35">IF(($J199-$AK199)&gt;0,$J199*$AJ199,0)</f>
        <v>445616.7</v>
      </c>
      <c r="AM199" s="309">
        <f t="shared" si="35"/>
        <v>445616.7</v>
      </c>
      <c r="AN199" s="309"/>
      <c r="AO199" s="309"/>
      <c r="AP199" s="309">
        <f t="shared" si="30"/>
        <v>15132.400000000001</v>
      </c>
      <c r="AQ199" s="309">
        <f t="shared" ref="AQ199:AR214" si="36">AP199</f>
        <v>15132.400000000001</v>
      </c>
      <c r="AR199" s="309">
        <f t="shared" si="36"/>
        <v>15132.400000000001</v>
      </c>
      <c r="AS199" s="309"/>
      <c r="AT199" s="309"/>
      <c r="AV199" s="311">
        <f t="shared" si="31"/>
        <v>3119316.8999999994</v>
      </c>
      <c r="AW199" s="311">
        <f t="shared" si="32"/>
        <v>257250.79999999996</v>
      </c>
      <c r="AX199" s="312">
        <f t="shared" si="33"/>
        <v>0</v>
      </c>
    </row>
    <row r="200" spans="1:50">
      <c r="A200" s="291" t="s">
        <v>494</v>
      </c>
      <c r="B200" s="291"/>
      <c r="C200" s="291"/>
      <c r="D200" s="291">
        <v>1160505004</v>
      </c>
      <c r="E200" s="291">
        <v>0</v>
      </c>
      <c r="F200" s="291">
        <v>46721</v>
      </c>
      <c r="G200" s="306">
        <v>43601</v>
      </c>
      <c r="H200" s="306">
        <v>44697</v>
      </c>
      <c r="I200" s="291">
        <v>586</v>
      </c>
      <c r="J200" s="307">
        <v>0</v>
      </c>
      <c r="K200" s="307">
        <v>708361</v>
      </c>
      <c r="L200" s="307">
        <v>0</v>
      </c>
      <c r="M200" s="291" t="s">
        <v>495</v>
      </c>
      <c r="N200" s="307">
        <v>0</v>
      </c>
      <c r="O200" s="307">
        <v>708361</v>
      </c>
      <c r="P200" s="307">
        <v>0</v>
      </c>
      <c r="Q200" s="291">
        <v>1</v>
      </c>
      <c r="R200" s="291" t="s">
        <v>496</v>
      </c>
      <c r="S200" s="291">
        <v>100</v>
      </c>
      <c r="T200" s="307">
        <v>0</v>
      </c>
      <c r="U200" s="307">
        <v>708361</v>
      </c>
      <c r="V200" s="291">
        <v>100</v>
      </c>
      <c r="W200" s="307">
        <v>8070700</v>
      </c>
      <c r="X200" s="291">
        <v>5</v>
      </c>
      <c r="Y200" s="291">
        <v>1160902010</v>
      </c>
      <c r="Z200" s="291">
        <v>2023</v>
      </c>
      <c r="AA200" s="291">
        <v>12</v>
      </c>
      <c r="AB200" s="291">
        <v>5026003002</v>
      </c>
      <c r="AC200" s="291">
        <v>1160903005</v>
      </c>
      <c r="AD200" s="291">
        <v>0</v>
      </c>
      <c r="AE200" s="291">
        <v>0</v>
      </c>
      <c r="AF200" s="291">
        <v>0</v>
      </c>
      <c r="AG200" s="291">
        <v>1160605001</v>
      </c>
      <c r="AH200" s="291">
        <v>586</v>
      </c>
      <c r="AI200" s="291" t="s">
        <v>498</v>
      </c>
      <c r="AJ200" s="308">
        <v>0.1</v>
      </c>
      <c r="AK200" s="309">
        <f t="shared" si="34"/>
        <v>0</v>
      </c>
      <c r="AL200" s="309">
        <f t="shared" si="35"/>
        <v>0</v>
      </c>
      <c r="AM200" s="309">
        <f t="shared" si="35"/>
        <v>0</v>
      </c>
      <c r="AN200" s="309"/>
      <c r="AO200" s="309"/>
      <c r="AP200" s="309">
        <f t="shared" si="30"/>
        <v>35418.050000000003</v>
      </c>
      <c r="AQ200" s="309">
        <f t="shared" si="36"/>
        <v>35418.050000000003</v>
      </c>
      <c r="AR200" s="309">
        <f t="shared" si="36"/>
        <v>35418.050000000003</v>
      </c>
      <c r="AS200" s="309"/>
      <c r="AT200" s="309"/>
      <c r="AV200" s="311">
        <f t="shared" si="31"/>
        <v>0</v>
      </c>
      <c r="AW200" s="311">
        <f t="shared" si="32"/>
        <v>602106.84999999986</v>
      </c>
      <c r="AX200" s="312">
        <f t="shared" si="33"/>
        <v>0</v>
      </c>
    </row>
    <row r="201" spans="1:50">
      <c r="A201" s="291" t="s">
        <v>494</v>
      </c>
      <c r="B201" s="291"/>
      <c r="C201" s="291"/>
      <c r="D201" s="291">
        <v>1160504001</v>
      </c>
      <c r="E201" s="291">
        <v>0</v>
      </c>
      <c r="F201" s="291">
        <v>44119</v>
      </c>
      <c r="G201" s="306">
        <v>43184</v>
      </c>
      <c r="H201" s="306">
        <v>45010</v>
      </c>
      <c r="I201" s="291">
        <v>277</v>
      </c>
      <c r="J201" s="307">
        <v>1195380</v>
      </c>
      <c r="K201" s="307">
        <v>115948</v>
      </c>
      <c r="L201" s="307">
        <v>0</v>
      </c>
      <c r="M201" s="291" t="s">
        <v>495</v>
      </c>
      <c r="N201" s="307">
        <v>1195380</v>
      </c>
      <c r="O201" s="307">
        <v>115948</v>
      </c>
      <c r="P201" s="307">
        <v>165560</v>
      </c>
      <c r="Q201" s="291">
        <v>1</v>
      </c>
      <c r="R201" s="291" t="s">
        <v>501</v>
      </c>
      <c r="S201" s="291">
        <v>100</v>
      </c>
      <c r="T201" s="307">
        <v>1195380</v>
      </c>
      <c r="U201" s="307">
        <v>115948</v>
      </c>
      <c r="V201" s="291">
        <v>100</v>
      </c>
      <c r="W201" s="307">
        <v>686395</v>
      </c>
      <c r="X201" s="291">
        <v>14</v>
      </c>
      <c r="Y201" s="291">
        <v>1160902008</v>
      </c>
      <c r="Z201" s="291">
        <v>2023</v>
      </c>
      <c r="AA201" s="291">
        <v>12</v>
      </c>
      <c r="AB201" s="291">
        <v>5026003002</v>
      </c>
      <c r="AC201" s="291">
        <v>1160903004</v>
      </c>
      <c r="AD201" s="291">
        <v>0</v>
      </c>
      <c r="AE201" s="291">
        <v>0</v>
      </c>
      <c r="AF201" s="291">
        <v>0</v>
      </c>
      <c r="AG201" s="291">
        <v>1160604001</v>
      </c>
      <c r="AH201" s="291">
        <v>277</v>
      </c>
      <c r="AI201" s="291" t="s">
        <v>500</v>
      </c>
      <c r="AJ201" s="308">
        <v>0.3</v>
      </c>
      <c r="AK201" s="309">
        <f t="shared" si="34"/>
        <v>358614</v>
      </c>
      <c r="AL201" s="309">
        <f t="shared" si="35"/>
        <v>358614</v>
      </c>
      <c r="AM201" s="309">
        <f t="shared" si="35"/>
        <v>358614</v>
      </c>
      <c r="AN201" s="309"/>
      <c r="AO201" s="309"/>
      <c r="AP201" s="309">
        <f t="shared" si="30"/>
        <v>17392.2</v>
      </c>
      <c r="AQ201" s="309">
        <f t="shared" si="36"/>
        <v>17392.2</v>
      </c>
      <c r="AR201" s="309">
        <f t="shared" si="36"/>
        <v>17392.2</v>
      </c>
      <c r="AS201" s="309"/>
      <c r="AT201" s="309"/>
      <c r="AV201" s="311">
        <f t="shared" si="31"/>
        <v>119538</v>
      </c>
      <c r="AW201" s="311">
        <f t="shared" si="32"/>
        <v>63771.400000000009</v>
      </c>
      <c r="AX201" s="312">
        <f t="shared" si="33"/>
        <v>0</v>
      </c>
    </row>
    <row r="202" spans="1:50">
      <c r="A202" s="291" t="s">
        <v>494</v>
      </c>
      <c r="B202" s="291"/>
      <c r="C202" s="291"/>
      <c r="D202" s="291">
        <v>1160505001</v>
      </c>
      <c r="E202" s="291">
        <v>0</v>
      </c>
      <c r="F202" s="291">
        <v>44168</v>
      </c>
      <c r="G202" s="306">
        <v>43193</v>
      </c>
      <c r="H202" s="306">
        <v>44289</v>
      </c>
      <c r="I202" s="291">
        <v>989</v>
      </c>
      <c r="J202" s="307">
        <v>300000</v>
      </c>
      <c r="K202" s="307">
        <v>1620000</v>
      </c>
      <c r="L202" s="307">
        <v>0</v>
      </c>
      <c r="M202" s="291" t="s">
        <v>495</v>
      </c>
      <c r="N202" s="307">
        <v>300000</v>
      </c>
      <c r="O202" s="307">
        <v>1620000</v>
      </c>
      <c r="P202" s="307">
        <v>148350</v>
      </c>
      <c r="Q202" s="291">
        <v>1</v>
      </c>
      <c r="R202" s="291" t="s">
        <v>496</v>
      </c>
      <c r="S202" s="291">
        <v>100</v>
      </c>
      <c r="T202" s="307">
        <v>300000</v>
      </c>
      <c r="U202" s="307">
        <v>1620000</v>
      </c>
      <c r="V202" s="291">
        <v>100</v>
      </c>
      <c r="W202" s="307">
        <v>6245640</v>
      </c>
      <c r="X202" s="291">
        <v>2</v>
      </c>
      <c r="Y202" s="291">
        <v>1160902010</v>
      </c>
      <c r="Z202" s="291">
        <v>2023</v>
      </c>
      <c r="AA202" s="291">
        <v>12</v>
      </c>
      <c r="AB202" s="291">
        <v>5026003002</v>
      </c>
      <c r="AC202" s="291">
        <v>1160903005</v>
      </c>
      <c r="AD202" s="291">
        <v>0</v>
      </c>
      <c r="AE202" s="291">
        <v>0</v>
      </c>
      <c r="AF202" s="291">
        <v>0</v>
      </c>
      <c r="AG202" s="291">
        <v>1160605001</v>
      </c>
      <c r="AH202" s="291">
        <v>989</v>
      </c>
      <c r="AI202" s="291" t="s">
        <v>499</v>
      </c>
      <c r="AJ202" s="308">
        <v>0.05</v>
      </c>
      <c r="AK202" s="309">
        <f t="shared" si="34"/>
        <v>15000</v>
      </c>
      <c r="AL202" s="309">
        <f t="shared" si="35"/>
        <v>15000</v>
      </c>
      <c r="AM202" s="309">
        <f t="shared" si="35"/>
        <v>15000</v>
      </c>
      <c r="AN202" s="309"/>
      <c r="AO202" s="309"/>
      <c r="AP202" s="309">
        <f t="shared" si="30"/>
        <v>40500</v>
      </c>
      <c r="AQ202" s="309">
        <f t="shared" si="36"/>
        <v>40500</v>
      </c>
      <c r="AR202" s="309">
        <f t="shared" si="36"/>
        <v>40500</v>
      </c>
      <c r="AS202" s="309"/>
      <c r="AT202" s="309"/>
      <c r="AV202" s="311">
        <f t="shared" si="31"/>
        <v>255000</v>
      </c>
      <c r="AW202" s="311">
        <f t="shared" si="32"/>
        <v>1498500</v>
      </c>
      <c r="AX202" s="312">
        <f t="shared" si="33"/>
        <v>0</v>
      </c>
    </row>
    <row r="203" spans="1:50">
      <c r="A203" s="291" t="s">
        <v>494</v>
      </c>
      <c r="B203" s="291"/>
      <c r="C203" s="291"/>
      <c r="D203" s="291">
        <v>1160505001</v>
      </c>
      <c r="E203" s="291">
        <v>0</v>
      </c>
      <c r="F203" s="291">
        <v>1444168</v>
      </c>
      <c r="G203" s="306">
        <v>43193</v>
      </c>
      <c r="H203" s="306">
        <v>44289</v>
      </c>
      <c r="I203" s="291">
        <v>989</v>
      </c>
      <c r="J203" s="307">
        <v>15000000</v>
      </c>
      <c r="K203" s="307">
        <v>6097500</v>
      </c>
      <c r="L203" s="307">
        <v>0</v>
      </c>
      <c r="M203" s="291" t="s">
        <v>495</v>
      </c>
      <c r="N203" s="307">
        <v>15000000</v>
      </c>
      <c r="O203" s="307">
        <v>6097500</v>
      </c>
      <c r="P203" s="307">
        <v>7417500</v>
      </c>
      <c r="Q203" s="291">
        <v>1</v>
      </c>
      <c r="R203" s="291" t="s">
        <v>496</v>
      </c>
      <c r="S203" s="291">
        <v>100</v>
      </c>
      <c r="T203" s="307">
        <v>15000000</v>
      </c>
      <c r="U203" s="307">
        <v>6097500</v>
      </c>
      <c r="V203" s="291">
        <v>100</v>
      </c>
      <c r="W203" s="307">
        <v>6245640</v>
      </c>
      <c r="X203" s="291">
        <v>14</v>
      </c>
      <c r="Y203" s="291">
        <v>1160902010</v>
      </c>
      <c r="Z203" s="291">
        <v>2023</v>
      </c>
      <c r="AA203" s="291">
        <v>12</v>
      </c>
      <c r="AB203" s="291">
        <v>5026003002</v>
      </c>
      <c r="AC203" s="291">
        <v>1160903005</v>
      </c>
      <c r="AD203" s="291">
        <v>0</v>
      </c>
      <c r="AE203" s="291">
        <v>0</v>
      </c>
      <c r="AF203" s="291">
        <v>0</v>
      </c>
      <c r="AG203" s="291">
        <v>1160605001</v>
      </c>
      <c r="AH203" s="291">
        <v>989</v>
      </c>
      <c r="AI203" s="291" t="s">
        <v>499</v>
      </c>
      <c r="AJ203" s="308">
        <v>0.05</v>
      </c>
      <c r="AK203" s="309">
        <f t="shared" si="34"/>
        <v>750000</v>
      </c>
      <c r="AL203" s="309">
        <f t="shared" si="35"/>
        <v>750000</v>
      </c>
      <c r="AM203" s="309">
        <f t="shared" si="35"/>
        <v>750000</v>
      </c>
      <c r="AN203" s="309"/>
      <c r="AO203" s="309"/>
      <c r="AP203" s="309">
        <f t="shared" si="30"/>
        <v>152437.5</v>
      </c>
      <c r="AQ203" s="309">
        <f t="shared" si="36"/>
        <v>152437.5</v>
      </c>
      <c r="AR203" s="309">
        <f t="shared" si="36"/>
        <v>152437.5</v>
      </c>
      <c r="AS203" s="309"/>
      <c r="AT203" s="309"/>
      <c r="AV203" s="311">
        <f t="shared" si="31"/>
        <v>12750000</v>
      </c>
      <c r="AW203" s="311">
        <f t="shared" si="32"/>
        <v>5640187.5</v>
      </c>
      <c r="AX203" s="312">
        <f t="shared" si="33"/>
        <v>0</v>
      </c>
    </row>
    <row r="204" spans="1:50">
      <c r="A204" s="291" t="s">
        <v>494</v>
      </c>
      <c r="B204" s="291"/>
      <c r="C204" s="291"/>
      <c r="D204" s="291">
        <v>1160505001</v>
      </c>
      <c r="E204" s="291">
        <v>0</v>
      </c>
      <c r="F204" s="291">
        <v>42534</v>
      </c>
      <c r="G204" s="306">
        <v>42918</v>
      </c>
      <c r="H204" s="306">
        <v>44744</v>
      </c>
      <c r="I204" s="291">
        <v>540</v>
      </c>
      <c r="J204" s="307">
        <v>14000000</v>
      </c>
      <c r="K204" s="307">
        <v>9100020</v>
      </c>
      <c r="L204" s="307">
        <v>0</v>
      </c>
      <c r="M204" s="291" t="s">
        <v>495</v>
      </c>
      <c r="N204" s="307">
        <v>14000000</v>
      </c>
      <c r="O204" s="307">
        <v>9100020</v>
      </c>
      <c r="P204" s="307">
        <v>3780000</v>
      </c>
      <c r="Q204" s="291">
        <v>1</v>
      </c>
      <c r="R204" s="291" t="s">
        <v>496</v>
      </c>
      <c r="S204" s="291">
        <v>100</v>
      </c>
      <c r="T204" s="307">
        <v>14000000</v>
      </c>
      <c r="U204" s="307">
        <v>9100020</v>
      </c>
      <c r="V204" s="291">
        <v>100</v>
      </c>
      <c r="W204" s="307">
        <v>3969394</v>
      </c>
      <c r="X204" s="291">
        <v>14</v>
      </c>
      <c r="Y204" s="291">
        <v>1160902010</v>
      </c>
      <c r="Z204" s="291">
        <v>2023</v>
      </c>
      <c r="AA204" s="291">
        <v>12</v>
      </c>
      <c r="AB204" s="291">
        <v>5026003002</v>
      </c>
      <c r="AC204" s="291">
        <v>1160903005</v>
      </c>
      <c r="AD204" s="291">
        <v>0</v>
      </c>
      <c r="AE204" s="291">
        <v>0</v>
      </c>
      <c r="AF204" s="291">
        <v>0</v>
      </c>
      <c r="AG204" s="291">
        <v>1160605001</v>
      </c>
      <c r="AH204" s="291">
        <v>540</v>
      </c>
      <c r="AI204" s="291" t="s">
        <v>498</v>
      </c>
      <c r="AJ204" s="308">
        <v>0.1</v>
      </c>
      <c r="AK204" s="309">
        <f t="shared" si="34"/>
        <v>1400000</v>
      </c>
      <c r="AL204" s="309">
        <f t="shared" si="35"/>
        <v>1400000</v>
      </c>
      <c r="AM204" s="309">
        <f t="shared" si="35"/>
        <v>1400000</v>
      </c>
      <c r="AN204" s="309"/>
      <c r="AO204" s="309"/>
      <c r="AP204" s="309">
        <f t="shared" si="30"/>
        <v>455001</v>
      </c>
      <c r="AQ204" s="309">
        <f t="shared" si="36"/>
        <v>455001</v>
      </c>
      <c r="AR204" s="309">
        <f t="shared" si="36"/>
        <v>455001</v>
      </c>
      <c r="AS204" s="309"/>
      <c r="AT204" s="309"/>
      <c r="AV204" s="311">
        <f t="shared" si="31"/>
        <v>9800000</v>
      </c>
      <c r="AW204" s="311">
        <f t="shared" si="32"/>
        <v>7735017</v>
      </c>
      <c r="AX204" s="312">
        <f t="shared" si="33"/>
        <v>0</v>
      </c>
    </row>
    <row r="205" spans="1:50">
      <c r="A205" s="291" t="s">
        <v>494</v>
      </c>
      <c r="B205" s="291"/>
      <c r="C205" s="291"/>
      <c r="D205" s="291">
        <v>1160505001</v>
      </c>
      <c r="E205" s="291">
        <v>0</v>
      </c>
      <c r="F205" s="291">
        <v>42026</v>
      </c>
      <c r="G205" s="306">
        <v>42853</v>
      </c>
      <c r="H205" s="306">
        <v>43218</v>
      </c>
      <c r="I205" s="291">
        <v>2044</v>
      </c>
      <c r="J205" s="307">
        <v>5491406</v>
      </c>
      <c r="K205" s="307">
        <v>494232</v>
      </c>
      <c r="L205" s="307">
        <v>0</v>
      </c>
      <c r="M205" s="291" t="s">
        <v>495</v>
      </c>
      <c r="N205" s="307">
        <v>5491406</v>
      </c>
      <c r="O205" s="307">
        <v>494232</v>
      </c>
      <c r="P205" s="307">
        <v>5612217</v>
      </c>
      <c r="Q205" s="291">
        <v>1</v>
      </c>
      <c r="R205" s="291" t="s">
        <v>496</v>
      </c>
      <c r="S205" s="291">
        <v>100</v>
      </c>
      <c r="T205" s="307">
        <v>5491406</v>
      </c>
      <c r="U205" s="307">
        <v>494232</v>
      </c>
      <c r="V205" s="291">
        <v>100</v>
      </c>
      <c r="W205" s="307">
        <v>2548273</v>
      </c>
      <c r="X205" s="291">
        <v>2</v>
      </c>
      <c r="Y205" s="291">
        <v>1160902010</v>
      </c>
      <c r="Z205" s="291">
        <v>2023</v>
      </c>
      <c r="AA205" s="291">
        <v>12</v>
      </c>
      <c r="AB205" s="291">
        <v>5026003002</v>
      </c>
      <c r="AC205" s="291">
        <v>1160903005</v>
      </c>
      <c r="AD205" s="291">
        <v>0</v>
      </c>
      <c r="AE205" s="291">
        <v>0</v>
      </c>
      <c r="AF205" s="291">
        <v>0</v>
      </c>
      <c r="AG205" s="291">
        <v>1160605001</v>
      </c>
      <c r="AH205" s="291">
        <v>2044</v>
      </c>
      <c r="AI205" s="291" t="s">
        <v>497</v>
      </c>
      <c r="AJ205" s="308">
        <v>0.01</v>
      </c>
      <c r="AK205" s="309">
        <f t="shared" si="34"/>
        <v>54914.06</v>
      </c>
      <c r="AL205" s="309">
        <f t="shared" si="35"/>
        <v>54914.06</v>
      </c>
      <c r="AM205" s="309">
        <f t="shared" si="35"/>
        <v>54914.06</v>
      </c>
      <c r="AN205" s="309"/>
      <c r="AO205" s="309"/>
      <c r="AP205" s="309">
        <f t="shared" si="30"/>
        <v>2471.16</v>
      </c>
      <c r="AQ205" s="309">
        <f t="shared" si="36"/>
        <v>2471.16</v>
      </c>
      <c r="AR205" s="309">
        <f t="shared" si="36"/>
        <v>2471.16</v>
      </c>
      <c r="AS205" s="309"/>
      <c r="AT205" s="309"/>
      <c r="AV205" s="311">
        <f t="shared" si="31"/>
        <v>5326663.8200000012</v>
      </c>
      <c r="AW205" s="311">
        <f t="shared" si="32"/>
        <v>486818.52000000008</v>
      </c>
      <c r="AX205" s="312">
        <f t="shared" si="33"/>
        <v>0</v>
      </c>
    </row>
    <row r="206" spans="1:50">
      <c r="A206" s="291" t="s">
        <v>494</v>
      </c>
      <c r="B206" s="291"/>
      <c r="C206" s="291"/>
      <c r="D206" s="291">
        <v>1160505001</v>
      </c>
      <c r="E206" s="291">
        <v>0</v>
      </c>
      <c r="F206" s="291">
        <v>45665</v>
      </c>
      <c r="G206" s="306">
        <v>43471</v>
      </c>
      <c r="H206" s="306">
        <v>43836</v>
      </c>
      <c r="I206" s="291">
        <v>1436</v>
      </c>
      <c r="J206" s="307">
        <v>12000000</v>
      </c>
      <c r="K206" s="307">
        <v>1080000</v>
      </c>
      <c r="L206" s="307">
        <v>0</v>
      </c>
      <c r="M206" s="291" t="s">
        <v>495</v>
      </c>
      <c r="N206" s="307">
        <v>12000000</v>
      </c>
      <c r="O206" s="307">
        <v>1080000</v>
      </c>
      <c r="P206" s="307">
        <v>8616000</v>
      </c>
      <c r="Q206" s="291">
        <v>1</v>
      </c>
      <c r="R206" s="291" t="s">
        <v>496</v>
      </c>
      <c r="S206" s="291">
        <v>100</v>
      </c>
      <c r="T206" s="307">
        <v>12000000</v>
      </c>
      <c r="U206" s="307">
        <v>1080000</v>
      </c>
      <c r="V206" s="291">
        <v>100</v>
      </c>
      <c r="W206" s="307">
        <v>8349596</v>
      </c>
      <c r="X206" s="291">
        <v>2</v>
      </c>
      <c r="Y206" s="291">
        <v>1160902010</v>
      </c>
      <c r="Z206" s="291">
        <v>2023</v>
      </c>
      <c r="AA206" s="291">
        <v>12</v>
      </c>
      <c r="AB206" s="291">
        <v>5026003002</v>
      </c>
      <c r="AC206" s="291">
        <v>1160903005</v>
      </c>
      <c r="AD206" s="291">
        <v>0</v>
      </c>
      <c r="AE206" s="291">
        <v>0</v>
      </c>
      <c r="AF206" s="291">
        <v>0</v>
      </c>
      <c r="AG206" s="291">
        <v>1160605001</v>
      </c>
      <c r="AH206" s="291">
        <v>1436</v>
      </c>
      <c r="AI206" s="291" t="s">
        <v>497</v>
      </c>
      <c r="AJ206" s="308">
        <v>0.01</v>
      </c>
      <c r="AK206" s="309">
        <f t="shared" si="34"/>
        <v>120000</v>
      </c>
      <c r="AL206" s="309">
        <f t="shared" si="35"/>
        <v>120000</v>
      </c>
      <c r="AM206" s="309">
        <f t="shared" si="35"/>
        <v>120000</v>
      </c>
      <c r="AN206" s="309"/>
      <c r="AO206" s="309"/>
      <c r="AP206" s="309">
        <f t="shared" si="30"/>
        <v>5400</v>
      </c>
      <c r="AQ206" s="309">
        <f t="shared" si="36"/>
        <v>5400</v>
      </c>
      <c r="AR206" s="309">
        <f t="shared" si="36"/>
        <v>5400</v>
      </c>
      <c r="AS206" s="309"/>
      <c r="AT206" s="309"/>
      <c r="AV206" s="311">
        <f t="shared" si="31"/>
        <v>11640000</v>
      </c>
      <c r="AW206" s="311">
        <f t="shared" si="32"/>
        <v>1063800</v>
      </c>
      <c r="AX206" s="312">
        <f t="shared" si="33"/>
        <v>0</v>
      </c>
    </row>
    <row r="207" spans="1:50">
      <c r="A207" s="291" t="s">
        <v>494</v>
      </c>
      <c r="B207" s="291"/>
      <c r="C207" s="291"/>
      <c r="D207" s="291">
        <v>1160505001</v>
      </c>
      <c r="E207" s="291">
        <v>0</v>
      </c>
      <c r="F207" s="291">
        <v>44124</v>
      </c>
      <c r="G207" s="306">
        <v>43184</v>
      </c>
      <c r="H207" s="306">
        <v>45010</v>
      </c>
      <c r="I207" s="291">
        <v>277</v>
      </c>
      <c r="J207" s="307">
        <v>10000000</v>
      </c>
      <c r="K207" s="307">
        <v>3552500</v>
      </c>
      <c r="L207" s="307">
        <v>0</v>
      </c>
      <c r="M207" s="291" t="s">
        <v>495</v>
      </c>
      <c r="N207" s="307">
        <v>10000000</v>
      </c>
      <c r="O207" s="307">
        <v>3552500</v>
      </c>
      <c r="P207" s="307">
        <v>1385000</v>
      </c>
      <c r="Q207" s="291">
        <v>1</v>
      </c>
      <c r="R207" s="291" t="s">
        <v>496</v>
      </c>
      <c r="S207" s="291">
        <v>100</v>
      </c>
      <c r="T207" s="307">
        <v>10000000</v>
      </c>
      <c r="U207" s="307">
        <v>3552500</v>
      </c>
      <c r="V207" s="291">
        <v>100</v>
      </c>
      <c r="W207" s="307">
        <v>8349596</v>
      </c>
      <c r="X207" s="291">
        <v>14</v>
      </c>
      <c r="Y207" s="291">
        <v>1160902010</v>
      </c>
      <c r="Z207" s="291">
        <v>2023</v>
      </c>
      <c r="AA207" s="291">
        <v>12</v>
      </c>
      <c r="AB207" s="291">
        <v>5026003002</v>
      </c>
      <c r="AC207" s="291">
        <v>1160903005</v>
      </c>
      <c r="AD207" s="291">
        <v>0</v>
      </c>
      <c r="AE207" s="291">
        <v>0</v>
      </c>
      <c r="AF207" s="291">
        <v>0</v>
      </c>
      <c r="AG207" s="291">
        <v>1160605001</v>
      </c>
      <c r="AH207" s="291">
        <v>1436</v>
      </c>
      <c r="AI207" s="291" t="s">
        <v>497</v>
      </c>
      <c r="AJ207" s="308">
        <v>0.01</v>
      </c>
      <c r="AK207" s="309">
        <f t="shared" si="34"/>
        <v>100000</v>
      </c>
      <c r="AL207" s="309">
        <f t="shared" si="35"/>
        <v>100000</v>
      </c>
      <c r="AM207" s="309">
        <f t="shared" si="35"/>
        <v>100000</v>
      </c>
      <c r="AN207" s="309"/>
      <c r="AO207" s="309"/>
      <c r="AP207" s="309">
        <f t="shared" si="30"/>
        <v>17762.5</v>
      </c>
      <c r="AQ207" s="309">
        <f t="shared" si="36"/>
        <v>17762.5</v>
      </c>
      <c r="AR207" s="309">
        <f t="shared" si="36"/>
        <v>17762.5</v>
      </c>
      <c r="AS207" s="309"/>
      <c r="AT207" s="309"/>
      <c r="AV207" s="311">
        <f t="shared" si="31"/>
        <v>9700000</v>
      </c>
      <c r="AW207" s="311">
        <f t="shared" si="32"/>
        <v>3499212.5</v>
      </c>
      <c r="AX207" s="312">
        <f t="shared" si="33"/>
        <v>0</v>
      </c>
    </row>
    <row r="208" spans="1:50">
      <c r="A208" s="291" t="s">
        <v>494</v>
      </c>
      <c r="B208" s="291"/>
      <c r="C208" s="291"/>
      <c r="D208" s="291">
        <v>1160505001</v>
      </c>
      <c r="E208" s="291">
        <v>0</v>
      </c>
      <c r="F208" s="291">
        <v>45076</v>
      </c>
      <c r="G208" s="306">
        <v>43309</v>
      </c>
      <c r="H208" s="306">
        <v>43674</v>
      </c>
      <c r="I208" s="291">
        <v>1594</v>
      </c>
      <c r="J208" s="307">
        <v>645829</v>
      </c>
      <c r="K208" s="307">
        <v>0</v>
      </c>
      <c r="L208" s="307">
        <v>0</v>
      </c>
      <c r="M208" s="291" t="s">
        <v>495</v>
      </c>
      <c r="N208" s="307">
        <v>645829</v>
      </c>
      <c r="O208" s="307">
        <v>0</v>
      </c>
      <c r="P208" s="307">
        <v>514726</v>
      </c>
      <c r="Q208" s="291">
        <v>1</v>
      </c>
      <c r="R208" s="291" t="s">
        <v>496</v>
      </c>
      <c r="S208" s="291">
        <v>100</v>
      </c>
      <c r="T208" s="307">
        <v>645829</v>
      </c>
      <c r="U208" s="307">
        <v>0</v>
      </c>
      <c r="V208" s="291">
        <v>200</v>
      </c>
      <c r="W208" s="307">
        <v>4394643</v>
      </c>
      <c r="X208" s="291">
        <v>2</v>
      </c>
      <c r="Y208" s="291">
        <v>1160902010</v>
      </c>
      <c r="Z208" s="291">
        <v>2023</v>
      </c>
      <c r="AA208" s="291">
        <v>12</v>
      </c>
      <c r="AB208" s="291">
        <v>5026003002</v>
      </c>
      <c r="AC208" s="291">
        <v>1160903005</v>
      </c>
      <c r="AD208" s="291">
        <v>0</v>
      </c>
      <c r="AE208" s="291">
        <v>0</v>
      </c>
      <c r="AF208" s="291">
        <v>0</v>
      </c>
      <c r="AG208" s="291">
        <v>1160605001</v>
      </c>
      <c r="AH208" s="291">
        <v>1594</v>
      </c>
      <c r="AI208" s="291" t="s">
        <v>497</v>
      </c>
      <c r="AJ208" s="308">
        <v>0.01</v>
      </c>
      <c r="AK208" s="309">
        <f t="shared" si="34"/>
        <v>6458.29</v>
      </c>
      <c r="AL208" s="309">
        <f t="shared" si="35"/>
        <v>6458.29</v>
      </c>
      <c r="AM208" s="309">
        <f t="shared" si="35"/>
        <v>6458.29</v>
      </c>
      <c r="AN208" s="309"/>
      <c r="AO208" s="309"/>
      <c r="AP208" s="309">
        <f t="shared" si="30"/>
        <v>0</v>
      </c>
      <c r="AQ208" s="309">
        <f t="shared" si="36"/>
        <v>0</v>
      </c>
      <c r="AR208" s="309">
        <f t="shared" si="36"/>
        <v>0</v>
      </c>
      <c r="AS208" s="309"/>
      <c r="AT208" s="309"/>
      <c r="AV208" s="311">
        <f t="shared" si="31"/>
        <v>626454.12999999989</v>
      </c>
      <c r="AW208" s="311">
        <f t="shared" si="32"/>
        <v>0</v>
      </c>
      <c r="AX208" s="312">
        <f t="shared" si="33"/>
        <v>0</v>
      </c>
    </row>
    <row r="209" spans="1:51">
      <c r="A209" s="291" t="s">
        <v>494</v>
      </c>
      <c r="B209" s="291"/>
      <c r="C209" s="291"/>
      <c r="D209" s="291">
        <v>1160505001</v>
      </c>
      <c r="E209" s="291">
        <v>0</v>
      </c>
      <c r="F209" s="291">
        <v>41088</v>
      </c>
      <c r="G209" s="306">
        <v>42743</v>
      </c>
      <c r="H209" s="306">
        <v>43838</v>
      </c>
      <c r="I209" s="291">
        <v>1434</v>
      </c>
      <c r="J209" s="307">
        <v>4000000</v>
      </c>
      <c r="K209" s="307">
        <v>382559</v>
      </c>
      <c r="L209" s="307">
        <v>0</v>
      </c>
      <c r="M209" s="291" t="s">
        <v>495</v>
      </c>
      <c r="N209" s="307">
        <v>4000000</v>
      </c>
      <c r="O209" s="307">
        <v>382559</v>
      </c>
      <c r="P209" s="307">
        <v>2868000</v>
      </c>
      <c r="Q209" s="291">
        <v>1</v>
      </c>
      <c r="R209" s="291" t="s">
        <v>496</v>
      </c>
      <c r="S209" s="291">
        <v>100</v>
      </c>
      <c r="T209" s="307">
        <v>4000000</v>
      </c>
      <c r="U209" s="307">
        <v>382559</v>
      </c>
      <c r="V209" s="291">
        <v>100</v>
      </c>
      <c r="W209" s="307">
        <v>4394643</v>
      </c>
      <c r="X209" s="291">
        <v>14</v>
      </c>
      <c r="Y209" s="291">
        <v>1160902010</v>
      </c>
      <c r="Z209" s="291">
        <v>2023</v>
      </c>
      <c r="AA209" s="291">
        <v>12</v>
      </c>
      <c r="AB209" s="291">
        <v>5026003002</v>
      </c>
      <c r="AC209" s="291">
        <v>1160903005</v>
      </c>
      <c r="AD209" s="291">
        <v>0</v>
      </c>
      <c r="AE209" s="291">
        <v>0</v>
      </c>
      <c r="AF209" s="291">
        <v>0</v>
      </c>
      <c r="AG209" s="291">
        <v>1160605001</v>
      </c>
      <c r="AH209" s="291">
        <v>1594</v>
      </c>
      <c r="AI209" s="291" t="s">
        <v>497</v>
      </c>
      <c r="AJ209" s="308">
        <v>0.01</v>
      </c>
      <c r="AK209" s="309">
        <f t="shared" si="34"/>
        <v>40000</v>
      </c>
      <c r="AL209" s="309">
        <f t="shared" si="35"/>
        <v>40000</v>
      </c>
      <c r="AM209" s="309">
        <f t="shared" si="35"/>
        <v>40000</v>
      </c>
      <c r="AN209" s="309"/>
      <c r="AO209" s="309"/>
      <c r="AP209" s="309">
        <f t="shared" si="30"/>
        <v>1912.7950000000001</v>
      </c>
      <c r="AQ209" s="309">
        <f t="shared" si="36"/>
        <v>1912.7950000000001</v>
      </c>
      <c r="AR209" s="309">
        <f t="shared" si="36"/>
        <v>1912.7950000000001</v>
      </c>
      <c r="AS209" s="309"/>
      <c r="AT209" s="309"/>
      <c r="AV209" s="311">
        <f t="shared" si="31"/>
        <v>3880000</v>
      </c>
      <c r="AW209" s="311">
        <f t="shared" si="32"/>
        <v>376820.61500000005</v>
      </c>
      <c r="AX209" s="312">
        <f t="shared" si="33"/>
        <v>0</v>
      </c>
    </row>
    <row r="210" spans="1:51">
      <c r="A210" s="291" t="s">
        <v>494</v>
      </c>
      <c r="B210" s="291"/>
      <c r="C210" s="291"/>
      <c r="D210" s="291">
        <v>1160505001</v>
      </c>
      <c r="E210" s="291">
        <v>0</v>
      </c>
      <c r="F210" s="291">
        <v>46280</v>
      </c>
      <c r="G210" s="306">
        <v>43528</v>
      </c>
      <c r="H210" s="306">
        <v>44624</v>
      </c>
      <c r="I210" s="291">
        <v>658</v>
      </c>
      <c r="J210" s="307">
        <v>3000000</v>
      </c>
      <c r="K210" s="307">
        <v>1350000</v>
      </c>
      <c r="L210" s="307">
        <v>0</v>
      </c>
      <c r="M210" s="291" t="s">
        <v>495</v>
      </c>
      <c r="N210" s="307">
        <v>3000000</v>
      </c>
      <c r="O210" s="307">
        <v>1350000</v>
      </c>
      <c r="P210" s="307">
        <v>987000</v>
      </c>
      <c r="Q210" s="291">
        <v>1</v>
      </c>
      <c r="R210" s="291" t="s">
        <v>496</v>
      </c>
      <c r="S210" s="291">
        <v>100</v>
      </c>
      <c r="T210" s="307">
        <v>3000000</v>
      </c>
      <c r="U210" s="307">
        <v>1350000</v>
      </c>
      <c r="V210" s="291">
        <v>100</v>
      </c>
      <c r="W210" s="307">
        <v>4394643</v>
      </c>
      <c r="X210" s="291">
        <v>14</v>
      </c>
      <c r="Y210" s="291">
        <v>1160902010</v>
      </c>
      <c r="Z210" s="291">
        <v>2023</v>
      </c>
      <c r="AA210" s="291">
        <v>12</v>
      </c>
      <c r="AB210" s="291">
        <v>5026003002</v>
      </c>
      <c r="AC210" s="291">
        <v>1160903005</v>
      </c>
      <c r="AD210" s="291">
        <v>0</v>
      </c>
      <c r="AE210" s="291">
        <v>0</v>
      </c>
      <c r="AF210" s="291">
        <v>0</v>
      </c>
      <c r="AG210" s="291">
        <v>1160605001</v>
      </c>
      <c r="AH210" s="291">
        <v>1594</v>
      </c>
      <c r="AI210" s="291" t="s">
        <v>497</v>
      </c>
      <c r="AJ210" s="308">
        <v>0.01</v>
      </c>
      <c r="AK210" s="309">
        <f t="shared" si="34"/>
        <v>30000</v>
      </c>
      <c r="AL210" s="309">
        <f t="shared" si="35"/>
        <v>30000</v>
      </c>
      <c r="AM210" s="309">
        <f t="shared" si="35"/>
        <v>30000</v>
      </c>
      <c r="AN210" s="309"/>
      <c r="AO210" s="309"/>
      <c r="AP210" s="309">
        <f t="shared" si="30"/>
        <v>6750</v>
      </c>
      <c r="AQ210" s="309">
        <f t="shared" si="36"/>
        <v>6750</v>
      </c>
      <c r="AR210" s="309">
        <f t="shared" si="36"/>
        <v>6750</v>
      </c>
      <c r="AS210" s="309"/>
      <c r="AT210" s="309"/>
      <c r="AV210" s="311">
        <f t="shared" si="31"/>
        <v>2910000</v>
      </c>
      <c r="AW210" s="311">
        <f t="shared" si="32"/>
        <v>1329750</v>
      </c>
      <c r="AX210" s="312">
        <f t="shared" si="33"/>
        <v>0</v>
      </c>
    </row>
    <row r="211" spans="1:51">
      <c r="A211" s="291" t="s">
        <v>494</v>
      </c>
      <c r="B211" s="291"/>
      <c r="C211" s="291"/>
      <c r="D211" s="291">
        <v>1160501001</v>
      </c>
      <c r="E211" s="291">
        <v>0</v>
      </c>
      <c r="F211" s="291">
        <v>47150</v>
      </c>
      <c r="G211" s="306">
        <v>43668</v>
      </c>
      <c r="H211" s="306">
        <v>45313</v>
      </c>
      <c r="I211" s="291">
        <v>0</v>
      </c>
      <c r="J211" s="307">
        <v>4597600</v>
      </c>
      <c r="K211" s="307">
        <v>1199974</v>
      </c>
      <c r="L211" s="307">
        <v>0</v>
      </c>
      <c r="M211" s="291" t="s">
        <v>495</v>
      </c>
      <c r="N211" s="307">
        <v>0</v>
      </c>
      <c r="O211" s="307">
        <v>0</v>
      </c>
      <c r="P211" s="307">
        <v>0</v>
      </c>
      <c r="Q211" s="291">
        <v>1</v>
      </c>
      <c r="R211" s="291" t="s">
        <v>502</v>
      </c>
      <c r="S211" s="291">
        <v>0</v>
      </c>
      <c r="T211" s="307">
        <v>0</v>
      </c>
      <c r="U211" s="307">
        <v>0</v>
      </c>
      <c r="V211" s="291">
        <v>100</v>
      </c>
      <c r="W211" s="307">
        <v>7996599</v>
      </c>
      <c r="X211" s="291">
        <v>2</v>
      </c>
      <c r="Y211" s="291">
        <v>1160902002</v>
      </c>
      <c r="Z211" s="291">
        <v>2023</v>
      </c>
      <c r="AA211" s="291">
        <v>12</v>
      </c>
      <c r="AB211" s="291">
        <v>5026003002</v>
      </c>
      <c r="AC211" s="291">
        <v>1160903001</v>
      </c>
      <c r="AD211" s="291">
        <v>0</v>
      </c>
      <c r="AE211" s="291">
        <v>0</v>
      </c>
      <c r="AF211" s="291">
        <v>0</v>
      </c>
      <c r="AG211" s="291">
        <v>1160601004</v>
      </c>
      <c r="AH211" s="291">
        <v>0</v>
      </c>
      <c r="AI211" s="291" t="s">
        <v>500</v>
      </c>
      <c r="AJ211" s="308">
        <v>0.3</v>
      </c>
      <c r="AK211" s="309">
        <f t="shared" si="34"/>
        <v>1379280</v>
      </c>
      <c r="AL211" s="309">
        <f t="shared" si="35"/>
        <v>1379280</v>
      </c>
      <c r="AM211" s="309">
        <f t="shared" si="35"/>
        <v>1379280</v>
      </c>
      <c r="AN211" s="309"/>
      <c r="AO211" s="309"/>
      <c r="AP211" s="309">
        <f t="shared" si="30"/>
        <v>179996.1</v>
      </c>
      <c r="AQ211" s="309">
        <f t="shared" si="36"/>
        <v>179996.1</v>
      </c>
      <c r="AR211" s="309">
        <f t="shared" si="36"/>
        <v>179996.1</v>
      </c>
      <c r="AS211" s="309"/>
      <c r="AT211" s="309"/>
      <c r="AV211" s="311">
        <f t="shared" si="31"/>
        <v>459760</v>
      </c>
      <c r="AW211" s="311">
        <f t="shared" si="32"/>
        <v>659985.70000000007</v>
      </c>
      <c r="AX211" s="312">
        <f t="shared" si="33"/>
        <v>4597600</v>
      </c>
      <c r="AY211" s="312">
        <f>+AX211-L211</f>
        <v>4597600</v>
      </c>
    </row>
    <row r="212" spans="1:51">
      <c r="A212" s="291" t="s">
        <v>494</v>
      </c>
      <c r="B212" s="291"/>
      <c r="C212" s="291"/>
      <c r="D212" s="291">
        <v>1160505001</v>
      </c>
      <c r="E212" s="291">
        <v>0</v>
      </c>
      <c r="F212" s="291">
        <v>46754</v>
      </c>
      <c r="G212" s="306">
        <v>43604</v>
      </c>
      <c r="H212" s="306">
        <v>44700</v>
      </c>
      <c r="I212" s="291">
        <v>583</v>
      </c>
      <c r="J212" s="307">
        <v>1332000</v>
      </c>
      <c r="K212" s="307">
        <v>46287</v>
      </c>
      <c r="L212" s="307">
        <v>0</v>
      </c>
      <c r="M212" s="291" t="s">
        <v>495</v>
      </c>
      <c r="N212" s="307">
        <v>1332000</v>
      </c>
      <c r="O212" s="307">
        <v>46287</v>
      </c>
      <c r="P212" s="307">
        <v>388278</v>
      </c>
      <c r="Q212" s="291">
        <v>1</v>
      </c>
      <c r="R212" s="291" t="s">
        <v>496</v>
      </c>
      <c r="S212" s="291">
        <v>100</v>
      </c>
      <c r="T212" s="307">
        <v>1332000</v>
      </c>
      <c r="U212" s="307">
        <v>46287</v>
      </c>
      <c r="V212" s="291">
        <v>100</v>
      </c>
      <c r="W212" s="307">
        <v>6867346</v>
      </c>
      <c r="X212" s="291">
        <v>2</v>
      </c>
      <c r="Y212" s="291">
        <v>1160902010</v>
      </c>
      <c r="Z212" s="291">
        <v>2023</v>
      </c>
      <c r="AA212" s="291">
        <v>12</v>
      </c>
      <c r="AB212" s="291">
        <v>5026003002</v>
      </c>
      <c r="AC212" s="291">
        <v>1160903005</v>
      </c>
      <c r="AD212" s="291">
        <v>0</v>
      </c>
      <c r="AE212" s="291">
        <v>0</v>
      </c>
      <c r="AF212" s="291">
        <v>0</v>
      </c>
      <c r="AG212" s="291">
        <v>1160605001</v>
      </c>
      <c r="AH212" s="291">
        <v>583</v>
      </c>
      <c r="AI212" s="291" t="s">
        <v>498</v>
      </c>
      <c r="AJ212" s="308">
        <v>0.1</v>
      </c>
      <c r="AK212" s="309">
        <f t="shared" si="34"/>
        <v>133200</v>
      </c>
      <c r="AL212" s="309">
        <f t="shared" si="35"/>
        <v>133200</v>
      </c>
      <c r="AM212" s="309">
        <f t="shared" si="35"/>
        <v>133200</v>
      </c>
      <c r="AN212" s="309"/>
      <c r="AO212" s="309"/>
      <c r="AP212" s="309">
        <f t="shared" si="30"/>
        <v>2314.35</v>
      </c>
      <c r="AQ212" s="309">
        <f t="shared" si="36"/>
        <v>2314.35</v>
      </c>
      <c r="AR212" s="309">
        <f t="shared" si="36"/>
        <v>2314.35</v>
      </c>
      <c r="AS212" s="309"/>
      <c r="AT212" s="309"/>
      <c r="AV212" s="311">
        <f t="shared" si="31"/>
        <v>932400</v>
      </c>
      <c r="AW212" s="311">
        <f t="shared" si="32"/>
        <v>39343.950000000004</v>
      </c>
      <c r="AX212" s="312">
        <f t="shared" si="33"/>
        <v>0</v>
      </c>
    </row>
    <row r="213" spans="1:51">
      <c r="A213" s="291" t="s">
        <v>494</v>
      </c>
      <c r="B213" s="291"/>
      <c r="C213" s="291"/>
      <c r="D213" s="291">
        <v>1160505001</v>
      </c>
      <c r="E213" s="291">
        <v>0</v>
      </c>
      <c r="F213" s="291">
        <v>46888</v>
      </c>
      <c r="G213" s="306">
        <v>43625</v>
      </c>
      <c r="H213" s="306">
        <v>44721</v>
      </c>
      <c r="I213" s="291">
        <v>563</v>
      </c>
      <c r="J213" s="307">
        <v>666666</v>
      </c>
      <c r="K213" s="307">
        <v>19333</v>
      </c>
      <c r="L213" s="307">
        <v>0</v>
      </c>
      <c r="M213" s="291" t="s">
        <v>495</v>
      </c>
      <c r="N213" s="307">
        <v>666666</v>
      </c>
      <c r="O213" s="307">
        <v>19333</v>
      </c>
      <c r="P213" s="307">
        <v>187666</v>
      </c>
      <c r="Q213" s="291">
        <v>1</v>
      </c>
      <c r="R213" s="291" t="s">
        <v>496</v>
      </c>
      <c r="S213" s="291">
        <v>100</v>
      </c>
      <c r="T213" s="307">
        <v>666666</v>
      </c>
      <c r="U213" s="307">
        <v>19333</v>
      </c>
      <c r="V213" s="291">
        <v>100</v>
      </c>
      <c r="W213" s="307">
        <v>6867346</v>
      </c>
      <c r="X213" s="291">
        <v>14</v>
      </c>
      <c r="Y213" s="291">
        <v>1160902010</v>
      </c>
      <c r="Z213" s="291">
        <v>2023</v>
      </c>
      <c r="AA213" s="291">
        <v>12</v>
      </c>
      <c r="AB213" s="291">
        <v>5026003002</v>
      </c>
      <c r="AC213" s="291">
        <v>1160903005</v>
      </c>
      <c r="AD213" s="291">
        <v>0</v>
      </c>
      <c r="AE213" s="291">
        <v>0</v>
      </c>
      <c r="AF213" s="291">
        <v>0</v>
      </c>
      <c r="AG213" s="291">
        <v>1160605001</v>
      </c>
      <c r="AH213" s="291">
        <v>583</v>
      </c>
      <c r="AI213" s="291" t="s">
        <v>498</v>
      </c>
      <c r="AJ213" s="308">
        <v>0.1</v>
      </c>
      <c r="AK213" s="309">
        <f t="shared" si="34"/>
        <v>66666.600000000006</v>
      </c>
      <c r="AL213" s="309">
        <f t="shared" si="35"/>
        <v>66666.600000000006</v>
      </c>
      <c r="AM213" s="309">
        <f t="shared" si="35"/>
        <v>66666.600000000006</v>
      </c>
      <c r="AN213" s="309"/>
      <c r="AO213" s="309"/>
      <c r="AP213" s="309">
        <f t="shared" si="30"/>
        <v>966.65000000000009</v>
      </c>
      <c r="AQ213" s="309">
        <f t="shared" si="36"/>
        <v>966.65000000000009</v>
      </c>
      <c r="AR213" s="309">
        <f t="shared" si="36"/>
        <v>966.65000000000009</v>
      </c>
      <c r="AS213" s="309"/>
      <c r="AT213" s="309"/>
      <c r="AV213" s="311">
        <f t="shared" si="31"/>
        <v>466666.20000000007</v>
      </c>
      <c r="AW213" s="311">
        <f t="shared" si="32"/>
        <v>16433.049999999996</v>
      </c>
      <c r="AX213" s="312">
        <f t="shared" si="33"/>
        <v>0</v>
      </c>
    </row>
    <row r="214" spans="1:51">
      <c r="A214" s="291" t="s">
        <v>494</v>
      </c>
      <c r="B214" s="291"/>
      <c r="C214" s="291"/>
      <c r="D214" s="291">
        <v>1160505001</v>
      </c>
      <c r="E214" s="291">
        <v>0</v>
      </c>
      <c r="F214" s="291">
        <v>42618</v>
      </c>
      <c r="G214" s="306">
        <v>42932</v>
      </c>
      <c r="H214" s="306">
        <v>44758</v>
      </c>
      <c r="I214" s="291">
        <v>526</v>
      </c>
      <c r="J214" s="307">
        <v>2000000</v>
      </c>
      <c r="K214" s="307">
        <v>252782</v>
      </c>
      <c r="L214" s="307">
        <v>0</v>
      </c>
      <c r="M214" s="291" t="s">
        <v>495</v>
      </c>
      <c r="N214" s="307">
        <v>2000000</v>
      </c>
      <c r="O214" s="307">
        <v>252782</v>
      </c>
      <c r="P214" s="307">
        <v>526000</v>
      </c>
      <c r="Q214" s="291">
        <v>1</v>
      </c>
      <c r="R214" s="291" t="s">
        <v>496</v>
      </c>
      <c r="S214" s="291">
        <v>100</v>
      </c>
      <c r="T214" s="307">
        <v>2000000</v>
      </c>
      <c r="U214" s="307">
        <v>252782</v>
      </c>
      <c r="V214" s="291">
        <v>100</v>
      </c>
      <c r="W214" s="307">
        <v>5386748</v>
      </c>
      <c r="X214" s="291">
        <v>14</v>
      </c>
      <c r="Y214" s="291">
        <v>1160902010</v>
      </c>
      <c r="Z214" s="291">
        <v>2023</v>
      </c>
      <c r="AA214" s="291">
        <v>12</v>
      </c>
      <c r="AB214" s="291">
        <v>5026003002</v>
      </c>
      <c r="AC214" s="291">
        <v>1160903005</v>
      </c>
      <c r="AD214" s="291">
        <v>0</v>
      </c>
      <c r="AE214" s="291">
        <v>0</v>
      </c>
      <c r="AF214" s="291">
        <v>0</v>
      </c>
      <c r="AG214" s="291">
        <v>1160605001</v>
      </c>
      <c r="AH214" s="291">
        <v>526</v>
      </c>
      <c r="AI214" s="291" t="s">
        <v>498</v>
      </c>
      <c r="AJ214" s="308">
        <v>0.1</v>
      </c>
      <c r="AK214" s="309">
        <f t="shared" si="34"/>
        <v>200000</v>
      </c>
      <c r="AL214" s="309">
        <f t="shared" si="35"/>
        <v>200000</v>
      </c>
      <c r="AM214" s="309">
        <f t="shared" si="35"/>
        <v>200000</v>
      </c>
      <c r="AN214" s="309"/>
      <c r="AO214" s="309"/>
      <c r="AP214" s="309">
        <f t="shared" si="30"/>
        <v>12639.1</v>
      </c>
      <c r="AQ214" s="309">
        <f t="shared" si="36"/>
        <v>12639.1</v>
      </c>
      <c r="AR214" s="309">
        <f t="shared" si="36"/>
        <v>12639.1</v>
      </c>
      <c r="AS214" s="309"/>
      <c r="AT214" s="309"/>
      <c r="AV214" s="311">
        <f t="shared" si="31"/>
        <v>1400000</v>
      </c>
      <c r="AW214" s="311">
        <f t="shared" si="32"/>
        <v>214864.69999999998</v>
      </c>
      <c r="AX214" s="312">
        <f t="shared" si="33"/>
        <v>0</v>
      </c>
    </row>
    <row r="215" spans="1:51">
      <c r="A215" s="291" t="s">
        <v>494</v>
      </c>
      <c r="B215" s="291"/>
      <c r="C215" s="291"/>
      <c r="D215" s="291">
        <v>1160505001</v>
      </c>
      <c r="E215" s="291">
        <v>0</v>
      </c>
      <c r="F215" s="291">
        <v>42988</v>
      </c>
      <c r="G215" s="306">
        <v>43022</v>
      </c>
      <c r="H215" s="306">
        <v>44848</v>
      </c>
      <c r="I215" s="291">
        <v>438</v>
      </c>
      <c r="J215" s="307">
        <v>800000</v>
      </c>
      <c r="K215" s="307">
        <v>73380</v>
      </c>
      <c r="L215" s="307">
        <v>0</v>
      </c>
      <c r="M215" s="291" t="s">
        <v>495</v>
      </c>
      <c r="N215" s="307">
        <v>800000</v>
      </c>
      <c r="O215" s="307">
        <v>73380</v>
      </c>
      <c r="P215" s="307">
        <v>175200</v>
      </c>
      <c r="Q215" s="291">
        <v>1</v>
      </c>
      <c r="R215" s="291" t="s">
        <v>496</v>
      </c>
      <c r="S215" s="291">
        <v>100</v>
      </c>
      <c r="T215" s="307">
        <v>800000</v>
      </c>
      <c r="U215" s="307">
        <v>73380</v>
      </c>
      <c r="V215" s="291">
        <v>100</v>
      </c>
      <c r="W215" s="307">
        <v>5386748</v>
      </c>
      <c r="X215" s="291">
        <v>14</v>
      </c>
      <c r="Y215" s="291">
        <v>1160902010</v>
      </c>
      <c r="Z215" s="291">
        <v>2023</v>
      </c>
      <c r="AA215" s="291">
        <v>12</v>
      </c>
      <c r="AB215" s="291">
        <v>5026003002</v>
      </c>
      <c r="AC215" s="291">
        <v>1160903005</v>
      </c>
      <c r="AD215" s="291">
        <v>0</v>
      </c>
      <c r="AE215" s="291">
        <v>0</v>
      </c>
      <c r="AF215" s="291">
        <v>0</v>
      </c>
      <c r="AG215" s="291">
        <v>1160605001</v>
      </c>
      <c r="AH215" s="291">
        <v>526</v>
      </c>
      <c r="AI215" s="291" t="s">
        <v>498</v>
      </c>
      <c r="AJ215" s="308">
        <v>0.1</v>
      </c>
      <c r="AK215" s="309">
        <f t="shared" si="34"/>
        <v>80000</v>
      </c>
      <c r="AL215" s="309">
        <f t="shared" si="35"/>
        <v>80000</v>
      </c>
      <c r="AM215" s="309">
        <f t="shared" si="35"/>
        <v>80000</v>
      </c>
      <c r="AN215" s="309"/>
      <c r="AO215" s="309"/>
      <c r="AP215" s="309">
        <f t="shared" si="30"/>
        <v>3669</v>
      </c>
      <c r="AQ215" s="309">
        <f t="shared" ref="AQ215:AR230" si="37">AP215</f>
        <v>3669</v>
      </c>
      <c r="AR215" s="309">
        <f t="shared" si="37"/>
        <v>3669</v>
      </c>
      <c r="AS215" s="309"/>
      <c r="AT215" s="309"/>
      <c r="AV215" s="311">
        <f t="shared" si="31"/>
        <v>560000</v>
      </c>
      <c r="AW215" s="311">
        <f t="shared" si="32"/>
        <v>62373</v>
      </c>
      <c r="AX215" s="312">
        <f t="shared" si="33"/>
        <v>0</v>
      </c>
    </row>
    <row r="216" spans="1:51">
      <c r="A216" s="291" t="s">
        <v>494</v>
      </c>
      <c r="B216" s="291"/>
      <c r="C216" s="291"/>
      <c r="D216" s="291">
        <v>1160505001</v>
      </c>
      <c r="E216" s="291">
        <v>0</v>
      </c>
      <c r="F216" s="291">
        <v>41936</v>
      </c>
      <c r="G216" s="306">
        <v>42835</v>
      </c>
      <c r="H216" s="306">
        <v>43931</v>
      </c>
      <c r="I216" s="291">
        <v>1342</v>
      </c>
      <c r="J216" s="307">
        <v>10000000</v>
      </c>
      <c r="K216" s="307">
        <v>2461399</v>
      </c>
      <c r="L216" s="307">
        <v>0</v>
      </c>
      <c r="M216" s="291" t="s">
        <v>495</v>
      </c>
      <c r="N216" s="307">
        <v>10000000</v>
      </c>
      <c r="O216" s="307">
        <v>2461399</v>
      </c>
      <c r="P216" s="307">
        <v>6710000</v>
      </c>
      <c r="Q216" s="291">
        <v>1</v>
      </c>
      <c r="R216" s="291" t="s">
        <v>496</v>
      </c>
      <c r="S216" s="291">
        <v>100</v>
      </c>
      <c r="T216" s="307">
        <v>10000000</v>
      </c>
      <c r="U216" s="307">
        <v>2461399</v>
      </c>
      <c r="V216" s="291">
        <v>100</v>
      </c>
      <c r="W216" s="307">
        <v>3552697</v>
      </c>
      <c r="X216" s="291">
        <v>2</v>
      </c>
      <c r="Y216" s="291">
        <v>1160902010</v>
      </c>
      <c r="Z216" s="291">
        <v>2023</v>
      </c>
      <c r="AA216" s="291">
        <v>12</v>
      </c>
      <c r="AB216" s="291">
        <v>5026003002</v>
      </c>
      <c r="AC216" s="291">
        <v>1160903005</v>
      </c>
      <c r="AD216" s="291">
        <v>0</v>
      </c>
      <c r="AE216" s="291">
        <v>0</v>
      </c>
      <c r="AF216" s="291">
        <v>0</v>
      </c>
      <c r="AG216" s="291">
        <v>1160605001</v>
      </c>
      <c r="AH216" s="291">
        <v>1342</v>
      </c>
      <c r="AI216" s="291" t="s">
        <v>497</v>
      </c>
      <c r="AJ216" s="308">
        <v>0.01</v>
      </c>
      <c r="AK216" s="309">
        <f t="shared" si="34"/>
        <v>100000</v>
      </c>
      <c r="AL216" s="309">
        <f t="shared" si="35"/>
        <v>100000</v>
      </c>
      <c r="AM216" s="309">
        <f t="shared" si="35"/>
        <v>100000</v>
      </c>
      <c r="AN216" s="309"/>
      <c r="AO216" s="309"/>
      <c r="AP216" s="309">
        <f t="shared" si="30"/>
        <v>12306.995000000001</v>
      </c>
      <c r="AQ216" s="309">
        <f t="shared" si="37"/>
        <v>12306.995000000001</v>
      </c>
      <c r="AR216" s="309">
        <f t="shared" si="37"/>
        <v>12306.995000000001</v>
      </c>
      <c r="AS216" s="309"/>
      <c r="AT216" s="309"/>
      <c r="AV216" s="311">
        <f t="shared" si="31"/>
        <v>9700000</v>
      </c>
      <c r="AW216" s="311">
        <f t="shared" si="32"/>
        <v>2424478.0149999997</v>
      </c>
      <c r="AX216" s="312">
        <f t="shared" si="33"/>
        <v>0</v>
      </c>
    </row>
    <row r="217" spans="1:51">
      <c r="A217" s="291" t="s">
        <v>494</v>
      </c>
      <c r="B217" s="291"/>
      <c r="C217" s="291"/>
      <c r="D217" s="291">
        <v>1160505001</v>
      </c>
      <c r="E217" s="291">
        <v>0</v>
      </c>
      <c r="F217" s="291">
        <v>43446</v>
      </c>
      <c r="G217" s="306">
        <v>43128</v>
      </c>
      <c r="H217" s="306">
        <v>43858</v>
      </c>
      <c r="I217" s="291">
        <v>1414</v>
      </c>
      <c r="J217" s="307">
        <v>3000000</v>
      </c>
      <c r="K217" s="307">
        <v>540000</v>
      </c>
      <c r="L217" s="307">
        <v>0</v>
      </c>
      <c r="M217" s="291" t="s">
        <v>495</v>
      </c>
      <c r="N217" s="307">
        <v>3000000</v>
      </c>
      <c r="O217" s="307">
        <v>540000</v>
      </c>
      <c r="P217" s="307">
        <v>2121000</v>
      </c>
      <c r="Q217" s="291">
        <v>1</v>
      </c>
      <c r="R217" s="291" t="s">
        <v>496</v>
      </c>
      <c r="S217" s="291">
        <v>100</v>
      </c>
      <c r="T217" s="307">
        <v>3000000</v>
      </c>
      <c r="U217" s="307">
        <v>540000</v>
      </c>
      <c r="V217" s="291">
        <v>100</v>
      </c>
      <c r="W217" s="307">
        <v>1688360</v>
      </c>
      <c r="X217" s="291">
        <v>2</v>
      </c>
      <c r="Y217" s="291">
        <v>1160902010</v>
      </c>
      <c r="Z217" s="291">
        <v>2023</v>
      </c>
      <c r="AA217" s="291">
        <v>12</v>
      </c>
      <c r="AB217" s="291">
        <v>5026003002</v>
      </c>
      <c r="AC217" s="291">
        <v>1160903005</v>
      </c>
      <c r="AD217" s="291">
        <v>0</v>
      </c>
      <c r="AE217" s="291">
        <v>0</v>
      </c>
      <c r="AF217" s="291">
        <v>0</v>
      </c>
      <c r="AG217" s="291">
        <v>1160605001</v>
      </c>
      <c r="AH217" s="291">
        <v>1414</v>
      </c>
      <c r="AI217" s="291" t="s">
        <v>497</v>
      </c>
      <c r="AJ217" s="308">
        <v>0.01</v>
      </c>
      <c r="AK217" s="309">
        <f t="shared" si="34"/>
        <v>30000</v>
      </c>
      <c r="AL217" s="309">
        <f t="shared" si="35"/>
        <v>30000</v>
      </c>
      <c r="AM217" s="309">
        <f t="shared" si="35"/>
        <v>30000</v>
      </c>
      <c r="AN217" s="309"/>
      <c r="AO217" s="309"/>
      <c r="AP217" s="309">
        <f t="shared" si="30"/>
        <v>2700</v>
      </c>
      <c r="AQ217" s="309">
        <f t="shared" si="37"/>
        <v>2700</v>
      </c>
      <c r="AR217" s="309">
        <f t="shared" si="37"/>
        <v>2700</v>
      </c>
      <c r="AS217" s="309"/>
      <c r="AT217" s="309"/>
      <c r="AV217" s="311">
        <f t="shared" si="31"/>
        <v>2910000</v>
      </c>
      <c r="AW217" s="311">
        <f t="shared" si="32"/>
        <v>531900</v>
      </c>
      <c r="AX217" s="312">
        <f t="shared" si="33"/>
        <v>0</v>
      </c>
    </row>
    <row r="218" spans="1:51">
      <c r="A218" s="291" t="s">
        <v>494</v>
      </c>
      <c r="B218" s="291"/>
      <c r="C218" s="291"/>
      <c r="D218" s="291">
        <v>1160505004</v>
      </c>
      <c r="E218" s="291">
        <v>46471</v>
      </c>
      <c r="F218" s="291">
        <v>46472</v>
      </c>
      <c r="G218" s="306">
        <v>43552</v>
      </c>
      <c r="H218" s="306">
        <v>44648</v>
      </c>
      <c r="I218" s="291">
        <v>634</v>
      </c>
      <c r="J218" s="307">
        <v>13230600</v>
      </c>
      <c r="K218" s="307">
        <v>5953788</v>
      </c>
      <c r="L218" s="307">
        <v>0</v>
      </c>
      <c r="M218" s="291" t="s">
        <v>495</v>
      </c>
      <c r="N218" s="307">
        <v>13230600</v>
      </c>
      <c r="O218" s="307">
        <v>5953788</v>
      </c>
      <c r="P218" s="307">
        <v>4194100</v>
      </c>
      <c r="Q218" s="291">
        <v>1</v>
      </c>
      <c r="R218" s="291" t="s">
        <v>496</v>
      </c>
      <c r="S218" s="291">
        <v>100</v>
      </c>
      <c r="T218" s="307">
        <v>13230600</v>
      </c>
      <c r="U218" s="307">
        <v>5953788</v>
      </c>
      <c r="V218" s="291">
        <v>100</v>
      </c>
      <c r="W218" s="307">
        <v>13305858</v>
      </c>
      <c r="X218" s="291">
        <v>5</v>
      </c>
      <c r="Y218" s="291">
        <v>1160902010</v>
      </c>
      <c r="Z218" s="291">
        <v>2023</v>
      </c>
      <c r="AA218" s="291">
        <v>12</v>
      </c>
      <c r="AB218" s="291">
        <v>5026003002</v>
      </c>
      <c r="AC218" s="291">
        <v>1160903005</v>
      </c>
      <c r="AD218" s="291">
        <v>0</v>
      </c>
      <c r="AE218" s="291">
        <v>0</v>
      </c>
      <c r="AF218" s="291">
        <v>0</v>
      </c>
      <c r="AG218" s="291">
        <v>1160605001</v>
      </c>
      <c r="AH218" s="291">
        <v>634</v>
      </c>
      <c r="AI218" s="291" t="s">
        <v>498</v>
      </c>
      <c r="AJ218" s="308">
        <v>0.1</v>
      </c>
      <c r="AK218" s="309">
        <f t="shared" si="34"/>
        <v>1323060</v>
      </c>
      <c r="AL218" s="309">
        <f t="shared" si="35"/>
        <v>1323060</v>
      </c>
      <c r="AM218" s="309">
        <f t="shared" si="35"/>
        <v>1323060</v>
      </c>
      <c r="AN218" s="309"/>
      <c r="AO218" s="309"/>
      <c r="AP218" s="309">
        <f t="shared" si="30"/>
        <v>297689.40000000002</v>
      </c>
      <c r="AQ218" s="309">
        <f t="shared" si="37"/>
        <v>297689.40000000002</v>
      </c>
      <c r="AR218" s="309">
        <f t="shared" si="37"/>
        <v>297689.40000000002</v>
      </c>
      <c r="AS218" s="309"/>
      <c r="AT218" s="309"/>
      <c r="AV218" s="311">
        <f t="shared" si="31"/>
        <v>9261420</v>
      </c>
      <c r="AW218" s="311">
        <f t="shared" si="32"/>
        <v>5060719.7999999989</v>
      </c>
      <c r="AX218" s="312">
        <f t="shared" si="33"/>
        <v>0</v>
      </c>
    </row>
    <row r="219" spans="1:51">
      <c r="A219" s="291" t="s">
        <v>494</v>
      </c>
      <c r="B219" s="291"/>
      <c r="C219" s="291"/>
      <c r="D219" s="291">
        <v>1160505004</v>
      </c>
      <c r="E219" s="291">
        <v>0</v>
      </c>
      <c r="F219" s="291">
        <v>41875</v>
      </c>
      <c r="G219" s="306">
        <v>43552</v>
      </c>
      <c r="H219" s="306">
        <v>44648</v>
      </c>
      <c r="I219" s="291">
        <v>634</v>
      </c>
      <c r="J219" s="307">
        <v>0</v>
      </c>
      <c r="K219" s="307">
        <v>4143094</v>
      </c>
      <c r="L219" s="307">
        <v>0</v>
      </c>
      <c r="M219" s="291" t="s">
        <v>495</v>
      </c>
      <c r="N219" s="307">
        <v>0</v>
      </c>
      <c r="O219" s="307">
        <v>4143094</v>
      </c>
      <c r="P219" s="307">
        <v>0</v>
      </c>
      <c r="Q219" s="291">
        <v>1</v>
      </c>
      <c r="R219" s="291" t="s">
        <v>496</v>
      </c>
      <c r="S219" s="291">
        <v>100</v>
      </c>
      <c r="T219" s="307">
        <v>0</v>
      </c>
      <c r="U219" s="307">
        <v>4143094</v>
      </c>
      <c r="V219" s="291">
        <v>100</v>
      </c>
      <c r="W219" s="307">
        <v>13305858</v>
      </c>
      <c r="X219" s="291">
        <v>5</v>
      </c>
      <c r="Y219" s="291">
        <v>1160902010</v>
      </c>
      <c r="Z219" s="291">
        <v>2023</v>
      </c>
      <c r="AA219" s="291">
        <v>12</v>
      </c>
      <c r="AB219" s="291">
        <v>5026003002</v>
      </c>
      <c r="AC219" s="291">
        <v>1160903005</v>
      </c>
      <c r="AD219" s="291">
        <v>0</v>
      </c>
      <c r="AE219" s="291">
        <v>0</v>
      </c>
      <c r="AF219" s="291">
        <v>0</v>
      </c>
      <c r="AG219" s="291">
        <v>1160605001</v>
      </c>
      <c r="AH219" s="291">
        <v>634</v>
      </c>
      <c r="AI219" s="291" t="s">
        <v>498</v>
      </c>
      <c r="AJ219" s="308">
        <v>0.1</v>
      </c>
      <c r="AK219" s="309">
        <f t="shared" si="34"/>
        <v>0</v>
      </c>
      <c r="AL219" s="309">
        <f t="shared" si="35"/>
        <v>0</v>
      </c>
      <c r="AM219" s="309">
        <f t="shared" si="35"/>
        <v>0</v>
      </c>
      <c r="AN219" s="309"/>
      <c r="AO219" s="309"/>
      <c r="AP219" s="309">
        <f t="shared" si="30"/>
        <v>207154.7</v>
      </c>
      <c r="AQ219" s="309">
        <f t="shared" si="37"/>
        <v>207154.7</v>
      </c>
      <c r="AR219" s="309">
        <f t="shared" si="37"/>
        <v>207154.7</v>
      </c>
      <c r="AS219" s="309"/>
      <c r="AT219" s="309"/>
      <c r="AV219" s="311">
        <f t="shared" si="31"/>
        <v>0</v>
      </c>
      <c r="AW219" s="311">
        <f t="shared" si="32"/>
        <v>3521629.8999999994</v>
      </c>
      <c r="AX219" s="312">
        <f t="shared" si="33"/>
        <v>0</v>
      </c>
    </row>
    <row r="220" spans="1:51">
      <c r="A220" s="291" t="s">
        <v>494</v>
      </c>
      <c r="B220" s="291"/>
      <c r="C220" s="291"/>
      <c r="D220" s="291">
        <v>1160505001</v>
      </c>
      <c r="E220" s="291">
        <v>0</v>
      </c>
      <c r="F220" s="291">
        <v>45571</v>
      </c>
      <c r="G220" s="306">
        <v>43451</v>
      </c>
      <c r="H220" s="306">
        <v>44182</v>
      </c>
      <c r="I220" s="291">
        <v>1095</v>
      </c>
      <c r="J220" s="307">
        <v>1628980</v>
      </c>
      <c r="K220" s="307">
        <v>178368</v>
      </c>
      <c r="L220" s="307">
        <v>0</v>
      </c>
      <c r="M220" s="291" t="s">
        <v>495</v>
      </c>
      <c r="N220" s="307">
        <v>1628980</v>
      </c>
      <c r="O220" s="307">
        <v>178368</v>
      </c>
      <c r="P220" s="307">
        <v>891867</v>
      </c>
      <c r="Q220" s="291">
        <v>1</v>
      </c>
      <c r="R220" s="291" t="s">
        <v>496</v>
      </c>
      <c r="S220" s="291">
        <v>100</v>
      </c>
      <c r="T220" s="307">
        <v>1628980</v>
      </c>
      <c r="U220" s="307">
        <v>178368</v>
      </c>
      <c r="V220" s="291">
        <v>100</v>
      </c>
      <c r="W220" s="307">
        <v>7545205</v>
      </c>
      <c r="X220" s="291">
        <v>2</v>
      </c>
      <c r="Y220" s="291">
        <v>1160902010</v>
      </c>
      <c r="Z220" s="291">
        <v>2023</v>
      </c>
      <c r="AA220" s="291">
        <v>12</v>
      </c>
      <c r="AB220" s="291">
        <v>5026003002</v>
      </c>
      <c r="AC220" s="291">
        <v>1160903005</v>
      </c>
      <c r="AD220" s="291">
        <v>0</v>
      </c>
      <c r="AE220" s="291">
        <v>0</v>
      </c>
      <c r="AF220" s="291">
        <v>0</v>
      </c>
      <c r="AG220" s="291">
        <v>1160605001</v>
      </c>
      <c r="AH220" s="291">
        <v>1095</v>
      </c>
      <c r="AI220" s="291" t="s">
        <v>497</v>
      </c>
      <c r="AJ220" s="308">
        <v>0.01</v>
      </c>
      <c r="AK220" s="309">
        <f t="shared" si="34"/>
        <v>16289.800000000001</v>
      </c>
      <c r="AL220" s="309">
        <f t="shared" si="35"/>
        <v>16289.800000000001</v>
      </c>
      <c r="AM220" s="309">
        <f t="shared" si="35"/>
        <v>16289.800000000001</v>
      </c>
      <c r="AN220" s="309"/>
      <c r="AO220" s="309"/>
      <c r="AP220" s="309">
        <f t="shared" si="30"/>
        <v>891.84</v>
      </c>
      <c r="AQ220" s="309">
        <f t="shared" si="37"/>
        <v>891.84</v>
      </c>
      <c r="AR220" s="309">
        <f t="shared" si="37"/>
        <v>891.84</v>
      </c>
      <c r="AS220" s="309"/>
      <c r="AT220" s="309"/>
      <c r="AV220" s="311">
        <f t="shared" si="31"/>
        <v>1580110.5999999999</v>
      </c>
      <c r="AW220" s="311">
        <f t="shared" si="32"/>
        <v>175692.48</v>
      </c>
      <c r="AX220" s="312">
        <f t="shared" si="33"/>
        <v>0</v>
      </c>
    </row>
    <row r="221" spans="1:51">
      <c r="A221" s="291" t="s">
        <v>494</v>
      </c>
      <c r="B221" s="291"/>
      <c r="C221" s="291"/>
      <c r="D221" s="291">
        <v>1160505004</v>
      </c>
      <c r="E221" s="291">
        <v>43466</v>
      </c>
      <c r="F221" s="291">
        <v>46609</v>
      </c>
      <c r="G221" s="306">
        <v>43576</v>
      </c>
      <c r="H221" s="306">
        <v>44672</v>
      </c>
      <c r="I221" s="291">
        <v>611</v>
      </c>
      <c r="J221" s="307">
        <v>12954668</v>
      </c>
      <c r="K221" s="307">
        <v>3873455</v>
      </c>
      <c r="L221" s="307">
        <v>0</v>
      </c>
      <c r="M221" s="291" t="s">
        <v>495</v>
      </c>
      <c r="N221" s="307">
        <v>12954668</v>
      </c>
      <c r="O221" s="307">
        <v>3873455</v>
      </c>
      <c r="P221" s="307">
        <v>3957651</v>
      </c>
      <c r="Q221" s="291">
        <v>1</v>
      </c>
      <c r="R221" s="291" t="s">
        <v>496</v>
      </c>
      <c r="S221" s="291">
        <v>100</v>
      </c>
      <c r="T221" s="307">
        <v>12954668</v>
      </c>
      <c r="U221" s="307">
        <v>3873455</v>
      </c>
      <c r="V221" s="291">
        <v>100</v>
      </c>
      <c r="W221" s="307">
        <v>7545205</v>
      </c>
      <c r="X221" s="291">
        <v>5</v>
      </c>
      <c r="Y221" s="291">
        <v>1160902010</v>
      </c>
      <c r="Z221" s="291">
        <v>2023</v>
      </c>
      <c r="AA221" s="291">
        <v>12</v>
      </c>
      <c r="AB221" s="291">
        <v>5026003002</v>
      </c>
      <c r="AC221" s="291">
        <v>1160903005</v>
      </c>
      <c r="AD221" s="291">
        <v>0</v>
      </c>
      <c r="AE221" s="291">
        <v>0</v>
      </c>
      <c r="AF221" s="291">
        <v>0</v>
      </c>
      <c r="AG221" s="291">
        <v>1160605001</v>
      </c>
      <c r="AH221" s="291">
        <v>1095</v>
      </c>
      <c r="AI221" s="291" t="s">
        <v>497</v>
      </c>
      <c r="AJ221" s="308">
        <v>0.01</v>
      </c>
      <c r="AK221" s="309">
        <f t="shared" si="34"/>
        <v>129546.68000000001</v>
      </c>
      <c r="AL221" s="309">
        <f t="shared" si="35"/>
        <v>129546.68000000001</v>
      </c>
      <c r="AM221" s="309">
        <f t="shared" si="35"/>
        <v>129546.68000000001</v>
      </c>
      <c r="AN221" s="309"/>
      <c r="AO221" s="309"/>
      <c r="AP221" s="309">
        <f t="shared" si="30"/>
        <v>19367.275000000001</v>
      </c>
      <c r="AQ221" s="309">
        <f t="shared" si="37"/>
        <v>19367.275000000001</v>
      </c>
      <c r="AR221" s="309">
        <f t="shared" si="37"/>
        <v>19367.275000000001</v>
      </c>
      <c r="AS221" s="309"/>
      <c r="AT221" s="309"/>
      <c r="AV221" s="311">
        <f t="shared" si="31"/>
        <v>12566027.960000001</v>
      </c>
      <c r="AW221" s="311">
        <f t="shared" si="32"/>
        <v>3815353.1750000003</v>
      </c>
      <c r="AX221" s="312">
        <f t="shared" si="33"/>
        <v>0</v>
      </c>
    </row>
    <row r="222" spans="1:51">
      <c r="A222" s="291" t="s">
        <v>494</v>
      </c>
      <c r="B222" s="291"/>
      <c r="C222" s="291"/>
      <c r="D222" s="291">
        <v>1160505004</v>
      </c>
      <c r="E222" s="291">
        <v>0</v>
      </c>
      <c r="F222" s="291">
        <v>46608</v>
      </c>
      <c r="G222" s="306">
        <v>43576</v>
      </c>
      <c r="H222" s="306">
        <v>44672</v>
      </c>
      <c r="I222" s="291">
        <v>611</v>
      </c>
      <c r="J222" s="307">
        <v>0</v>
      </c>
      <c r="K222" s="307">
        <v>2085482</v>
      </c>
      <c r="L222" s="307">
        <v>0</v>
      </c>
      <c r="M222" s="291" t="s">
        <v>495</v>
      </c>
      <c r="N222" s="307">
        <v>0</v>
      </c>
      <c r="O222" s="307">
        <v>2085482</v>
      </c>
      <c r="P222" s="307">
        <v>0</v>
      </c>
      <c r="Q222" s="291">
        <v>1</v>
      </c>
      <c r="R222" s="291" t="s">
        <v>496</v>
      </c>
      <c r="S222" s="291">
        <v>100</v>
      </c>
      <c r="T222" s="307">
        <v>0</v>
      </c>
      <c r="U222" s="307">
        <v>2085482</v>
      </c>
      <c r="V222" s="291">
        <v>100</v>
      </c>
      <c r="W222" s="307">
        <v>7545205</v>
      </c>
      <c r="X222" s="291">
        <v>5</v>
      </c>
      <c r="Y222" s="291">
        <v>1160902010</v>
      </c>
      <c r="Z222" s="291">
        <v>2023</v>
      </c>
      <c r="AA222" s="291">
        <v>12</v>
      </c>
      <c r="AB222" s="291">
        <v>5026003002</v>
      </c>
      <c r="AC222" s="291">
        <v>1160903005</v>
      </c>
      <c r="AD222" s="291">
        <v>0</v>
      </c>
      <c r="AE222" s="291">
        <v>0</v>
      </c>
      <c r="AF222" s="291">
        <v>0</v>
      </c>
      <c r="AG222" s="291">
        <v>1160605001</v>
      </c>
      <c r="AH222" s="291">
        <v>1095</v>
      </c>
      <c r="AI222" s="291" t="s">
        <v>497</v>
      </c>
      <c r="AJ222" s="308">
        <v>0.01</v>
      </c>
      <c r="AK222" s="309">
        <f t="shared" si="34"/>
        <v>0</v>
      </c>
      <c r="AL222" s="309">
        <f t="shared" si="35"/>
        <v>0</v>
      </c>
      <c r="AM222" s="309">
        <f t="shared" si="35"/>
        <v>0</v>
      </c>
      <c r="AN222" s="309"/>
      <c r="AO222" s="309"/>
      <c r="AP222" s="309">
        <f t="shared" si="30"/>
        <v>10427.41</v>
      </c>
      <c r="AQ222" s="309">
        <f t="shared" si="37"/>
        <v>10427.41</v>
      </c>
      <c r="AR222" s="309">
        <f t="shared" si="37"/>
        <v>10427.41</v>
      </c>
      <c r="AS222" s="309"/>
      <c r="AT222" s="309"/>
      <c r="AV222" s="311">
        <f t="shared" si="31"/>
        <v>0</v>
      </c>
      <c r="AW222" s="311">
        <f t="shared" si="32"/>
        <v>2054199.7700000003</v>
      </c>
      <c r="AX222" s="312">
        <f t="shared" si="33"/>
        <v>0</v>
      </c>
    </row>
    <row r="223" spans="1:51">
      <c r="A223" s="291" t="s">
        <v>494</v>
      </c>
      <c r="B223" s="291"/>
      <c r="C223" s="291"/>
      <c r="D223" s="291">
        <v>1160505001</v>
      </c>
      <c r="E223" s="291">
        <v>0</v>
      </c>
      <c r="F223" s="291">
        <v>41705</v>
      </c>
      <c r="G223" s="306">
        <v>42808</v>
      </c>
      <c r="H223" s="306">
        <v>43173</v>
      </c>
      <c r="I223" s="291">
        <v>2088</v>
      </c>
      <c r="J223" s="307">
        <v>11113356</v>
      </c>
      <c r="K223" s="307">
        <v>1000200</v>
      </c>
      <c r="L223" s="307">
        <v>0</v>
      </c>
      <c r="M223" s="291" t="s">
        <v>495</v>
      </c>
      <c r="N223" s="307">
        <v>11113356</v>
      </c>
      <c r="O223" s="307">
        <v>1000200</v>
      </c>
      <c r="P223" s="307">
        <v>11602344</v>
      </c>
      <c r="Q223" s="291">
        <v>1</v>
      </c>
      <c r="R223" s="291" t="s">
        <v>496</v>
      </c>
      <c r="S223" s="291">
        <v>100</v>
      </c>
      <c r="T223" s="307">
        <v>11113356</v>
      </c>
      <c r="U223" s="307">
        <v>1000200</v>
      </c>
      <c r="V223" s="291">
        <v>100</v>
      </c>
      <c r="W223" s="307">
        <v>9454898</v>
      </c>
      <c r="X223" s="291">
        <v>2</v>
      </c>
      <c r="Y223" s="291">
        <v>1160902010</v>
      </c>
      <c r="Z223" s="291">
        <v>2023</v>
      </c>
      <c r="AA223" s="291">
        <v>12</v>
      </c>
      <c r="AB223" s="291">
        <v>5026003002</v>
      </c>
      <c r="AC223" s="291">
        <v>1160903005</v>
      </c>
      <c r="AD223" s="291">
        <v>0</v>
      </c>
      <c r="AE223" s="291">
        <v>0</v>
      </c>
      <c r="AF223" s="291">
        <v>0</v>
      </c>
      <c r="AG223" s="291">
        <v>1160605001</v>
      </c>
      <c r="AH223" s="291">
        <v>2088</v>
      </c>
      <c r="AI223" s="291" t="s">
        <v>497</v>
      </c>
      <c r="AJ223" s="308">
        <v>0.01</v>
      </c>
      <c r="AK223" s="309">
        <f t="shared" si="34"/>
        <v>111133.56</v>
      </c>
      <c r="AL223" s="309">
        <f t="shared" si="35"/>
        <v>111133.56</v>
      </c>
      <c r="AM223" s="309">
        <f t="shared" si="35"/>
        <v>111133.56</v>
      </c>
      <c r="AN223" s="309"/>
      <c r="AO223" s="309"/>
      <c r="AP223" s="309">
        <f t="shared" si="30"/>
        <v>5001</v>
      </c>
      <c r="AQ223" s="309">
        <f t="shared" si="37"/>
        <v>5001</v>
      </c>
      <c r="AR223" s="309">
        <f t="shared" si="37"/>
        <v>5001</v>
      </c>
      <c r="AS223" s="309"/>
      <c r="AT223" s="309"/>
      <c r="AV223" s="311">
        <f t="shared" si="31"/>
        <v>10779955.319999998</v>
      </c>
      <c r="AW223" s="311">
        <f t="shared" si="32"/>
        <v>985197</v>
      </c>
      <c r="AX223" s="312">
        <f t="shared" si="33"/>
        <v>0</v>
      </c>
    </row>
    <row r="224" spans="1:51">
      <c r="A224" s="291" t="s">
        <v>494</v>
      </c>
      <c r="B224" s="291"/>
      <c r="C224" s="291"/>
      <c r="D224" s="291">
        <v>1160505002</v>
      </c>
      <c r="E224" s="291">
        <v>0</v>
      </c>
      <c r="F224" s="291">
        <v>43193</v>
      </c>
      <c r="G224" s="306">
        <v>43091</v>
      </c>
      <c r="H224" s="306">
        <v>43456</v>
      </c>
      <c r="I224" s="291">
        <v>1810</v>
      </c>
      <c r="J224" s="307">
        <v>2866940</v>
      </c>
      <c r="K224" s="307">
        <v>258024</v>
      </c>
      <c r="L224" s="307">
        <v>0</v>
      </c>
      <c r="M224" s="291" t="s">
        <v>495</v>
      </c>
      <c r="N224" s="307">
        <v>2866940</v>
      </c>
      <c r="O224" s="307">
        <v>258024</v>
      </c>
      <c r="P224" s="307">
        <v>2594581</v>
      </c>
      <c r="Q224" s="291">
        <v>1</v>
      </c>
      <c r="R224" s="291" t="s">
        <v>496</v>
      </c>
      <c r="S224" s="291">
        <v>100</v>
      </c>
      <c r="T224" s="307">
        <v>2866940</v>
      </c>
      <c r="U224" s="307">
        <v>258024</v>
      </c>
      <c r="V224" s="291">
        <v>100</v>
      </c>
      <c r="W224" s="307">
        <v>2357034</v>
      </c>
      <c r="X224" s="291">
        <v>6</v>
      </c>
      <c r="Y224" s="291">
        <v>1160902010</v>
      </c>
      <c r="Z224" s="291">
        <v>2023</v>
      </c>
      <c r="AA224" s="291">
        <v>12</v>
      </c>
      <c r="AB224" s="291">
        <v>5026003002</v>
      </c>
      <c r="AC224" s="291">
        <v>1160903005</v>
      </c>
      <c r="AD224" s="291">
        <v>0</v>
      </c>
      <c r="AE224" s="291">
        <v>0</v>
      </c>
      <c r="AF224" s="291">
        <v>0</v>
      </c>
      <c r="AG224" s="291">
        <v>1160605001</v>
      </c>
      <c r="AH224" s="291">
        <v>1810</v>
      </c>
      <c r="AI224" s="291" t="s">
        <v>497</v>
      </c>
      <c r="AJ224" s="308">
        <v>0.01</v>
      </c>
      <c r="AK224" s="309">
        <f t="shared" si="34"/>
        <v>28669.4</v>
      </c>
      <c r="AL224" s="309">
        <f t="shared" si="35"/>
        <v>28669.4</v>
      </c>
      <c r="AM224" s="309">
        <f t="shared" si="35"/>
        <v>28669.4</v>
      </c>
      <c r="AN224" s="309"/>
      <c r="AO224" s="309"/>
      <c r="AP224" s="309">
        <f t="shared" si="30"/>
        <v>1290.1200000000001</v>
      </c>
      <c r="AQ224" s="309">
        <f t="shared" si="37"/>
        <v>1290.1200000000001</v>
      </c>
      <c r="AR224" s="309">
        <f t="shared" si="37"/>
        <v>1290.1200000000001</v>
      </c>
      <c r="AS224" s="309"/>
      <c r="AT224" s="309"/>
      <c r="AV224" s="311">
        <f t="shared" si="31"/>
        <v>2780931.8000000003</v>
      </c>
      <c r="AW224" s="311">
        <f t="shared" si="32"/>
        <v>254153.64</v>
      </c>
      <c r="AX224" s="312">
        <f t="shared" si="33"/>
        <v>0</v>
      </c>
    </row>
    <row r="225" spans="1:50">
      <c r="A225" s="291" t="s">
        <v>494</v>
      </c>
      <c r="B225" s="291"/>
      <c r="C225" s="291"/>
      <c r="D225" s="291">
        <v>1160505001</v>
      </c>
      <c r="E225" s="291">
        <v>0</v>
      </c>
      <c r="F225" s="291">
        <v>40859</v>
      </c>
      <c r="G225" s="306">
        <v>42699</v>
      </c>
      <c r="H225" s="306">
        <v>44525</v>
      </c>
      <c r="I225" s="291">
        <v>757</v>
      </c>
      <c r="J225" s="307">
        <v>2400000</v>
      </c>
      <c r="K225" s="307">
        <v>1248000</v>
      </c>
      <c r="L225" s="307">
        <v>0</v>
      </c>
      <c r="M225" s="291" t="s">
        <v>495</v>
      </c>
      <c r="N225" s="307">
        <v>2400000</v>
      </c>
      <c r="O225" s="307">
        <v>1248000</v>
      </c>
      <c r="P225" s="307">
        <v>908400</v>
      </c>
      <c r="Q225" s="291">
        <v>1</v>
      </c>
      <c r="R225" s="291" t="s">
        <v>496</v>
      </c>
      <c r="S225" s="291">
        <v>100</v>
      </c>
      <c r="T225" s="307">
        <v>2400000</v>
      </c>
      <c r="U225" s="307">
        <v>1248000</v>
      </c>
      <c r="V225" s="291">
        <v>100</v>
      </c>
      <c r="W225" s="307">
        <v>2357034</v>
      </c>
      <c r="X225" s="291">
        <v>14</v>
      </c>
      <c r="Y225" s="291">
        <v>1160902010</v>
      </c>
      <c r="Z225" s="291">
        <v>2023</v>
      </c>
      <c r="AA225" s="291">
        <v>12</v>
      </c>
      <c r="AB225" s="291">
        <v>5026003002</v>
      </c>
      <c r="AC225" s="291">
        <v>1160903005</v>
      </c>
      <c r="AD225" s="291">
        <v>0</v>
      </c>
      <c r="AE225" s="291">
        <v>0</v>
      </c>
      <c r="AF225" s="291">
        <v>0</v>
      </c>
      <c r="AG225" s="291">
        <v>1160605001</v>
      </c>
      <c r="AH225" s="291">
        <v>1810</v>
      </c>
      <c r="AI225" s="291" t="s">
        <v>497</v>
      </c>
      <c r="AJ225" s="308">
        <v>0.01</v>
      </c>
      <c r="AK225" s="309">
        <f t="shared" si="34"/>
        <v>24000</v>
      </c>
      <c r="AL225" s="309">
        <f t="shared" si="35"/>
        <v>24000</v>
      </c>
      <c r="AM225" s="309">
        <f t="shared" si="35"/>
        <v>24000</v>
      </c>
      <c r="AN225" s="309"/>
      <c r="AO225" s="309"/>
      <c r="AP225" s="309">
        <f t="shared" si="30"/>
        <v>6240</v>
      </c>
      <c r="AQ225" s="309">
        <f t="shared" si="37"/>
        <v>6240</v>
      </c>
      <c r="AR225" s="309">
        <f t="shared" si="37"/>
        <v>6240</v>
      </c>
      <c r="AS225" s="309"/>
      <c r="AT225" s="309"/>
      <c r="AV225" s="311">
        <f t="shared" si="31"/>
        <v>2328000</v>
      </c>
      <c r="AW225" s="311">
        <f t="shared" si="32"/>
        <v>1229280</v>
      </c>
      <c r="AX225" s="312">
        <f t="shared" si="33"/>
        <v>0</v>
      </c>
    </row>
    <row r="226" spans="1:50">
      <c r="A226" s="291" t="s">
        <v>494</v>
      </c>
      <c r="B226" s="291"/>
      <c r="C226" s="291"/>
      <c r="D226" s="291">
        <v>1160505001</v>
      </c>
      <c r="E226" s="291">
        <v>0</v>
      </c>
      <c r="F226" s="291">
        <v>46928</v>
      </c>
      <c r="G226" s="306">
        <v>43632</v>
      </c>
      <c r="H226" s="306">
        <v>44728</v>
      </c>
      <c r="I226" s="291">
        <v>556</v>
      </c>
      <c r="J226" s="307">
        <v>1666000</v>
      </c>
      <c r="K226" s="307">
        <v>148274</v>
      </c>
      <c r="L226" s="307">
        <v>0</v>
      </c>
      <c r="M226" s="291" t="s">
        <v>495</v>
      </c>
      <c r="N226" s="307">
        <v>1666000</v>
      </c>
      <c r="O226" s="307">
        <v>148274</v>
      </c>
      <c r="P226" s="307">
        <v>463148</v>
      </c>
      <c r="Q226" s="291">
        <v>1</v>
      </c>
      <c r="R226" s="291" t="s">
        <v>496</v>
      </c>
      <c r="S226" s="291">
        <v>100</v>
      </c>
      <c r="T226" s="307">
        <v>1666000</v>
      </c>
      <c r="U226" s="307">
        <v>148274</v>
      </c>
      <c r="V226" s="291">
        <v>100</v>
      </c>
      <c r="W226" s="307">
        <v>8178867</v>
      </c>
      <c r="X226" s="291">
        <v>2</v>
      </c>
      <c r="Y226" s="291">
        <v>1160902010</v>
      </c>
      <c r="Z226" s="291">
        <v>2023</v>
      </c>
      <c r="AA226" s="291">
        <v>12</v>
      </c>
      <c r="AB226" s="291">
        <v>5026003002</v>
      </c>
      <c r="AC226" s="291">
        <v>1160903005</v>
      </c>
      <c r="AD226" s="291">
        <v>0</v>
      </c>
      <c r="AE226" s="291">
        <v>0</v>
      </c>
      <c r="AF226" s="291">
        <v>0</v>
      </c>
      <c r="AG226" s="291">
        <v>1160605001</v>
      </c>
      <c r="AH226" s="291">
        <v>556</v>
      </c>
      <c r="AI226" s="291" t="s">
        <v>498</v>
      </c>
      <c r="AJ226" s="308">
        <v>0.1</v>
      </c>
      <c r="AK226" s="309">
        <f t="shared" si="34"/>
        <v>166600</v>
      </c>
      <c r="AL226" s="309">
        <f t="shared" si="35"/>
        <v>166600</v>
      </c>
      <c r="AM226" s="309">
        <f t="shared" si="35"/>
        <v>166600</v>
      </c>
      <c r="AN226" s="309"/>
      <c r="AO226" s="309"/>
      <c r="AP226" s="309">
        <f t="shared" si="30"/>
        <v>7413.7000000000007</v>
      </c>
      <c r="AQ226" s="309">
        <f t="shared" si="37"/>
        <v>7413.7000000000007</v>
      </c>
      <c r="AR226" s="309">
        <f t="shared" si="37"/>
        <v>7413.7000000000007</v>
      </c>
      <c r="AS226" s="309"/>
      <c r="AT226" s="309"/>
      <c r="AV226" s="311">
        <f t="shared" si="31"/>
        <v>1166200</v>
      </c>
      <c r="AW226" s="311">
        <f t="shared" si="32"/>
        <v>126032.89999999998</v>
      </c>
      <c r="AX226" s="312">
        <f t="shared" si="33"/>
        <v>0</v>
      </c>
    </row>
    <row r="227" spans="1:50">
      <c r="A227" s="291" t="s">
        <v>494</v>
      </c>
      <c r="B227" s="291"/>
      <c r="C227" s="291"/>
      <c r="D227" s="291">
        <v>1160505001</v>
      </c>
      <c r="E227" s="291">
        <v>0</v>
      </c>
      <c r="F227" s="291">
        <v>45450</v>
      </c>
      <c r="G227" s="306">
        <v>43422</v>
      </c>
      <c r="H227" s="306">
        <v>45248</v>
      </c>
      <c r="I227" s="291">
        <v>44</v>
      </c>
      <c r="J227" s="307">
        <v>4080000</v>
      </c>
      <c r="K227" s="307">
        <v>739500</v>
      </c>
      <c r="L227" s="307">
        <v>0</v>
      </c>
      <c r="M227" s="291" t="s">
        <v>495</v>
      </c>
      <c r="N227" s="307">
        <v>4080000</v>
      </c>
      <c r="O227" s="307">
        <v>739500</v>
      </c>
      <c r="P227" s="307">
        <v>89760</v>
      </c>
      <c r="Q227" s="291">
        <v>1</v>
      </c>
      <c r="R227" s="291" t="s">
        <v>496</v>
      </c>
      <c r="S227" s="291">
        <v>100</v>
      </c>
      <c r="T227" s="307">
        <v>4080000</v>
      </c>
      <c r="U227" s="307">
        <v>739500</v>
      </c>
      <c r="V227" s="291">
        <v>100</v>
      </c>
      <c r="W227" s="307">
        <v>8178867</v>
      </c>
      <c r="X227" s="291">
        <v>14</v>
      </c>
      <c r="Y227" s="291">
        <v>1160902010</v>
      </c>
      <c r="Z227" s="291">
        <v>2023</v>
      </c>
      <c r="AA227" s="291">
        <v>12</v>
      </c>
      <c r="AB227" s="291">
        <v>5026003002</v>
      </c>
      <c r="AC227" s="291">
        <v>1160903005</v>
      </c>
      <c r="AD227" s="291">
        <v>0</v>
      </c>
      <c r="AE227" s="291">
        <v>0</v>
      </c>
      <c r="AF227" s="291">
        <v>0</v>
      </c>
      <c r="AG227" s="291">
        <v>1160605001</v>
      </c>
      <c r="AH227" s="291">
        <v>556</v>
      </c>
      <c r="AI227" s="291" t="s">
        <v>498</v>
      </c>
      <c r="AJ227" s="308">
        <v>0.1</v>
      </c>
      <c r="AK227" s="309">
        <f t="shared" si="34"/>
        <v>408000</v>
      </c>
      <c r="AL227" s="309">
        <f t="shared" si="35"/>
        <v>408000</v>
      </c>
      <c r="AM227" s="309">
        <f t="shared" si="35"/>
        <v>408000</v>
      </c>
      <c r="AN227" s="309"/>
      <c r="AO227" s="309"/>
      <c r="AP227" s="309">
        <f t="shared" si="30"/>
        <v>36975</v>
      </c>
      <c r="AQ227" s="309">
        <f t="shared" si="37"/>
        <v>36975</v>
      </c>
      <c r="AR227" s="309">
        <f t="shared" si="37"/>
        <v>36975</v>
      </c>
      <c r="AS227" s="309"/>
      <c r="AT227" s="309"/>
      <c r="AV227" s="311">
        <f t="shared" si="31"/>
        <v>2856000</v>
      </c>
      <c r="AW227" s="311">
        <f t="shared" si="32"/>
        <v>628575</v>
      </c>
      <c r="AX227" s="312">
        <f t="shared" si="33"/>
        <v>0</v>
      </c>
    </row>
    <row r="228" spans="1:50">
      <c r="A228" s="291" t="s">
        <v>494</v>
      </c>
      <c r="B228" s="291"/>
      <c r="C228" s="291"/>
      <c r="D228" s="291">
        <v>1160505001</v>
      </c>
      <c r="E228" s="291">
        <v>0</v>
      </c>
      <c r="F228" s="291">
        <v>41981</v>
      </c>
      <c r="G228" s="306">
        <v>42848</v>
      </c>
      <c r="H228" s="306">
        <v>43213</v>
      </c>
      <c r="I228" s="291">
        <v>2049</v>
      </c>
      <c r="J228" s="307">
        <v>8000000</v>
      </c>
      <c r="K228" s="307">
        <v>30000</v>
      </c>
      <c r="L228" s="307">
        <v>0</v>
      </c>
      <c r="M228" s="291" t="s">
        <v>495</v>
      </c>
      <c r="N228" s="307">
        <v>8000000</v>
      </c>
      <c r="O228" s="307">
        <v>30000</v>
      </c>
      <c r="P228" s="307">
        <v>8196000</v>
      </c>
      <c r="Q228" s="291">
        <v>1</v>
      </c>
      <c r="R228" s="291" t="s">
        <v>496</v>
      </c>
      <c r="S228" s="291">
        <v>100</v>
      </c>
      <c r="T228" s="307">
        <v>8000000</v>
      </c>
      <c r="U228" s="307">
        <v>30000</v>
      </c>
      <c r="V228" s="291">
        <v>100</v>
      </c>
      <c r="W228" s="307">
        <v>4482077</v>
      </c>
      <c r="X228" s="291">
        <v>2</v>
      </c>
      <c r="Y228" s="291">
        <v>1160902010</v>
      </c>
      <c r="Z228" s="291">
        <v>2023</v>
      </c>
      <c r="AA228" s="291">
        <v>12</v>
      </c>
      <c r="AB228" s="291">
        <v>5026003002</v>
      </c>
      <c r="AC228" s="291">
        <v>1160903005</v>
      </c>
      <c r="AD228" s="291">
        <v>0</v>
      </c>
      <c r="AE228" s="291">
        <v>0</v>
      </c>
      <c r="AF228" s="291">
        <v>0</v>
      </c>
      <c r="AG228" s="291">
        <v>1160605001</v>
      </c>
      <c r="AH228" s="291">
        <v>2049</v>
      </c>
      <c r="AI228" s="291" t="s">
        <v>497</v>
      </c>
      <c r="AJ228" s="308">
        <v>0.01</v>
      </c>
      <c r="AK228" s="309">
        <f t="shared" si="34"/>
        <v>80000</v>
      </c>
      <c r="AL228" s="309">
        <f t="shared" si="35"/>
        <v>80000</v>
      </c>
      <c r="AM228" s="309">
        <f t="shared" si="35"/>
        <v>80000</v>
      </c>
      <c r="AN228" s="309"/>
      <c r="AO228" s="309"/>
      <c r="AP228" s="309">
        <f t="shared" si="30"/>
        <v>150</v>
      </c>
      <c r="AQ228" s="309">
        <f t="shared" si="37"/>
        <v>150</v>
      </c>
      <c r="AR228" s="309">
        <f t="shared" si="37"/>
        <v>150</v>
      </c>
      <c r="AS228" s="309"/>
      <c r="AT228" s="309"/>
      <c r="AV228" s="311">
        <f t="shared" si="31"/>
        <v>7760000</v>
      </c>
      <c r="AW228" s="311">
        <f t="shared" si="32"/>
        <v>29550</v>
      </c>
      <c r="AX228" s="312">
        <f t="shared" si="33"/>
        <v>0</v>
      </c>
    </row>
    <row r="229" spans="1:50">
      <c r="A229" s="291" t="s">
        <v>494</v>
      </c>
      <c r="B229" s="291"/>
      <c r="C229" s="291"/>
      <c r="D229" s="291">
        <v>1160505002</v>
      </c>
      <c r="E229" s="291">
        <v>0</v>
      </c>
      <c r="F229" s="291">
        <v>43295</v>
      </c>
      <c r="G229" s="306">
        <v>43114</v>
      </c>
      <c r="H229" s="306">
        <v>43479</v>
      </c>
      <c r="I229" s="291">
        <v>1788</v>
      </c>
      <c r="J229" s="307">
        <v>4425034</v>
      </c>
      <c r="K229" s="307">
        <v>398256</v>
      </c>
      <c r="L229" s="307">
        <v>0</v>
      </c>
      <c r="M229" s="291" t="s">
        <v>495</v>
      </c>
      <c r="N229" s="307">
        <v>4425034</v>
      </c>
      <c r="O229" s="307">
        <v>398256</v>
      </c>
      <c r="P229" s="307">
        <v>3955980</v>
      </c>
      <c r="Q229" s="291">
        <v>1</v>
      </c>
      <c r="R229" s="291" t="s">
        <v>496</v>
      </c>
      <c r="S229" s="291">
        <v>100</v>
      </c>
      <c r="T229" s="307">
        <v>4425034</v>
      </c>
      <c r="U229" s="307">
        <v>398256</v>
      </c>
      <c r="V229" s="291">
        <v>100</v>
      </c>
      <c r="W229" s="307">
        <v>4482077</v>
      </c>
      <c r="X229" s="291">
        <v>6</v>
      </c>
      <c r="Y229" s="291">
        <v>1160902010</v>
      </c>
      <c r="Z229" s="291">
        <v>2023</v>
      </c>
      <c r="AA229" s="291">
        <v>12</v>
      </c>
      <c r="AB229" s="291">
        <v>5026003002</v>
      </c>
      <c r="AC229" s="291">
        <v>1160903005</v>
      </c>
      <c r="AD229" s="291">
        <v>0</v>
      </c>
      <c r="AE229" s="291">
        <v>0</v>
      </c>
      <c r="AF229" s="291">
        <v>0</v>
      </c>
      <c r="AG229" s="291">
        <v>1160605001</v>
      </c>
      <c r="AH229" s="291">
        <v>2049</v>
      </c>
      <c r="AI229" s="291" t="s">
        <v>497</v>
      </c>
      <c r="AJ229" s="308">
        <v>0.01</v>
      </c>
      <c r="AK229" s="309">
        <f t="shared" si="34"/>
        <v>44250.340000000004</v>
      </c>
      <c r="AL229" s="309">
        <f t="shared" si="35"/>
        <v>44250.340000000004</v>
      </c>
      <c r="AM229" s="309">
        <f t="shared" si="35"/>
        <v>44250.340000000004</v>
      </c>
      <c r="AN229" s="309"/>
      <c r="AO229" s="309"/>
      <c r="AP229" s="309">
        <f t="shared" si="30"/>
        <v>1991.28</v>
      </c>
      <c r="AQ229" s="309">
        <f t="shared" si="37"/>
        <v>1991.28</v>
      </c>
      <c r="AR229" s="309">
        <f t="shared" si="37"/>
        <v>1991.28</v>
      </c>
      <c r="AS229" s="309"/>
      <c r="AT229" s="309"/>
      <c r="AV229" s="311">
        <f t="shared" si="31"/>
        <v>4292282.9800000004</v>
      </c>
      <c r="AW229" s="311">
        <f t="shared" si="32"/>
        <v>392282.15999999992</v>
      </c>
      <c r="AX229" s="312">
        <f t="shared" si="33"/>
        <v>0</v>
      </c>
    </row>
    <row r="230" spans="1:50">
      <c r="A230" s="291" t="s">
        <v>494</v>
      </c>
      <c r="B230" s="291"/>
      <c r="C230" s="291"/>
      <c r="D230" s="291">
        <v>1160505001</v>
      </c>
      <c r="E230" s="291">
        <v>0</v>
      </c>
      <c r="F230" s="291">
        <v>45501</v>
      </c>
      <c r="G230" s="306">
        <v>43440</v>
      </c>
      <c r="H230" s="306">
        <v>43805</v>
      </c>
      <c r="I230" s="291">
        <v>1466</v>
      </c>
      <c r="J230" s="307">
        <v>19242245</v>
      </c>
      <c r="K230" s="307">
        <v>0</v>
      </c>
      <c r="L230" s="307">
        <v>0</v>
      </c>
      <c r="M230" s="291" t="s">
        <v>495</v>
      </c>
      <c r="N230" s="307">
        <v>19242245</v>
      </c>
      <c r="O230" s="307">
        <v>0</v>
      </c>
      <c r="P230" s="307">
        <v>14104566</v>
      </c>
      <c r="Q230" s="291">
        <v>1</v>
      </c>
      <c r="R230" s="291" t="s">
        <v>496</v>
      </c>
      <c r="S230" s="291">
        <v>100</v>
      </c>
      <c r="T230" s="307">
        <v>19242245</v>
      </c>
      <c r="U230" s="307">
        <v>0</v>
      </c>
      <c r="V230" s="291">
        <v>200</v>
      </c>
      <c r="W230" s="307">
        <v>2150058</v>
      </c>
      <c r="X230" s="291">
        <v>2</v>
      </c>
      <c r="Y230" s="291">
        <v>1160902010</v>
      </c>
      <c r="Z230" s="291">
        <v>2023</v>
      </c>
      <c r="AA230" s="291">
        <v>12</v>
      </c>
      <c r="AB230" s="291">
        <v>5026003002</v>
      </c>
      <c r="AC230" s="291">
        <v>1160903005</v>
      </c>
      <c r="AD230" s="291">
        <v>0</v>
      </c>
      <c r="AE230" s="291">
        <v>0</v>
      </c>
      <c r="AF230" s="291">
        <v>0</v>
      </c>
      <c r="AG230" s="291">
        <v>1160605001</v>
      </c>
      <c r="AH230" s="291">
        <v>1466</v>
      </c>
      <c r="AI230" s="291" t="s">
        <v>503</v>
      </c>
      <c r="AJ230" s="308">
        <v>0</v>
      </c>
      <c r="AK230" s="309">
        <f t="shared" si="34"/>
        <v>0</v>
      </c>
      <c r="AL230" s="309">
        <f t="shared" si="35"/>
        <v>0</v>
      </c>
      <c r="AM230" s="309">
        <f t="shared" si="35"/>
        <v>0</v>
      </c>
      <c r="AN230" s="309"/>
      <c r="AO230" s="309"/>
      <c r="AP230" s="309">
        <f t="shared" si="30"/>
        <v>0</v>
      </c>
      <c r="AQ230" s="309">
        <f t="shared" si="37"/>
        <v>0</v>
      </c>
      <c r="AR230" s="309">
        <f t="shared" si="37"/>
        <v>0</v>
      </c>
      <c r="AS230" s="309"/>
      <c r="AT230" s="309"/>
      <c r="AV230" s="311">
        <f t="shared" si="31"/>
        <v>19242245</v>
      </c>
      <c r="AW230" s="311">
        <f t="shared" si="32"/>
        <v>0</v>
      </c>
      <c r="AX230" s="312">
        <f t="shared" si="33"/>
        <v>0</v>
      </c>
    </row>
    <row r="231" spans="1:50">
      <c r="A231" s="291" t="s">
        <v>494</v>
      </c>
      <c r="B231" s="291"/>
      <c r="C231" s="291"/>
      <c r="D231" s="291">
        <v>1160505001</v>
      </c>
      <c r="E231" s="291">
        <v>0</v>
      </c>
      <c r="F231" s="291">
        <v>44429</v>
      </c>
      <c r="G231" s="306">
        <v>43226</v>
      </c>
      <c r="H231" s="306">
        <v>44322</v>
      </c>
      <c r="I231" s="291">
        <v>956</v>
      </c>
      <c r="J231" s="307">
        <v>5000000</v>
      </c>
      <c r="K231" s="307">
        <v>1445000</v>
      </c>
      <c r="L231" s="307">
        <v>0</v>
      </c>
      <c r="M231" s="291" t="s">
        <v>495</v>
      </c>
      <c r="N231" s="307">
        <v>5000000</v>
      </c>
      <c r="O231" s="307">
        <v>1445000</v>
      </c>
      <c r="P231" s="307">
        <v>2390000</v>
      </c>
      <c r="Q231" s="291">
        <v>1</v>
      </c>
      <c r="R231" s="291" t="s">
        <v>496</v>
      </c>
      <c r="S231" s="291">
        <v>100</v>
      </c>
      <c r="T231" s="307">
        <v>5000000</v>
      </c>
      <c r="U231" s="307">
        <v>1445000</v>
      </c>
      <c r="V231" s="291">
        <v>100</v>
      </c>
      <c r="W231" s="307">
        <v>1051583</v>
      </c>
      <c r="X231" s="291">
        <v>2</v>
      </c>
      <c r="Y231" s="291">
        <v>1160902010</v>
      </c>
      <c r="Z231" s="291">
        <v>2023</v>
      </c>
      <c r="AA231" s="291">
        <v>12</v>
      </c>
      <c r="AB231" s="291">
        <v>5026003002</v>
      </c>
      <c r="AC231" s="291">
        <v>1160903005</v>
      </c>
      <c r="AD231" s="291">
        <v>0</v>
      </c>
      <c r="AE231" s="291">
        <v>0</v>
      </c>
      <c r="AF231" s="291">
        <v>0</v>
      </c>
      <c r="AG231" s="291">
        <v>1160605001</v>
      </c>
      <c r="AH231" s="291">
        <v>956</v>
      </c>
      <c r="AI231" s="291" t="s">
        <v>499</v>
      </c>
      <c r="AJ231" s="308">
        <v>0.05</v>
      </c>
      <c r="AK231" s="309">
        <f t="shared" si="34"/>
        <v>250000</v>
      </c>
      <c r="AL231" s="309">
        <f t="shared" si="35"/>
        <v>250000</v>
      </c>
      <c r="AM231" s="309">
        <f t="shared" si="35"/>
        <v>250000</v>
      </c>
      <c r="AN231" s="309"/>
      <c r="AO231" s="309"/>
      <c r="AP231" s="309">
        <f t="shared" si="30"/>
        <v>36125</v>
      </c>
      <c r="AQ231" s="309">
        <f t="shared" ref="AQ231:AR246" si="38">AP231</f>
        <v>36125</v>
      </c>
      <c r="AR231" s="309">
        <f t="shared" si="38"/>
        <v>36125</v>
      </c>
      <c r="AS231" s="309"/>
      <c r="AT231" s="309"/>
      <c r="AV231" s="311">
        <f t="shared" si="31"/>
        <v>4250000</v>
      </c>
      <c r="AW231" s="311">
        <f t="shared" si="32"/>
        <v>1336625</v>
      </c>
      <c r="AX231" s="312">
        <f t="shared" si="33"/>
        <v>0</v>
      </c>
    </row>
    <row r="232" spans="1:50">
      <c r="A232" s="291" t="s">
        <v>494</v>
      </c>
      <c r="B232" s="291"/>
      <c r="C232" s="291"/>
      <c r="D232" s="291">
        <v>1160505001</v>
      </c>
      <c r="E232" s="291">
        <v>0</v>
      </c>
      <c r="F232" s="291">
        <v>46018</v>
      </c>
      <c r="G232" s="306">
        <v>43506</v>
      </c>
      <c r="H232" s="306">
        <v>43871</v>
      </c>
      <c r="I232" s="291">
        <v>1402</v>
      </c>
      <c r="J232" s="307">
        <v>2000000</v>
      </c>
      <c r="K232" s="307">
        <v>240000</v>
      </c>
      <c r="L232" s="307">
        <v>0</v>
      </c>
      <c r="M232" s="291" t="s">
        <v>495</v>
      </c>
      <c r="N232" s="307">
        <v>2000000</v>
      </c>
      <c r="O232" s="307">
        <v>240000</v>
      </c>
      <c r="P232" s="307">
        <v>1402000</v>
      </c>
      <c r="Q232" s="291">
        <v>1</v>
      </c>
      <c r="R232" s="291" t="s">
        <v>496</v>
      </c>
      <c r="S232" s="291">
        <v>100</v>
      </c>
      <c r="T232" s="307">
        <v>2000000</v>
      </c>
      <c r="U232" s="307">
        <v>240000</v>
      </c>
      <c r="V232" s="291">
        <v>100</v>
      </c>
      <c r="W232" s="307">
        <v>5735126</v>
      </c>
      <c r="X232" s="291">
        <v>2</v>
      </c>
      <c r="Y232" s="291">
        <v>1160902010</v>
      </c>
      <c r="Z232" s="291">
        <v>2023</v>
      </c>
      <c r="AA232" s="291">
        <v>12</v>
      </c>
      <c r="AB232" s="291">
        <v>5026003002</v>
      </c>
      <c r="AC232" s="291">
        <v>1160903005</v>
      </c>
      <c r="AD232" s="291">
        <v>0</v>
      </c>
      <c r="AE232" s="291">
        <v>0</v>
      </c>
      <c r="AF232" s="291">
        <v>0</v>
      </c>
      <c r="AG232" s="291">
        <v>1160605001</v>
      </c>
      <c r="AH232" s="291">
        <v>1402</v>
      </c>
      <c r="AI232" s="291" t="s">
        <v>497</v>
      </c>
      <c r="AJ232" s="308">
        <v>0.01</v>
      </c>
      <c r="AK232" s="309">
        <f t="shared" si="34"/>
        <v>20000</v>
      </c>
      <c r="AL232" s="309">
        <f t="shared" si="35"/>
        <v>20000</v>
      </c>
      <c r="AM232" s="309">
        <f t="shared" si="35"/>
        <v>20000</v>
      </c>
      <c r="AN232" s="309"/>
      <c r="AO232" s="309"/>
      <c r="AP232" s="309">
        <f t="shared" si="30"/>
        <v>1200</v>
      </c>
      <c r="AQ232" s="309">
        <f t="shared" si="38"/>
        <v>1200</v>
      </c>
      <c r="AR232" s="309">
        <f t="shared" si="38"/>
        <v>1200</v>
      </c>
      <c r="AS232" s="309"/>
      <c r="AT232" s="309"/>
      <c r="AV232" s="311">
        <f t="shared" si="31"/>
        <v>1940000</v>
      </c>
      <c r="AW232" s="311">
        <f t="shared" si="32"/>
        <v>236400</v>
      </c>
      <c r="AX232" s="312">
        <f t="shared" si="33"/>
        <v>0</v>
      </c>
    </row>
    <row r="233" spans="1:50">
      <c r="A233" s="291" t="s">
        <v>494</v>
      </c>
      <c r="B233" s="291"/>
      <c r="C233" s="291"/>
      <c r="D233" s="291">
        <v>1160505001</v>
      </c>
      <c r="E233" s="291">
        <v>0</v>
      </c>
      <c r="F233" s="291">
        <v>45565</v>
      </c>
      <c r="G233" s="306">
        <v>43451</v>
      </c>
      <c r="H233" s="306">
        <v>43816</v>
      </c>
      <c r="I233" s="291">
        <v>1455</v>
      </c>
      <c r="J233" s="307">
        <v>5891592</v>
      </c>
      <c r="K233" s="307">
        <v>0</v>
      </c>
      <c r="L233" s="307">
        <v>0</v>
      </c>
      <c r="M233" s="291" t="s">
        <v>495</v>
      </c>
      <c r="N233" s="307">
        <v>5891592</v>
      </c>
      <c r="O233" s="307">
        <v>0</v>
      </c>
      <c r="P233" s="307">
        <v>4286133</v>
      </c>
      <c r="Q233" s="291">
        <v>1</v>
      </c>
      <c r="R233" s="291" t="s">
        <v>496</v>
      </c>
      <c r="S233" s="291">
        <v>100</v>
      </c>
      <c r="T233" s="307">
        <v>5891592</v>
      </c>
      <c r="U233" s="307">
        <v>0</v>
      </c>
      <c r="V233" s="291">
        <v>100</v>
      </c>
      <c r="W233" s="307">
        <v>2790776</v>
      </c>
      <c r="X233" s="291">
        <v>2</v>
      </c>
      <c r="Y233" s="291">
        <v>1160902010</v>
      </c>
      <c r="Z233" s="291">
        <v>2023</v>
      </c>
      <c r="AA233" s="291">
        <v>12</v>
      </c>
      <c r="AB233" s="291">
        <v>5026003002</v>
      </c>
      <c r="AC233" s="291">
        <v>1160903005</v>
      </c>
      <c r="AD233" s="291">
        <v>0</v>
      </c>
      <c r="AE233" s="291">
        <v>0</v>
      </c>
      <c r="AF233" s="291">
        <v>0</v>
      </c>
      <c r="AG233" s="291">
        <v>1160605001</v>
      </c>
      <c r="AH233" s="291">
        <v>1455</v>
      </c>
      <c r="AI233" s="291" t="s">
        <v>497</v>
      </c>
      <c r="AJ233" s="308">
        <v>0.01</v>
      </c>
      <c r="AK233" s="309">
        <f t="shared" si="34"/>
        <v>58915.92</v>
      </c>
      <c r="AL233" s="309">
        <f t="shared" si="35"/>
        <v>58915.92</v>
      </c>
      <c r="AM233" s="309">
        <f t="shared" si="35"/>
        <v>58915.92</v>
      </c>
      <c r="AN233" s="309"/>
      <c r="AO233" s="309"/>
      <c r="AP233" s="309">
        <f t="shared" si="30"/>
        <v>0</v>
      </c>
      <c r="AQ233" s="309">
        <f t="shared" si="38"/>
        <v>0</v>
      </c>
      <c r="AR233" s="309">
        <f t="shared" si="38"/>
        <v>0</v>
      </c>
      <c r="AS233" s="309"/>
      <c r="AT233" s="309"/>
      <c r="AV233" s="311">
        <f t="shared" si="31"/>
        <v>5714844.2400000002</v>
      </c>
      <c r="AW233" s="311">
        <f t="shared" si="32"/>
        <v>0</v>
      </c>
      <c r="AX233" s="312">
        <f t="shared" si="33"/>
        <v>0</v>
      </c>
    </row>
    <row r="234" spans="1:50">
      <c r="A234" s="291" t="s">
        <v>494</v>
      </c>
      <c r="B234" s="291"/>
      <c r="C234" s="291"/>
      <c r="D234" s="291">
        <v>1160505001</v>
      </c>
      <c r="E234" s="291">
        <v>0</v>
      </c>
      <c r="F234" s="291">
        <v>44287</v>
      </c>
      <c r="G234" s="306">
        <v>43206</v>
      </c>
      <c r="H234" s="306">
        <v>44302</v>
      </c>
      <c r="I234" s="291">
        <v>976</v>
      </c>
      <c r="J234" s="307">
        <v>6000000</v>
      </c>
      <c r="K234" s="307">
        <v>1620000</v>
      </c>
      <c r="L234" s="307">
        <v>0</v>
      </c>
      <c r="M234" s="291" t="s">
        <v>495</v>
      </c>
      <c r="N234" s="307">
        <v>6000000</v>
      </c>
      <c r="O234" s="307">
        <v>1620000</v>
      </c>
      <c r="P234" s="307">
        <v>2928000</v>
      </c>
      <c r="Q234" s="291">
        <v>1</v>
      </c>
      <c r="R234" s="291" t="s">
        <v>496</v>
      </c>
      <c r="S234" s="291">
        <v>100</v>
      </c>
      <c r="T234" s="307">
        <v>6000000</v>
      </c>
      <c r="U234" s="307">
        <v>1620000</v>
      </c>
      <c r="V234" s="291">
        <v>100</v>
      </c>
      <c r="W234" s="307">
        <v>1608656</v>
      </c>
      <c r="X234" s="291">
        <v>14</v>
      </c>
      <c r="Y234" s="291">
        <v>1160902010</v>
      </c>
      <c r="Z234" s="291">
        <v>2023</v>
      </c>
      <c r="AA234" s="291">
        <v>12</v>
      </c>
      <c r="AB234" s="291">
        <v>5026003002</v>
      </c>
      <c r="AC234" s="291">
        <v>1160903005</v>
      </c>
      <c r="AD234" s="291">
        <v>0</v>
      </c>
      <c r="AE234" s="291">
        <v>0</v>
      </c>
      <c r="AF234" s="291">
        <v>0</v>
      </c>
      <c r="AG234" s="291">
        <v>1160605001</v>
      </c>
      <c r="AH234" s="291">
        <v>976</v>
      </c>
      <c r="AI234" s="291" t="s">
        <v>499</v>
      </c>
      <c r="AJ234" s="308">
        <v>0.05</v>
      </c>
      <c r="AK234" s="309">
        <f t="shared" si="34"/>
        <v>300000</v>
      </c>
      <c r="AL234" s="309">
        <f t="shared" si="35"/>
        <v>300000</v>
      </c>
      <c r="AM234" s="309">
        <f t="shared" si="35"/>
        <v>300000</v>
      </c>
      <c r="AN234" s="309"/>
      <c r="AO234" s="309"/>
      <c r="AP234" s="309">
        <f t="shared" si="30"/>
        <v>40500</v>
      </c>
      <c r="AQ234" s="309">
        <f t="shared" si="38"/>
        <v>40500</v>
      </c>
      <c r="AR234" s="309">
        <f t="shared" si="38"/>
        <v>40500</v>
      </c>
      <c r="AS234" s="309"/>
      <c r="AT234" s="309"/>
      <c r="AV234" s="311">
        <f t="shared" si="31"/>
        <v>5100000</v>
      </c>
      <c r="AW234" s="311">
        <f t="shared" si="32"/>
        <v>1498500</v>
      </c>
      <c r="AX234" s="312">
        <f t="shared" si="33"/>
        <v>0</v>
      </c>
    </row>
    <row r="235" spans="1:50">
      <c r="A235" s="291" t="s">
        <v>494</v>
      </c>
      <c r="B235" s="291"/>
      <c r="C235" s="291"/>
      <c r="D235" s="291">
        <v>1160505002</v>
      </c>
      <c r="E235" s="291">
        <v>0</v>
      </c>
      <c r="F235" s="291">
        <v>46642</v>
      </c>
      <c r="G235" s="306">
        <v>43583</v>
      </c>
      <c r="H235" s="306">
        <v>43949</v>
      </c>
      <c r="I235" s="291">
        <v>1324</v>
      </c>
      <c r="J235" s="307">
        <v>4038100</v>
      </c>
      <c r="K235" s="307">
        <v>726863</v>
      </c>
      <c r="L235" s="307">
        <v>0</v>
      </c>
      <c r="M235" s="291" t="s">
        <v>495</v>
      </c>
      <c r="N235" s="307">
        <v>4038100</v>
      </c>
      <c r="O235" s="307">
        <v>726863</v>
      </c>
      <c r="P235" s="307">
        <v>2673222</v>
      </c>
      <c r="Q235" s="291">
        <v>1</v>
      </c>
      <c r="R235" s="291" t="s">
        <v>496</v>
      </c>
      <c r="S235" s="291">
        <v>100</v>
      </c>
      <c r="T235" s="307">
        <v>4038100</v>
      </c>
      <c r="U235" s="307">
        <v>726863</v>
      </c>
      <c r="V235" s="291">
        <v>200</v>
      </c>
      <c r="W235" s="307">
        <v>4515144</v>
      </c>
      <c r="X235" s="291">
        <v>6</v>
      </c>
      <c r="Y235" s="291">
        <v>1160902010</v>
      </c>
      <c r="Z235" s="291">
        <v>2023</v>
      </c>
      <c r="AA235" s="291">
        <v>12</v>
      </c>
      <c r="AB235" s="291">
        <v>5026003002</v>
      </c>
      <c r="AC235" s="291">
        <v>1160903005</v>
      </c>
      <c r="AD235" s="291">
        <v>0</v>
      </c>
      <c r="AE235" s="291">
        <v>0</v>
      </c>
      <c r="AF235" s="291">
        <v>0</v>
      </c>
      <c r="AG235" s="291">
        <v>1160605001</v>
      </c>
      <c r="AH235" s="291">
        <v>1324</v>
      </c>
      <c r="AI235" s="291" t="s">
        <v>497</v>
      </c>
      <c r="AJ235" s="308">
        <v>0.01</v>
      </c>
      <c r="AK235" s="309">
        <f t="shared" si="34"/>
        <v>40381</v>
      </c>
      <c r="AL235" s="309">
        <f t="shared" si="35"/>
        <v>40381</v>
      </c>
      <c r="AM235" s="309">
        <f t="shared" si="35"/>
        <v>40381</v>
      </c>
      <c r="AN235" s="309"/>
      <c r="AO235" s="309"/>
      <c r="AP235" s="309">
        <f t="shared" si="30"/>
        <v>3634.3150000000001</v>
      </c>
      <c r="AQ235" s="309">
        <f t="shared" si="38"/>
        <v>3634.3150000000001</v>
      </c>
      <c r="AR235" s="309">
        <f t="shared" si="38"/>
        <v>3634.3150000000001</v>
      </c>
      <c r="AS235" s="309"/>
      <c r="AT235" s="309"/>
      <c r="AV235" s="311">
        <f t="shared" si="31"/>
        <v>3916957</v>
      </c>
      <c r="AW235" s="311">
        <f t="shared" si="32"/>
        <v>715960.05500000017</v>
      </c>
      <c r="AX235" s="312">
        <f t="shared" si="33"/>
        <v>0</v>
      </c>
    </row>
    <row r="236" spans="1:50">
      <c r="A236" s="291" t="s">
        <v>494</v>
      </c>
      <c r="B236" s="291"/>
      <c r="C236" s="291"/>
      <c r="D236" s="291">
        <v>1160505001</v>
      </c>
      <c r="E236" s="291">
        <v>0</v>
      </c>
      <c r="F236" s="291">
        <v>46603</v>
      </c>
      <c r="G236" s="306">
        <v>43575</v>
      </c>
      <c r="H236" s="306">
        <v>44671</v>
      </c>
      <c r="I236" s="291">
        <v>612</v>
      </c>
      <c r="J236" s="307">
        <v>8000000</v>
      </c>
      <c r="K236" s="307">
        <v>4320000</v>
      </c>
      <c r="L236" s="307">
        <v>0</v>
      </c>
      <c r="M236" s="291" t="s">
        <v>495</v>
      </c>
      <c r="N236" s="307">
        <v>8000000</v>
      </c>
      <c r="O236" s="307">
        <v>4320000</v>
      </c>
      <c r="P236" s="307">
        <v>2448000</v>
      </c>
      <c r="Q236" s="291">
        <v>1</v>
      </c>
      <c r="R236" s="291" t="s">
        <v>496</v>
      </c>
      <c r="S236" s="291">
        <v>100</v>
      </c>
      <c r="T236" s="307">
        <v>8000000</v>
      </c>
      <c r="U236" s="307">
        <v>4320000</v>
      </c>
      <c r="V236" s="291">
        <v>100</v>
      </c>
      <c r="W236" s="307">
        <v>4515144</v>
      </c>
      <c r="X236" s="291">
        <v>14</v>
      </c>
      <c r="Y236" s="291">
        <v>1160902010</v>
      </c>
      <c r="Z236" s="291">
        <v>2023</v>
      </c>
      <c r="AA236" s="291">
        <v>12</v>
      </c>
      <c r="AB236" s="291">
        <v>5026003002</v>
      </c>
      <c r="AC236" s="291">
        <v>1160903005</v>
      </c>
      <c r="AD236" s="291">
        <v>0</v>
      </c>
      <c r="AE236" s="291">
        <v>0</v>
      </c>
      <c r="AF236" s="291">
        <v>0</v>
      </c>
      <c r="AG236" s="291">
        <v>1160605001</v>
      </c>
      <c r="AH236" s="291">
        <v>1324</v>
      </c>
      <c r="AI236" s="291" t="s">
        <v>497</v>
      </c>
      <c r="AJ236" s="308">
        <v>0.01</v>
      </c>
      <c r="AK236" s="309">
        <f t="shared" si="34"/>
        <v>80000</v>
      </c>
      <c r="AL236" s="309">
        <f t="shared" si="35"/>
        <v>80000</v>
      </c>
      <c r="AM236" s="309">
        <f t="shared" si="35"/>
        <v>80000</v>
      </c>
      <c r="AN236" s="309"/>
      <c r="AO236" s="309"/>
      <c r="AP236" s="309">
        <f t="shared" si="30"/>
        <v>21600</v>
      </c>
      <c r="AQ236" s="309">
        <f t="shared" si="38"/>
        <v>21600</v>
      </c>
      <c r="AR236" s="309">
        <f t="shared" si="38"/>
        <v>21600</v>
      </c>
      <c r="AS236" s="309"/>
      <c r="AT236" s="309"/>
      <c r="AV236" s="311">
        <f t="shared" si="31"/>
        <v>7760000</v>
      </c>
      <c r="AW236" s="311">
        <f t="shared" si="32"/>
        <v>4255200</v>
      </c>
      <c r="AX236" s="312">
        <f t="shared" si="33"/>
        <v>0</v>
      </c>
    </row>
    <row r="237" spans="1:50">
      <c r="A237" s="291" t="s">
        <v>494</v>
      </c>
      <c r="B237" s="291"/>
      <c r="C237" s="291"/>
      <c r="D237" s="291">
        <v>1160505001</v>
      </c>
      <c r="E237" s="291">
        <v>0</v>
      </c>
      <c r="F237" s="291">
        <v>43271</v>
      </c>
      <c r="G237" s="306">
        <v>43114</v>
      </c>
      <c r="H237" s="306">
        <v>43479</v>
      </c>
      <c r="I237" s="291">
        <v>1788</v>
      </c>
      <c r="J237" s="307">
        <v>4000000</v>
      </c>
      <c r="K237" s="307">
        <v>0</v>
      </c>
      <c r="L237" s="307">
        <v>0</v>
      </c>
      <c r="M237" s="291" t="s">
        <v>495</v>
      </c>
      <c r="N237" s="307">
        <v>4000000</v>
      </c>
      <c r="O237" s="307">
        <v>0</v>
      </c>
      <c r="P237" s="307">
        <v>3576000</v>
      </c>
      <c r="Q237" s="291">
        <v>1</v>
      </c>
      <c r="R237" s="291" t="s">
        <v>496</v>
      </c>
      <c r="S237" s="291">
        <v>100</v>
      </c>
      <c r="T237" s="307">
        <v>4000000</v>
      </c>
      <c r="U237" s="307">
        <v>0</v>
      </c>
      <c r="V237" s="291">
        <v>100</v>
      </c>
      <c r="W237" s="307">
        <v>3371962</v>
      </c>
      <c r="X237" s="291">
        <v>15</v>
      </c>
      <c r="Y237" s="291">
        <v>1160902010</v>
      </c>
      <c r="Z237" s="291">
        <v>2023</v>
      </c>
      <c r="AA237" s="291">
        <v>12</v>
      </c>
      <c r="AB237" s="291">
        <v>5026003002</v>
      </c>
      <c r="AC237" s="291">
        <v>1160903005</v>
      </c>
      <c r="AD237" s="291">
        <v>0</v>
      </c>
      <c r="AE237" s="291">
        <v>0</v>
      </c>
      <c r="AF237" s="291">
        <v>0</v>
      </c>
      <c r="AG237" s="291">
        <v>1160605001</v>
      </c>
      <c r="AH237" s="291">
        <v>1788</v>
      </c>
      <c r="AI237" s="291" t="s">
        <v>497</v>
      </c>
      <c r="AJ237" s="308">
        <v>0.01</v>
      </c>
      <c r="AK237" s="309">
        <f t="shared" si="34"/>
        <v>40000</v>
      </c>
      <c r="AL237" s="309">
        <f t="shared" si="35"/>
        <v>40000</v>
      </c>
      <c r="AM237" s="309">
        <f t="shared" si="35"/>
        <v>40000</v>
      </c>
      <c r="AN237" s="309"/>
      <c r="AO237" s="309"/>
      <c r="AP237" s="309">
        <f t="shared" si="30"/>
        <v>0</v>
      </c>
      <c r="AQ237" s="309">
        <f t="shared" si="38"/>
        <v>0</v>
      </c>
      <c r="AR237" s="309">
        <f t="shared" si="38"/>
        <v>0</v>
      </c>
      <c r="AS237" s="309"/>
      <c r="AT237" s="309"/>
      <c r="AV237" s="311">
        <f t="shared" si="31"/>
        <v>3880000</v>
      </c>
      <c r="AW237" s="311">
        <f t="shared" si="32"/>
        <v>0</v>
      </c>
      <c r="AX237" s="312">
        <f t="shared" si="33"/>
        <v>0</v>
      </c>
    </row>
    <row r="238" spans="1:50">
      <c r="A238" s="291" t="s">
        <v>494</v>
      </c>
      <c r="B238" s="291"/>
      <c r="C238" s="291"/>
      <c r="D238" s="291">
        <v>1160505002</v>
      </c>
      <c r="E238" s="291">
        <v>0</v>
      </c>
      <c r="F238" s="291">
        <v>44139</v>
      </c>
      <c r="G238" s="306">
        <v>43185</v>
      </c>
      <c r="H238" s="306">
        <v>43550</v>
      </c>
      <c r="I238" s="291">
        <v>1716</v>
      </c>
      <c r="J238" s="307">
        <v>3987600</v>
      </c>
      <c r="K238" s="307">
        <v>358884</v>
      </c>
      <c r="L238" s="307">
        <v>0</v>
      </c>
      <c r="M238" s="291" t="s">
        <v>495</v>
      </c>
      <c r="N238" s="307">
        <v>3987600</v>
      </c>
      <c r="O238" s="307">
        <v>358884</v>
      </c>
      <c r="P238" s="307">
        <v>3421361</v>
      </c>
      <c r="Q238" s="291">
        <v>1</v>
      </c>
      <c r="R238" s="291" t="s">
        <v>496</v>
      </c>
      <c r="S238" s="291">
        <v>100</v>
      </c>
      <c r="T238" s="307">
        <v>3987600</v>
      </c>
      <c r="U238" s="307">
        <v>358884</v>
      </c>
      <c r="V238" s="291">
        <v>100</v>
      </c>
      <c r="W238" s="307">
        <v>3371962</v>
      </c>
      <c r="X238" s="291">
        <v>17</v>
      </c>
      <c r="Y238" s="291">
        <v>1160902010</v>
      </c>
      <c r="Z238" s="291">
        <v>2023</v>
      </c>
      <c r="AA238" s="291">
        <v>12</v>
      </c>
      <c r="AB238" s="291">
        <v>5026003002</v>
      </c>
      <c r="AC238" s="291">
        <v>1160903005</v>
      </c>
      <c r="AD238" s="291">
        <v>0</v>
      </c>
      <c r="AE238" s="291">
        <v>0</v>
      </c>
      <c r="AF238" s="291">
        <v>0</v>
      </c>
      <c r="AG238" s="291">
        <v>1160605001</v>
      </c>
      <c r="AH238" s="291">
        <v>1788</v>
      </c>
      <c r="AI238" s="291" t="s">
        <v>497</v>
      </c>
      <c r="AJ238" s="308">
        <v>0.01</v>
      </c>
      <c r="AK238" s="309">
        <f t="shared" si="34"/>
        <v>39876</v>
      </c>
      <c r="AL238" s="309">
        <f t="shared" si="35"/>
        <v>39876</v>
      </c>
      <c r="AM238" s="309">
        <f t="shared" si="35"/>
        <v>39876</v>
      </c>
      <c r="AN238" s="309"/>
      <c r="AO238" s="309"/>
      <c r="AP238" s="309">
        <f t="shared" si="30"/>
        <v>1794.42</v>
      </c>
      <c r="AQ238" s="309">
        <f t="shared" si="38"/>
        <v>1794.42</v>
      </c>
      <c r="AR238" s="309">
        <f t="shared" si="38"/>
        <v>1794.42</v>
      </c>
      <c r="AS238" s="309"/>
      <c r="AT238" s="309"/>
      <c r="AV238" s="311">
        <f t="shared" si="31"/>
        <v>3867972</v>
      </c>
      <c r="AW238" s="311">
        <f t="shared" si="32"/>
        <v>353500.74000000005</v>
      </c>
      <c r="AX238" s="312">
        <f t="shared" si="33"/>
        <v>0</v>
      </c>
    </row>
    <row r="239" spans="1:50">
      <c r="A239" s="291" t="s">
        <v>494</v>
      </c>
      <c r="B239" s="291"/>
      <c r="C239" s="291"/>
      <c r="D239" s="291">
        <v>1160505001</v>
      </c>
      <c r="E239" s="291">
        <v>0</v>
      </c>
      <c r="F239" s="291">
        <v>40860</v>
      </c>
      <c r="G239" s="306">
        <v>42694</v>
      </c>
      <c r="H239" s="306">
        <v>44520</v>
      </c>
      <c r="I239" s="291">
        <v>762</v>
      </c>
      <c r="J239" s="307">
        <v>6000000</v>
      </c>
      <c r="K239" s="307">
        <v>3900000</v>
      </c>
      <c r="L239" s="307">
        <v>0</v>
      </c>
      <c r="M239" s="291" t="s">
        <v>495</v>
      </c>
      <c r="N239" s="307">
        <v>6000000</v>
      </c>
      <c r="O239" s="307">
        <v>3900000</v>
      </c>
      <c r="P239" s="307">
        <v>2286000</v>
      </c>
      <c r="Q239" s="291">
        <v>1</v>
      </c>
      <c r="R239" s="291" t="s">
        <v>496</v>
      </c>
      <c r="S239" s="291">
        <v>100</v>
      </c>
      <c r="T239" s="307">
        <v>6000000</v>
      </c>
      <c r="U239" s="307">
        <v>3900000</v>
      </c>
      <c r="V239" s="291">
        <v>100</v>
      </c>
      <c r="W239" s="307">
        <v>850128</v>
      </c>
      <c r="X239" s="291">
        <v>14</v>
      </c>
      <c r="Y239" s="291">
        <v>1160902010</v>
      </c>
      <c r="Z239" s="291">
        <v>2023</v>
      </c>
      <c r="AA239" s="291">
        <v>12</v>
      </c>
      <c r="AB239" s="291">
        <v>5026003002</v>
      </c>
      <c r="AC239" s="291">
        <v>1160903005</v>
      </c>
      <c r="AD239" s="291">
        <v>0</v>
      </c>
      <c r="AE239" s="291">
        <v>0</v>
      </c>
      <c r="AF239" s="291">
        <v>0</v>
      </c>
      <c r="AG239" s="291">
        <v>1160605001</v>
      </c>
      <c r="AH239" s="291">
        <v>762</v>
      </c>
      <c r="AI239" s="291" t="s">
        <v>499</v>
      </c>
      <c r="AJ239" s="308">
        <v>0.05</v>
      </c>
      <c r="AK239" s="309">
        <f t="shared" si="34"/>
        <v>300000</v>
      </c>
      <c r="AL239" s="309">
        <f t="shared" si="35"/>
        <v>300000</v>
      </c>
      <c r="AM239" s="309">
        <f t="shared" si="35"/>
        <v>300000</v>
      </c>
      <c r="AN239" s="309"/>
      <c r="AO239" s="309"/>
      <c r="AP239" s="309">
        <f t="shared" si="30"/>
        <v>97500</v>
      </c>
      <c r="AQ239" s="309">
        <f t="shared" si="38"/>
        <v>97500</v>
      </c>
      <c r="AR239" s="309">
        <f t="shared" si="38"/>
        <v>97500</v>
      </c>
      <c r="AS239" s="309"/>
      <c r="AT239" s="309"/>
      <c r="AV239" s="311">
        <f t="shared" si="31"/>
        <v>5100000</v>
      </c>
      <c r="AW239" s="311">
        <f t="shared" si="32"/>
        <v>3607500</v>
      </c>
      <c r="AX239" s="312">
        <f t="shared" si="33"/>
        <v>0</v>
      </c>
    </row>
    <row r="240" spans="1:50">
      <c r="A240" s="291" t="s">
        <v>494</v>
      </c>
      <c r="B240" s="291"/>
      <c r="C240" s="291"/>
      <c r="D240" s="291">
        <v>1160505001</v>
      </c>
      <c r="E240" s="291">
        <v>0</v>
      </c>
      <c r="F240" s="291">
        <v>45558</v>
      </c>
      <c r="G240" s="306">
        <v>43450</v>
      </c>
      <c r="H240" s="306">
        <v>44181</v>
      </c>
      <c r="I240" s="291">
        <v>1096</v>
      </c>
      <c r="J240" s="307">
        <v>3072767</v>
      </c>
      <c r="K240" s="307">
        <v>0</v>
      </c>
      <c r="L240" s="307">
        <v>0</v>
      </c>
      <c r="M240" s="291" t="s">
        <v>495</v>
      </c>
      <c r="N240" s="307">
        <v>3072767</v>
      </c>
      <c r="O240" s="307">
        <v>0</v>
      </c>
      <c r="P240" s="307">
        <v>1683876</v>
      </c>
      <c r="Q240" s="291">
        <v>1</v>
      </c>
      <c r="R240" s="291" t="s">
        <v>496</v>
      </c>
      <c r="S240" s="291">
        <v>100</v>
      </c>
      <c r="T240" s="307">
        <v>3072767</v>
      </c>
      <c r="U240" s="307">
        <v>0</v>
      </c>
      <c r="V240" s="291">
        <v>100</v>
      </c>
      <c r="W240" s="307">
        <v>1089081</v>
      </c>
      <c r="X240" s="291">
        <v>2</v>
      </c>
      <c r="Y240" s="291">
        <v>1160902010</v>
      </c>
      <c r="Z240" s="291">
        <v>2023</v>
      </c>
      <c r="AA240" s="291">
        <v>12</v>
      </c>
      <c r="AB240" s="291">
        <v>5026003002</v>
      </c>
      <c r="AC240" s="291">
        <v>1160903005</v>
      </c>
      <c r="AD240" s="291">
        <v>0</v>
      </c>
      <c r="AE240" s="291">
        <v>0</v>
      </c>
      <c r="AF240" s="291">
        <v>0</v>
      </c>
      <c r="AG240" s="291">
        <v>1160605001</v>
      </c>
      <c r="AH240" s="291">
        <v>1096</v>
      </c>
      <c r="AI240" s="291" t="s">
        <v>497</v>
      </c>
      <c r="AJ240" s="308">
        <v>0.01</v>
      </c>
      <c r="AK240" s="309">
        <f t="shared" si="34"/>
        <v>30727.670000000002</v>
      </c>
      <c r="AL240" s="309">
        <f t="shared" si="35"/>
        <v>30727.670000000002</v>
      </c>
      <c r="AM240" s="309">
        <f t="shared" si="35"/>
        <v>30727.670000000002</v>
      </c>
      <c r="AN240" s="309"/>
      <c r="AO240" s="309"/>
      <c r="AP240" s="309">
        <f t="shared" si="30"/>
        <v>0</v>
      </c>
      <c r="AQ240" s="309">
        <f t="shared" si="38"/>
        <v>0</v>
      </c>
      <c r="AR240" s="309">
        <f t="shared" si="38"/>
        <v>0</v>
      </c>
      <c r="AS240" s="309"/>
      <c r="AT240" s="309"/>
      <c r="AV240" s="311">
        <f t="shared" si="31"/>
        <v>2980583.99</v>
      </c>
      <c r="AW240" s="311">
        <f t="shared" si="32"/>
        <v>0</v>
      </c>
      <c r="AX240" s="312">
        <f t="shared" si="33"/>
        <v>0</v>
      </c>
    </row>
    <row r="241" spans="1:51">
      <c r="A241" s="291" t="s">
        <v>494</v>
      </c>
      <c r="B241" s="291"/>
      <c r="C241" s="291"/>
      <c r="D241" s="291">
        <v>1160505001</v>
      </c>
      <c r="E241" s="291">
        <v>0</v>
      </c>
      <c r="F241" s="291">
        <v>41260</v>
      </c>
      <c r="G241" s="306">
        <v>42764</v>
      </c>
      <c r="H241" s="306">
        <v>43129</v>
      </c>
      <c r="I241" s="291">
        <v>2133</v>
      </c>
      <c r="J241" s="307">
        <v>3000000</v>
      </c>
      <c r="K241" s="307">
        <v>270000</v>
      </c>
      <c r="L241" s="307">
        <v>0</v>
      </c>
      <c r="M241" s="291" t="s">
        <v>495</v>
      </c>
      <c r="N241" s="307">
        <v>3000000</v>
      </c>
      <c r="O241" s="307">
        <v>270000</v>
      </c>
      <c r="P241" s="307">
        <v>3199500</v>
      </c>
      <c r="Q241" s="291">
        <v>1</v>
      </c>
      <c r="R241" s="291" t="s">
        <v>496</v>
      </c>
      <c r="S241" s="291">
        <v>100</v>
      </c>
      <c r="T241" s="307">
        <v>3000000</v>
      </c>
      <c r="U241" s="307">
        <v>270000</v>
      </c>
      <c r="V241" s="291">
        <v>400</v>
      </c>
      <c r="W241" s="307">
        <v>1286169</v>
      </c>
      <c r="X241" s="291">
        <v>2</v>
      </c>
      <c r="Y241" s="291">
        <v>1160902010</v>
      </c>
      <c r="Z241" s="291">
        <v>2023</v>
      </c>
      <c r="AA241" s="291">
        <v>12</v>
      </c>
      <c r="AB241" s="291">
        <v>5026003002</v>
      </c>
      <c r="AC241" s="291">
        <v>1160903005</v>
      </c>
      <c r="AD241" s="291">
        <v>0</v>
      </c>
      <c r="AE241" s="291">
        <v>0</v>
      </c>
      <c r="AF241" s="291">
        <v>0</v>
      </c>
      <c r="AG241" s="291">
        <v>1160605001</v>
      </c>
      <c r="AH241" s="291">
        <v>2133</v>
      </c>
      <c r="AI241" s="291" t="s">
        <v>497</v>
      </c>
      <c r="AJ241" s="308">
        <v>0.01</v>
      </c>
      <c r="AK241" s="309">
        <f t="shared" si="34"/>
        <v>30000</v>
      </c>
      <c r="AL241" s="309">
        <f t="shared" si="35"/>
        <v>30000</v>
      </c>
      <c r="AM241" s="309">
        <f t="shared" si="35"/>
        <v>30000</v>
      </c>
      <c r="AN241" s="309"/>
      <c r="AO241" s="309"/>
      <c r="AP241" s="309">
        <f t="shared" si="30"/>
        <v>1350</v>
      </c>
      <c r="AQ241" s="309">
        <f t="shared" si="38"/>
        <v>1350</v>
      </c>
      <c r="AR241" s="309">
        <f t="shared" si="38"/>
        <v>1350</v>
      </c>
      <c r="AS241" s="309"/>
      <c r="AT241" s="309"/>
      <c r="AV241" s="311">
        <f t="shared" si="31"/>
        <v>2910000</v>
      </c>
      <c r="AW241" s="311">
        <f t="shared" si="32"/>
        <v>265950</v>
      </c>
      <c r="AX241" s="312">
        <f t="shared" si="33"/>
        <v>0</v>
      </c>
    </row>
    <row r="242" spans="1:51">
      <c r="A242" s="291" t="s">
        <v>494</v>
      </c>
      <c r="B242" s="291"/>
      <c r="C242" s="291"/>
      <c r="D242" s="291">
        <v>1160505002</v>
      </c>
      <c r="E242" s="291">
        <v>0</v>
      </c>
      <c r="F242" s="291">
        <v>41282</v>
      </c>
      <c r="G242" s="306">
        <v>42766</v>
      </c>
      <c r="H242" s="306">
        <v>43131</v>
      </c>
      <c r="I242" s="291">
        <v>2132</v>
      </c>
      <c r="J242" s="307">
        <v>1885000</v>
      </c>
      <c r="K242" s="307">
        <v>169656</v>
      </c>
      <c r="L242" s="307">
        <v>0</v>
      </c>
      <c r="M242" s="291" t="s">
        <v>495</v>
      </c>
      <c r="N242" s="307">
        <v>1885000</v>
      </c>
      <c r="O242" s="307">
        <v>169656</v>
      </c>
      <c r="P242" s="307">
        <v>2009410</v>
      </c>
      <c r="Q242" s="291">
        <v>1</v>
      </c>
      <c r="R242" s="291" t="s">
        <v>496</v>
      </c>
      <c r="S242" s="291">
        <v>100</v>
      </c>
      <c r="T242" s="307">
        <v>1885000</v>
      </c>
      <c r="U242" s="307">
        <v>169656</v>
      </c>
      <c r="V242" s="291">
        <v>400</v>
      </c>
      <c r="W242" s="307">
        <v>1286169</v>
      </c>
      <c r="X242" s="291">
        <v>6</v>
      </c>
      <c r="Y242" s="291">
        <v>1160902010</v>
      </c>
      <c r="Z242" s="291">
        <v>2023</v>
      </c>
      <c r="AA242" s="291">
        <v>12</v>
      </c>
      <c r="AB242" s="291">
        <v>5026003002</v>
      </c>
      <c r="AC242" s="291">
        <v>1160903005</v>
      </c>
      <c r="AD242" s="291">
        <v>0</v>
      </c>
      <c r="AE242" s="291">
        <v>0</v>
      </c>
      <c r="AF242" s="291">
        <v>0</v>
      </c>
      <c r="AG242" s="291">
        <v>1160605001</v>
      </c>
      <c r="AH242" s="291">
        <v>2133</v>
      </c>
      <c r="AI242" s="291" t="s">
        <v>497</v>
      </c>
      <c r="AJ242" s="308">
        <v>0.01</v>
      </c>
      <c r="AK242" s="309">
        <f t="shared" si="34"/>
        <v>18850</v>
      </c>
      <c r="AL242" s="309">
        <f t="shared" si="35"/>
        <v>18850</v>
      </c>
      <c r="AM242" s="309">
        <f t="shared" si="35"/>
        <v>18850</v>
      </c>
      <c r="AN242" s="309"/>
      <c r="AO242" s="309"/>
      <c r="AP242" s="309">
        <f t="shared" si="30"/>
        <v>848.28</v>
      </c>
      <c r="AQ242" s="309">
        <f t="shared" si="38"/>
        <v>848.28</v>
      </c>
      <c r="AR242" s="309">
        <f t="shared" si="38"/>
        <v>848.28</v>
      </c>
      <c r="AS242" s="309"/>
      <c r="AT242" s="309"/>
      <c r="AV242" s="311">
        <f t="shared" si="31"/>
        <v>1828450</v>
      </c>
      <c r="AW242" s="311">
        <f t="shared" si="32"/>
        <v>167111.16</v>
      </c>
      <c r="AX242" s="312">
        <f t="shared" si="33"/>
        <v>0</v>
      </c>
    </row>
    <row r="243" spans="1:51">
      <c r="A243" s="291" t="s">
        <v>494</v>
      </c>
      <c r="B243" s="291"/>
      <c r="C243" s="291"/>
      <c r="D243" s="291">
        <v>1160505001</v>
      </c>
      <c r="E243" s="291">
        <v>0</v>
      </c>
      <c r="F243" s="291">
        <v>45273</v>
      </c>
      <c r="G243" s="306">
        <v>43349</v>
      </c>
      <c r="H243" s="306">
        <v>44445</v>
      </c>
      <c r="I243" s="291">
        <v>836</v>
      </c>
      <c r="J243" s="307">
        <v>2041786</v>
      </c>
      <c r="K243" s="307">
        <v>0</v>
      </c>
      <c r="L243" s="307">
        <v>0</v>
      </c>
      <c r="M243" s="291" t="s">
        <v>495</v>
      </c>
      <c r="N243" s="307">
        <v>2041786</v>
      </c>
      <c r="O243" s="307">
        <v>0</v>
      </c>
      <c r="P243" s="307">
        <v>853467</v>
      </c>
      <c r="Q243" s="291">
        <v>1</v>
      </c>
      <c r="R243" s="291" t="s">
        <v>496</v>
      </c>
      <c r="S243" s="291">
        <v>100</v>
      </c>
      <c r="T243" s="307">
        <v>2041786</v>
      </c>
      <c r="U243" s="307">
        <v>0</v>
      </c>
      <c r="V243" s="291">
        <v>400</v>
      </c>
      <c r="W243" s="307">
        <v>3612215</v>
      </c>
      <c r="X243" s="291">
        <v>2</v>
      </c>
      <c r="Y243" s="291">
        <v>1160902010</v>
      </c>
      <c r="Z243" s="291">
        <v>2023</v>
      </c>
      <c r="AA243" s="291">
        <v>12</v>
      </c>
      <c r="AB243" s="291">
        <v>5026003002</v>
      </c>
      <c r="AC243" s="291">
        <v>1160903005</v>
      </c>
      <c r="AD243" s="291">
        <v>0</v>
      </c>
      <c r="AE243" s="291">
        <v>0</v>
      </c>
      <c r="AF243" s="291">
        <v>0</v>
      </c>
      <c r="AG243" s="291">
        <v>1160605001</v>
      </c>
      <c r="AH243" s="291">
        <v>836</v>
      </c>
      <c r="AI243" s="291" t="s">
        <v>499</v>
      </c>
      <c r="AJ243" s="308">
        <v>0.05</v>
      </c>
      <c r="AK243" s="309">
        <f t="shared" si="34"/>
        <v>102089.3</v>
      </c>
      <c r="AL243" s="309">
        <f t="shared" si="35"/>
        <v>102089.3</v>
      </c>
      <c r="AM243" s="309">
        <f t="shared" si="35"/>
        <v>102089.3</v>
      </c>
      <c r="AN243" s="309"/>
      <c r="AO243" s="309"/>
      <c r="AP243" s="309">
        <f t="shared" si="30"/>
        <v>0</v>
      </c>
      <c r="AQ243" s="309">
        <f t="shared" si="38"/>
        <v>0</v>
      </c>
      <c r="AR243" s="309">
        <f t="shared" si="38"/>
        <v>0</v>
      </c>
      <c r="AS243" s="309"/>
      <c r="AT243" s="309"/>
      <c r="AV243" s="311">
        <f t="shared" si="31"/>
        <v>1735518.0999999999</v>
      </c>
      <c r="AW243" s="311">
        <f t="shared" si="32"/>
        <v>0</v>
      </c>
      <c r="AX243" s="312">
        <f t="shared" si="33"/>
        <v>0</v>
      </c>
    </row>
    <row r="244" spans="1:51">
      <c r="A244" s="291" t="s">
        <v>494</v>
      </c>
      <c r="B244" s="291"/>
      <c r="C244" s="291"/>
      <c r="D244" s="291">
        <v>1160505001</v>
      </c>
      <c r="E244" s="291">
        <v>0</v>
      </c>
      <c r="F244" s="291">
        <v>46841</v>
      </c>
      <c r="G244" s="306">
        <v>43618</v>
      </c>
      <c r="H244" s="306">
        <v>44714</v>
      </c>
      <c r="I244" s="291">
        <v>570</v>
      </c>
      <c r="J244" s="307">
        <v>28000000</v>
      </c>
      <c r="K244" s="307">
        <v>12600000</v>
      </c>
      <c r="L244" s="307">
        <v>0</v>
      </c>
      <c r="M244" s="291" t="s">
        <v>495</v>
      </c>
      <c r="N244" s="307">
        <v>28000000</v>
      </c>
      <c r="O244" s="307">
        <v>12600000</v>
      </c>
      <c r="P244" s="307">
        <v>7980000</v>
      </c>
      <c r="Q244" s="291">
        <v>1</v>
      </c>
      <c r="R244" s="291" t="s">
        <v>496</v>
      </c>
      <c r="S244" s="291">
        <v>100</v>
      </c>
      <c r="T244" s="307">
        <v>28000000</v>
      </c>
      <c r="U244" s="307">
        <v>12600000</v>
      </c>
      <c r="V244" s="291">
        <v>100</v>
      </c>
      <c r="W244" s="307">
        <v>37037778.729999997</v>
      </c>
      <c r="X244" s="291">
        <v>2</v>
      </c>
      <c r="Y244" s="291">
        <v>1160902010</v>
      </c>
      <c r="Z244" s="291">
        <v>2023</v>
      </c>
      <c r="AA244" s="291">
        <v>12</v>
      </c>
      <c r="AB244" s="291">
        <v>5026003002</v>
      </c>
      <c r="AC244" s="291">
        <v>1160903005</v>
      </c>
      <c r="AD244" s="291">
        <v>0</v>
      </c>
      <c r="AE244" s="291">
        <v>0</v>
      </c>
      <c r="AF244" s="291">
        <v>0</v>
      </c>
      <c r="AG244" s="291">
        <v>1160605001</v>
      </c>
      <c r="AH244" s="291">
        <v>570</v>
      </c>
      <c r="AI244" s="291" t="s">
        <v>498</v>
      </c>
      <c r="AJ244" s="308">
        <v>0.1</v>
      </c>
      <c r="AK244" s="309">
        <f t="shared" si="34"/>
        <v>2800000</v>
      </c>
      <c r="AL244" s="309">
        <f t="shared" si="35"/>
        <v>2800000</v>
      </c>
      <c r="AM244" s="309">
        <f t="shared" si="35"/>
        <v>2800000</v>
      </c>
      <c r="AN244" s="309"/>
      <c r="AO244" s="309"/>
      <c r="AP244" s="309">
        <f t="shared" si="30"/>
        <v>630000</v>
      </c>
      <c r="AQ244" s="309">
        <f t="shared" si="38"/>
        <v>630000</v>
      </c>
      <c r="AR244" s="309">
        <f t="shared" si="38"/>
        <v>630000</v>
      </c>
      <c r="AS244" s="309"/>
      <c r="AT244" s="309"/>
      <c r="AV244" s="311">
        <f t="shared" si="31"/>
        <v>19600000</v>
      </c>
      <c r="AW244" s="311">
        <f t="shared" si="32"/>
        <v>10710000</v>
      </c>
      <c r="AX244" s="312">
        <f t="shared" si="33"/>
        <v>0</v>
      </c>
    </row>
    <row r="245" spans="1:51">
      <c r="A245" s="291" t="s">
        <v>494</v>
      </c>
      <c r="B245" s="291"/>
      <c r="C245" s="291"/>
      <c r="D245" s="291">
        <v>1160505001</v>
      </c>
      <c r="E245" s="291">
        <v>0</v>
      </c>
      <c r="F245" s="291">
        <v>43557</v>
      </c>
      <c r="G245" s="306">
        <v>43136</v>
      </c>
      <c r="H245" s="306">
        <v>43866</v>
      </c>
      <c r="I245" s="291">
        <v>1407</v>
      </c>
      <c r="J245" s="307">
        <v>4000000</v>
      </c>
      <c r="K245" s="307">
        <v>526000</v>
      </c>
      <c r="L245" s="307">
        <v>0</v>
      </c>
      <c r="M245" s="291" t="s">
        <v>495</v>
      </c>
      <c r="N245" s="307">
        <v>4000000</v>
      </c>
      <c r="O245" s="307">
        <v>526000</v>
      </c>
      <c r="P245" s="307">
        <v>2814000</v>
      </c>
      <c r="Q245" s="291">
        <v>1</v>
      </c>
      <c r="R245" s="291" t="s">
        <v>496</v>
      </c>
      <c r="S245" s="291">
        <v>100</v>
      </c>
      <c r="T245" s="307">
        <v>4000000</v>
      </c>
      <c r="U245" s="307">
        <v>526000</v>
      </c>
      <c r="V245" s="291">
        <v>100</v>
      </c>
      <c r="W245" s="307">
        <v>2584296</v>
      </c>
      <c r="X245" s="291">
        <v>15</v>
      </c>
      <c r="Y245" s="291">
        <v>1160902010</v>
      </c>
      <c r="Z245" s="291">
        <v>2023</v>
      </c>
      <c r="AA245" s="291">
        <v>12</v>
      </c>
      <c r="AB245" s="291">
        <v>5026003002</v>
      </c>
      <c r="AC245" s="291">
        <v>1160903005</v>
      </c>
      <c r="AD245" s="291">
        <v>0</v>
      </c>
      <c r="AE245" s="291">
        <v>0</v>
      </c>
      <c r="AF245" s="291">
        <v>0</v>
      </c>
      <c r="AG245" s="291">
        <v>1160605001</v>
      </c>
      <c r="AH245" s="291">
        <v>1407</v>
      </c>
      <c r="AI245" s="291" t="s">
        <v>497</v>
      </c>
      <c r="AJ245" s="308">
        <v>0.01</v>
      </c>
      <c r="AK245" s="309">
        <f t="shared" si="34"/>
        <v>40000</v>
      </c>
      <c r="AL245" s="309">
        <f t="shared" si="35"/>
        <v>40000</v>
      </c>
      <c r="AM245" s="309">
        <f t="shared" si="35"/>
        <v>40000</v>
      </c>
      <c r="AN245" s="309"/>
      <c r="AO245" s="309"/>
      <c r="AP245" s="309">
        <f t="shared" si="30"/>
        <v>2630</v>
      </c>
      <c r="AQ245" s="309">
        <f t="shared" si="38"/>
        <v>2630</v>
      </c>
      <c r="AR245" s="309">
        <f t="shared" si="38"/>
        <v>2630</v>
      </c>
      <c r="AS245" s="309"/>
      <c r="AT245" s="309"/>
      <c r="AV245" s="311">
        <f t="shared" si="31"/>
        <v>3880000</v>
      </c>
      <c r="AW245" s="311">
        <f t="shared" si="32"/>
        <v>518110</v>
      </c>
      <c r="AX245" s="312">
        <f t="shared" si="33"/>
        <v>0</v>
      </c>
    </row>
    <row r="246" spans="1:51">
      <c r="A246" s="291" t="s">
        <v>494</v>
      </c>
      <c r="B246" s="291"/>
      <c r="C246" s="291"/>
      <c r="D246" s="291">
        <v>1160505001</v>
      </c>
      <c r="E246" s="291">
        <v>0</v>
      </c>
      <c r="F246" s="291">
        <v>46584</v>
      </c>
      <c r="G246" s="306">
        <v>43569</v>
      </c>
      <c r="H246" s="306">
        <v>44665</v>
      </c>
      <c r="I246" s="291">
        <v>618</v>
      </c>
      <c r="J246" s="307">
        <v>1285622</v>
      </c>
      <c r="K246" s="307">
        <v>278654</v>
      </c>
      <c r="L246" s="307">
        <v>0</v>
      </c>
      <c r="M246" s="291" t="s">
        <v>495</v>
      </c>
      <c r="N246" s="307">
        <v>1285622</v>
      </c>
      <c r="O246" s="307">
        <v>278654</v>
      </c>
      <c r="P246" s="307">
        <v>397257</v>
      </c>
      <c r="Q246" s="291">
        <v>1</v>
      </c>
      <c r="R246" s="291" t="s">
        <v>496</v>
      </c>
      <c r="S246" s="291">
        <v>100</v>
      </c>
      <c r="T246" s="307">
        <v>1285622</v>
      </c>
      <c r="U246" s="307">
        <v>278654</v>
      </c>
      <c r="V246" s="291">
        <v>100</v>
      </c>
      <c r="W246" s="307">
        <v>5902817</v>
      </c>
      <c r="X246" s="291">
        <v>14</v>
      </c>
      <c r="Y246" s="291">
        <v>1160902010</v>
      </c>
      <c r="Z246" s="291">
        <v>2023</v>
      </c>
      <c r="AA246" s="291">
        <v>12</v>
      </c>
      <c r="AB246" s="291">
        <v>5026003002</v>
      </c>
      <c r="AC246" s="291">
        <v>1160903005</v>
      </c>
      <c r="AD246" s="291">
        <v>0</v>
      </c>
      <c r="AE246" s="291">
        <v>0</v>
      </c>
      <c r="AF246" s="291">
        <v>0</v>
      </c>
      <c r="AG246" s="291">
        <v>1160605001</v>
      </c>
      <c r="AH246" s="291">
        <v>618</v>
      </c>
      <c r="AI246" s="291" t="s">
        <v>498</v>
      </c>
      <c r="AJ246" s="308">
        <v>0.1</v>
      </c>
      <c r="AK246" s="309">
        <f t="shared" si="34"/>
        <v>128562.20000000001</v>
      </c>
      <c r="AL246" s="309">
        <f t="shared" si="35"/>
        <v>128562.20000000001</v>
      </c>
      <c r="AM246" s="309">
        <f t="shared" si="35"/>
        <v>128562.20000000001</v>
      </c>
      <c r="AN246" s="309"/>
      <c r="AO246" s="309"/>
      <c r="AP246" s="309">
        <f t="shared" si="30"/>
        <v>13932.7</v>
      </c>
      <c r="AQ246" s="309">
        <f t="shared" si="38"/>
        <v>13932.7</v>
      </c>
      <c r="AR246" s="309">
        <f t="shared" si="38"/>
        <v>13932.7</v>
      </c>
      <c r="AS246" s="309"/>
      <c r="AT246" s="309"/>
      <c r="AV246" s="311">
        <f t="shared" si="31"/>
        <v>899935.40000000014</v>
      </c>
      <c r="AW246" s="311">
        <f t="shared" si="32"/>
        <v>236855.89999999997</v>
      </c>
      <c r="AX246" s="312">
        <f t="shared" si="33"/>
        <v>0</v>
      </c>
    </row>
    <row r="247" spans="1:51">
      <c r="A247" s="291" t="s">
        <v>494</v>
      </c>
      <c r="B247" s="291"/>
      <c r="C247" s="291"/>
      <c r="D247" s="291">
        <v>1160505001</v>
      </c>
      <c r="E247" s="291">
        <v>0</v>
      </c>
      <c r="F247" s="291">
        <v>45564</v>
      </c>
      <c r="G247" s="306">
        <v>43451</v>
      </c>
      <c r="H247" s="306">
        <v>43816</v>
      </c>
      <c r="I247" s="291">
        <v>1455</v>
      </c>
      <c r="J247" s="307">
        <v>10000000</v>
      </c>
      <c r="K247" s="307">
        <v>1500000</v>
      </c>
      <c r="L247" s="307">
        <v>0</v>
      </c>
      <c r="M247" s="291" t="s">
        <v>495</v>
      </c>
      <c r="N247" s="307">
        <v>10000000</v>
      </c>
      <c r="O247" s="307">
        <v>1500000</v>
      </c>
      <c r="P247" s="307">
        <v>7275000</v>
      </c>
      <c r="Q247" s="291">
        <v>1</v>
      </c>
      <c r="R247" s="291" t="s">
        <v>496</v>
      </c>
      <c r="S247" s="291">
        <v>100</v>
      </c>
      <c r="T247" s="307">
        <v>10000000</v>
      </c>
      <c r="U247" s="307">
        <v>1500000</v>
      </c>
      <c r="V247" s="291">
        <v>100</v>
      </c>
      <c r="W247" s="307">
        <v>2240736</v>
      </c>
      <c r="X247" s="291">
        <v>15</v>
      </c>
      <c r="Y247" s="291">
        <v>1160902010</v>
      </c>
      <c r="Z247" s="291">
        <v>2023</v>
      </c>
      <c r="AA247" s="291">
        <v>12</v>
      </c>
      <c r="AB247" s="291">
        <v>5026003002</v>
      </c>
      <c r="AC247" s="291">
        <v>1160903005</v>
      </c>
      <c r="AD247" s="291">
        <v>0</v>
      </c>
      <c r="AE247" s="291">
        <v>0</v>
      </c>
      <c r="AF247" s="291">
        <v>0</v>
      </c>
      <c r="AG247" s="291">
        <v>1160605001</v>
      </c>
      <c r="AH247" s="291">
        <v>1455</v>
      </c>
      <c r="AI247" s="291" t="s">
        <v>497</v>
      </c>
      <c r="AJ247" s="308">
        <v>0.01</v>
      </c>
      <c r="AK247" s="309">
        <f t="shared" si="34"/>
        <v>100000</v>
      </c>
      <c r="AL247" s="309">
        <f t="shared" si="35"/>
        <v>100000</v>
      </c>
      <c r="AM247" s="309">
        <f t="shared" si="35"/>
        <v>100000</v>
      </c>
      <c r="AN247" s="309"/>
      <c r="AO247" s="309"/>
      <c r="AP247" s="309">
        <f t="shared" si="30"/>
        <v>7500</v>
      </c>
      <c r="AQ247" s="309">
        <f t="shared" ref="AQ247:AR262" si="39">AP247</f>
        <v>7500</v>
      </c>
      <c r="AR247" s="309">
        <f t="shared" si="39"/>
        <v>7500</v>
      </c>
      <c r="AS247" s="309"/>
      <c r="AT247" s="309"/>
      <c r="AV247" s="311">
        <f t="shared" si="31"/>
        <v>9700000</v>
      </c>
      <c r="AW247" s="311">
        <f t="shared" si="32"/>
        <v>1477500</v>
      </c>
      <c r="AX247" s="312">
        <f t="shared" si="33"/>
        <v>0</v>
      </c>
    </row>
    <row r="248" spans="1:51">
      <c r="A248" s="291" t="s">
        <v>494</v>
      </c>
      <c r="B248" s="291"/>
      <c r="C248" s="291"/>
      <c r="D248" s="291">
        <v>1160505001</v>
      </c>
      <c r="E248" s="291">
        <v>0</v>
      </c>
      <c r="F248" s="291">
        <v>44268</v>
      </c>
      <c r="G248" s="306">
        <v>43205</v>
      </c>
      <c r="H248" s="306">
        <v>43936</v>
      </c>
      <c r="I248" s="291">
        <v>1337</v>
      </c>
      <c r="J248" s="307">
        <v>6500000</v>
      </c>
      <c r="K248" s="307">
        <v>0</v>
      </c>
      <c r="L248" s="307">
        <v>0</v>
      </c>
      <c r="M248" s="291" t="s">
        <v>495</v>
      </c>
      <c r="N248" s="307">
        <v>6500000</v>
      </c>
      <c r="O248" s="307">
        <v>0</v>
      </c>
      <c r="P248" s="307">
        <v>4345250</v>
      </c>
      <c r="Q248" s="291">
        <v>1</v>
      </c>
      <c r="R248" s="291" t="s">
        <v>496</v>
      </c>
      <c r="S248" s="291">
        <v>100</v>
      </c>
      <c r="T248" s="307">
        <v>6500000</v>
      </c>
      <c r="U248" s="307">
        <v>0</v>
      </c>
      <c r="V248" s="291">
        <v>100</v>
      </c>
      <c r="W248" s="307">
        <v>8599846</v>
      </c>
      <c r="X248" s="291">
        <v>14</v>
      </c>
      <c r="Y248" s="291">
        <v>1160902010</v>
      </c>
      <c r="Z248" s="291">
        <v>2023</v>
      </c>
      <c r="AA248" s="291">
        <v>12</v>
      </c>
      <c r="AB248" s="291">
        <v>5026003002</v>
      </c>
      <c r="AC248" s="291">
        <v>1160903005</v>
      </c>
      <c r="AD248" s="291">
        <v>0</v>
      </c>
      <c r="AE248" s="291">
        <v>0</v>
      </c>
      <c r="AF248" s="291">
        <v>0</v>
      </c>
      <c r="AG248" s="291">
        <v>1160605001</v>
      </c>
      <c r="AH248" s="291">
        <v>1337</v>
      </c>
      <c r="AI248" s="291" t="s">
        <v>497</v>
      </c>
      <c r="AJ248" s="308">
        <v>0.01</v>
      </c>
      <c r="AK248" s="309">
        <f t="shared" si="34"/>
        <v>65000</v>
      </c>
      <c r="AL248" s="309">
        <f t="shared" si="35"/>
        <v>65000</v>
      </c>
      <c r="AM248" s="309">
        <f t="shared" si="35"/>
        <v>65000</v>
      </c>
      <c r="AN248" s="309"/>
      <c r="AO248" s="309"/>
      <c r="AP248" s="309">
        <f t="shared" si="30"/>
        <v>0</v>
      </c>
      <c r="AQ248" s="309">
        <f t="shared" si="39"/>
        <v>0</v>
      </c>
      <c r="AR248" s="309">
        <f t="shared" si="39"/>
        <v>0</v>
      </c>
      <c r="AS248" s="309"/>
      <c r="AT248" s="309"/>
      <c r="AV248" s="311">
        <f t="shared" si="31"/>
        <v>6305000</v>
      </c>
      <c r="AW248" s="311">
        <f t="shared" si="32"/>
        <v>0</v>
      </c>
      <c r="AX248" s="312">
        <f t="shared" si="33"/>
        <v>0</v>
      </c>
    </row>
    <row r="249" spans="1:51">
      <c r="A249" s="291" t="s">
        <v>494</v>
      </c>
      <c r="B249" s="291"/>
      <c r="C249" s="291"/>
      <c r="D249" s="291">
        <v>1160505001</v>
      </c>
      <c r="E249" s="291">
        <v>0</v>
      </c>
      <c r="F249" s="291">
        <v>38938</v>
      </c>
      <c r="G249" s="306">
        <v>42386</v>
      </c>
      <c r="H249" s="306">
        <v>43482</v>
      </c>
      <c r="I249" s="291">
        <v>1785</v>
      </c>
      <c r="J249" s="307">
        <v>2666000</v>
      </c>
      <c r="K249" s="307">
        <v>540894</v>
      </c>
      <c r="L249" s="307">
        <v>0</v>
      </c>
      <c r="M249" s="291" t="s">
        <v>495</v>
      </c>
      <c r="N249" s="307">
        <v>2666000</v>
      </c>
      <c r="O249" s="307">
        <v>540894</v>
      </c>
      <c r="P249" s="307">
        <v>2379405</v>
      </c>
      <c r="Q249" s="291">
        <v>1</v>
      </c>
      <c r="R249" s="291" t="s">
        <v>496</v>
      </c>
      <c r="S249" s="291">
        <v>100</v>
      </c>
      <c r="T249" s="307">
        <v>2666000</v>
      </c>
      <c r="U249" s="307">
        <v>540894</v>
      </c>
      <c r="V249" s="291">
        <v>100</v>
      </c>
      <c r="W249" s="307">
        <v>5613372</v>
      </c>
      <c r="X249" s="291">
        <v>2</v>
      </c>
      <c r="Y249" s="291">
        <v>1160902010</v>
      </c>
      <c r="Z249" s="291">
        <v>2023</v>
      </c>
      <c r="AA249" s="291">
        <v>12</v>
      </c>
      <c r="AB249" s="291">
        <v>5026003002</v>
      </c>
      <c r="AC249" s="291">
        <v>1160903005</v>
      </c>
      <c r="AD249" s="291">
        <v>0</v>
      </c>
      <c r="AE249" s="291">
        <v>0</v>
      </c>
      <c r="AF249" s="291">
        <v>0</v>
      </c>
      <c r="AG249" s="291">
        <v>1160605001</v>
      </c>
      <c r="AH249" s="291">
        <v>1785</v>
      </c>
      <c r="AI249" s="291" t="s">
        <v>497</v>
      </c>
      <c r="AJ249" s="308">
        <v>0.01</v>
      </c>
      <c r="AK249" s="309">
        <f t="shared" si="34"/>
        <v>26660</v>
      </c>
      <c r="AL249" s="309">
        <f t="shared" si="35"/>
        <v>26660</v>
      </c>
      <c r="AM249" s="309">
        <f t="shared" si="35"/>
        <v>26660</v>
      </c>
      <c r="AN249" s="309"/>
      <c r="AO249" s="309"/>
      <c r="AP249" s="309">
        <f t="shared" si="30"/>
        <v>2704.4700000000003</v>
      </c>
      <c r="AQ249" s="309">
        <f t="shared" si="39"/>
        <v>2704.4700000000003</v>
      </c>
      <c r="AR249" s="309">
        <f t="shared" si="39"/>
        <v>2704.4700000000003</v>
      </c>
      <c r="AS249" s="309"/>
      <c r="AT249" s="309"/>
      <c r="AV249" s="311">
        <f t="shared" si="31"/>
        <v>2586020</v>
      </c>
      <c r="AW249" s="311">
        <f t="shared" si="32"/>
        <v>532780.59000000008</v>
      </c>
      <c r="AX249" s="312">
        <f t="shared" si="33"/>
        <v>0</v>
      </c>
    </row>
    <row r="250" spans="1:51">
      <c r="A250" s="291" t="s">
        <v>494</v>
      </c>
      <c r="B250" s="291"/>
      <c r="C250" s="291"/>
      <c r="D250" s="291">
        <v>1160505001</v>
      </c>
      <c r="E250" s="291">
        <v>0</v>
      </c>
      <c r="F250" s="291">
        <v>40752</v>
      </c>
      <c r="G250" s="306">
        <v>42639</v>
      </c>
      <c r="H250" s="306">
        <v>43734</v>
      </c>
      <c r="I250" s="291">
        <v>1536</v>
      </c>
      <c r="J250" s="307">
        <v>5000000</v>
      </c>
      <c r="K250" s="307">
        <v>1394851</v>
      </c>
      <c r="L250" s="307">
        <v>0</v>
      </c>
      <c r="M250" s="291" t="s">
        <v>495</v>
      </c>
      <c r="N250" s="307">
        <v>5000000</v>
      </c>
      <c r="O250" s="307">
        <v>1394851</v>
      </c>
      <c r="P250" s="307">
        <v>3840000</v>
      </c>
      <c r="Q250" s="291">
        <v>1</v>
      </c>
      <c r="R250" s="291" t="s">
        <v>496</v>
      </c>
      <c r="S250" s="291">
        <v>100</v>
      </c>
      <c r="T250" s="307">
        <v>5000000</v>
      </c>
      <c r="U250" s="307">
        <v>1394851</v>
      </c>
      <c r="V250" s="291">
        <v>100</v>
      </c>
      <c r="W250" s="307">
        <v>5613372</v>
      </c>
      <c r="X250" s="291">
        <v>2</v>
      </c>
      <c r="Y250" s="291">
        <v>1160902010</v>
      </c>
      <c r="Z250" s="291">
        <v>2023</v>
      </c>
      <c r="AA250" s="291">
        <v>12</v>
      </c>
      <c r="AB250" s="291">
        <v>5026003002</v>
      </c>
      <c r="AC250" s="291">
        <v>1160903005</v>
      </c>
      <c r="AD250" s="291">
        <v>0</v>
      </c>
      <c r="AE250" s="291">
        <v>0</v>
      </c>
      <c r="AF250" s="291">
        <v>0</v>
      </c>
      <c r="AG250" s="291">
        <v>1160605001</v>
      </c>
      <c r="AH250" s="291">
        <v>1785</v>
      </c>
      <c r="AI250" s="291" t="s">
        <v>497</v>
      </c>
      <c r="AJ250" s="308">
        <v>0.01</v>
      </c>
      <c r="AK250" s="309">
        <f t="shared" si="34"/>
        <v>50000</v>
      </c>
      <c r="AL250" s="309">
        <f t="shared" si="35"/>
        <v>50000</v>
      </c>
      <c r="AM250" s="309">
        <f t="shared" si="35"/>
        <v>50000</v>
      </c>
      <c r="AN250" s="309"/>
      <c r="AO250" s="309"/>
      <c r="AP250" s="309">
        <f t="shared" si="30"/>
        <v>6974.2550000000001</v>
      </c>
      <c r="AQ250" s="309">
        <f t="shared" si="39"/>
        <v>6974.2550000000001</v>
      </c>
      <c r="AR250" s="309">
        <f t="shared" si="39"/>
        <v>6974.2550000000001</v>
      </c>
      <c r="AS250" s="309"/>
      <c r="AT250" s="309"/>
      <c r="AV250" s="311">
        <f t="shared" si="31"/>
        <v>4850000</v>
      </c>
      <c r="AW250" s="311">
        <f t="shared" si="32"/>
        <v>1373928.2350000003</v>
      </c>
      <c r="AX250" s="312">
        <f t="shared" si="33"/>
        <v>0</v>
      </c>
    </row>
    <row r="251" spans="1:51">
      <c r="A251" s="291" t="s">
        <v>494</v>
      </c>
      <c r="B251" s="291"/>
      <c r="C251" s="291"/>
      <c r="D251" s="291">
        <v>1160501001</v>
      </c>
      <c r="E251" s="291">
        <v>0</v>
      </c>
      <c r="F251" s="291">
        <v>45955</v>
      </c>
      <c r="G251" s="306">
        <v>43503</v>
      </c>
      <c r="H251" s="306">
        <v>45329</v>
      </c>
      <c r="I251" s="291">
        <v>0</v>
      </c>
      <c r="J251" s="307">
        <v>6000000</v>
      </c>
      <c r="K251" s="307">
        <v>997500</v>
      </c>
      <c r="L251" s="307">
        <v>0</v>
      </c>
      <c r="M251" s="291" t="s">
        <v>495</v>
      </c>
      <c r="N251" s="307">
        <v>0</v>
      </c>
      <c r="O251" s="307">
        <v>0</v>
      </c>
      <c r="P251" s="307">
        <v>0</v>
      </c>
      <c r="Q251" s="291">
        <v>1</v>
      </c>
      <c r="R251" s="291" t="s">
        <v>502</v>
      </c>
      <c r="S251" s="291">
        <v>0</v>
      </c>
      <c r="T251" s="307">
        <v>0</v>
      </c>
      <c r="U251" s="307">
        <v>0</v>
      </c>
      <c r="V251" s="291">
        <v>100</v>
      </c>
      <c r="W251" s="307">
        <v>7513844</v>
      </c>
      <c r="X251" s="291">
        <v>15</v>
      </c>
      <c r="Y251" s="291">
        <v>1160902002</v>
      </c>
      <c r="Z251" s="291">
        <v>2023</v>
      </c>
      <c r="AA251" s="291">
        <v>12</v>
      </c>
      <c r="AB251" s="291">
        <v>5026003002</v>
      </c>
      <c r="AC251" s="291">
        <v>1160903001</v>
      </c>
      <c r="AD251" s="291">
        <v>0</v>
      </c>
      <c r="AE251" s="291">
        <v>0</v>
      </c>
      <c r="AF251" s="291">
        <v>0</v>
      </c>
      <c r="AG251" s="291">
        <v>1160601004</v>
      </c>
      <c r="AH251" s="291">
        <v>0</v>
      </c>
      <c r="AI251" s="291" t="s">
        <v>500</v>
      </c>
      <c r="AJ251" s="308">
        <v>0.3</v>
      </c>
      <c r="AK251" s="309">
        <f t="shared" si="34"/>
        <v>1800000</v>
      </c>
      <c r="AL251" s="309">
        <f t="shared" si="35"/>
        <v>1800000</v>
      </c>
      <c r="AM251" s="309">
        <f t="shared" si="35"/>
        <v>1800000</v>
      </c>
      <c r="AN251" s="309"/>
      <c r="AO251" s="309"/>
      <c r="AP251" s="309">
        <f t="shared" si="30"/>
        <v>149625</v>
      </c>
      <c r="AQ251" s="309">
        <f t="shared" si="39"/>
        <v>149625</v>
      </c>
      <c r="AR251" s="309">
        <f t="shared" si="39"/>
        <v>149625</v>
      </c>
      <c r="AS251" s="309"/>
      <c r="AT251" s="309"/>
      <c r="AV251" s="311">
        <f t="shared" si="31"/>
        <v>600000</v>
      </c>
      <c r="AW251" s="311">
        <f t="shared" si="32"/>
        <v>548625</v>
      </c>
      <c r="AX251" s="312">
        <f t="shared" si="33"/>
        <v>6000000</v>
      </c>
      <c r="AY251" s="312">
        <f>+AX251-L251</f>
        <v>6000000</v>
      </c>
    </row>
    <row r="252" spans="1:51">
      <c r="A252" s="291" t="s">
        <v>494</v>
      </c>
      <c r="B252" s="291"/>
      <c r="C252" s="291"/>
      <c r="D252" s="291">
        <v>1160504001</v>
      </c>
      <c r="E252" s="291">
        <v>0</v>
      </c>
      <c r="F252" s="291">
        <v>45987</v>
      </c>
      <c r="G252" s="306">
        <v>43505</v>
      </c>
      <c r="H252" s="306">
        <v>44966</v>
      </c>
      <c r="I252" s="291">
        <v>323</v>
      </c>
      <c r="J252" s="307">
        <v>998963</v>
      </c>
      <c r="K252" s="307">
        <v>91153</v>
      </c>
      <c r="L252" s="307">
        <v>0</v>
      </c>
      <c r="M252" s="291" t="s">
        <v>495</v>
      </c>
      <c r="N252" s="307">
        <v>998963</v>
      </c>
      <c r="O252" s="307">
        <v>91153</v>
      </c>
      <c r="P252" s="307">
        <v>161333</v>
      </c>
      <c r="Q252" s="291">
        <v>1</v>
      </c>
      <c r="R252" s="291" t="s">
        <v>501</v>
      </c>
      <c r="S252" s="291">
        <v>100</v>
      </c>
      <c r="T252" s="307">
        <v>998963</v>
      </c>
      <c r="U252" s="307">
        <v>91153</v>
      </c>
      <c r="V252" s="291">
        <v>100</v>
      </c>
      <c r="W252" s="307">
        <v>1257316</v>
      </c>
      <c r="X252" s="291">
        <v>14</v>
      </c>
      <c r="Y252" s="291">
        <v>1160902008</v>
      </c>
      <c r="Z252" s="291">
        <v>2023</v>
      </c>
      <c r="AA252" s="291">
        <v>12</v>
      </c>
      <c r="AB252" s="291">
        <v>5026003002</v>
      </c>
      <c r="AC252" s="291">
        <v>1160903004</v>
      </c>
      <c r="AD252" s="291">
        <v>0</v>
      </c>
      <c r="AE252" s="291">
        <v>0</v>
      </c>
      <c r="AF252" s="291">
        <v>0</v>
      </c>
      <c r="AG252" s="291">
        <v>1160604001</v>
      </c>
      <c r="AH252" s="291">
        <v>323</v>
      </c>
      <c r="AI252" s="291" t="s">
        <v>500</v>
      </c>
      <c r="AJ252" s="308">
        <v>0.3</v>
      </c>
      <c r="AK252" s="309">
        <f t="shared" si="34"/>
        <v>299688.89999999997</v>
      </c>
      <c r="AL252" s="309">
        <f t="shared" si="35"/>
        <v>299688.89999999997</v>
      </c>
      <c r="AM252" s="309">
        <f t="shared" si="35"/>
        <v>299688.89999999997</v>
      </c>
      <c r="AN252" s="309"/>
      <c r="AO252" s="309"/>
      <c r="AP252" s="309">
        <f t="shared" si="30"/>
        <v>13672.949999999999</v>
      </c>
      <c r="AQ252" s="309">
        <f t="shared" si="39"/>
        <v>13672.949999999999</v>
      </c>
      <c r="AR252" s="309">
        <f t="shared" si="39"/>
        <v>13672.949999999999</v>
      </c>
      <c r="AS252" s="309"/>
      <c r="AT252" s="309"/>
      <c r="AV252" s="311">
        <f t="shared" si="31"/>
        <v>99896.300000000163</v>
      </c>
      <c r="AW252" s="311">
        <f t="shared" si="32"/>
        <v>50134.150000000009</v>
      </c>
      <c r="AX252" s="312">
        <f t="shared" si="33"/>
        <v>0</v>
      </c>
    </row>
    <row r="253" spans="1:51">
      <c r="A253" s="291" t="s">
        <v>494</v>
      </c>
      <c r="B253" s="291"/>
      <c r="C253" s="291"/>
      <c r="D253" s="291">
        <v>1160405003</v>
      </c>
      <c r="E253" s="291">
        <v>0</v>
      </c>
      <c r="F253" s="291">
        <v>34247</v>
      </c>
      <c r="G253" s="306">
        <v>41669</v>
      </c>
      <c r="H253" s="306">
        <v>42765</v>
      </c>
      <c r="I253" s="291">
        <v>2492</v>
      </c>
      <c r="J253" s="307">
        <v>23335113</v>
      </c>
      <c r="K253" s="307">
        <v>0</v>
      </c>
      <c r="L253" s="307">
        <v>0</v>
      </c>
      <c r="M253" s="291" t="s">
        <v>495</v>
      </c>
      <c r="N253" s="307">
        <v>23335113</v>
      </c>
      <c r="O253" s="307">
        <v>0</v>
      </c>
      <c r="P253" s="307">
        <v>29075551</v>
      </c>
      <c r="Q253" s="291">
        <v>2</v>
      </c>
      <c r="R253" s="291" t="s">
        <v>496</v>
      </c>
      <c r="S253" s="291">
        <v>100</v>
      </c>
      <c r="T253" s="307">
        <v>23335113</v>
      </c>
      <c r="U253" s="307">
        <v>0</v>
      </c>
      <c r="V253" s="291">
        <v>100</v>
      </c>
      <c r="W253" s="307">
        <v>0</v>
      </c>
      <c r="X253" s="291">
        <v>8</v>
      </c>
      <c r="Y253" s="291">
        <v>1160902009</v>
      </c>
      <c r="Z253" s="291">
        <v>2023</v>
      </c>
      <c r="AA253" s="291">
        <v>12</v>
      </c>
      <c r="AB253" s="291">
        <v>5026003002</v>
      </c>
      <c r="AC253" s="291">
        <v>1160903005</v>
      </c>
      <c r="AD253" s="291">
        <v>0</v>
      </c>
      <c r="AE253" s="291">
        <v>0</v>
      </c>
      <c r="AF253" s="291">
        <v>1</v>
      </c>
      <c r="AG253" s="291">
        <v>1160605001</v>
      </c>
      <c r="AH253" s="291">
        <v>2492</v>
      </c>
      <c r="AI253" s="291" t="s">
        <v>497</v>
      </c>
      <c r="AJ253" s="308">
        <v>0.01</v>
      </c>
      <c r="AK253" s="309">
        <f t="shared" si="34"/>
        <v>233351.13</v>
      </c>
      <c r="AL253" s="309">
        <f t="shared" si="35"/>
        <v>233351.13</v>
      </c>
      <c r="AM253" s="309">
        <f t="shared" si="35"/>
        <v>233351.13</v>
      </c>
      <c r="AN253" s="309"/>
      <c r="AO253" s="309"/>
      <c r="AP253" s="309">
        <f t="shared" si="30"/>
        <v>0</v>
      </c>
      <c r="AQ253" s="309">
        <f t="shared" si="39"/>
        <v>0</v>
      </c>
      <c r="AR253" s="309">
        <f t="shared" si="39"/>
        <v>0</v>
      </c>
      <c r="AS253" s="309"/>
      <c r="AT253" s="309"/>
      <c r="AV253" s="311">
        <f t="shared" si="31"/>
        <v>22635059.610000003</v>
      </c>
      <c r="AW253" s="311">
        <f t="shared" si="32"/>
        <v>0</v>
      </c>
      <c r="AX253" s="312">
        <f t="shared" si="33"/>
        <v>0</v>
      </c>
    </row>
    <row r="254" spans="1:51">
      <c r="A254" s="291" t="s">
        <v>494</v>
      </c>
      <c r="B254" s="291"/>
      <c r="C254" s="291"/>
      <c r="D254" s="291">
        <v>1160505001</v>
      </c>
      <c r="E254" s="291">
        <v>0</v>
      </c>
      <c r="F254" s="291">
        <v>42441</v>
      </c>
      <c r="G254" s="306">
        <v>42904</v>
      </c>
      <c r="H254" s="306">
        <v>44730</v>
      </c>
      <c r="I254" s="291">
        <v>554</v>
      </c>
      <c r="J254" s="307">
        <v>2800000</v>
      </c>
      <c r="K254" s="307">
        <v>372085</v>
      </c>
      <c r="L254" s="307">
        <v>0</v>
      </c>
      <c r="M254" s="291" t="s">
        <v>495</v>
      </c>
      <c r="N254" s="307">
        <v>2800000</v>
      </c>
      <c r="O254" s="307">
        <v>372085</v>
      </c>
      <c r="P254" s="307">
        <v>775600</v>
      </c>
      <c r="Q254" s="291">
        <v>1</v>
      </c>
      <c r="R254" s="291" t="s">
        <v>496</v>
      </c>
      <c r="S254" s="291">
        <v>100</v>
      </c>
      <c r="T254" s="307">
        <v>2800000</v>
      </c>
      <c r="U254" s="307">
        <v>372085</v>
      </c>
      <c r="V254" s="291">
        <v>100</v>
      </c>
      <c r="W254" s="307">
        <v>11568319</v>
      </c>
      <c r="X254" s="291">
        <v>14</v>
      </c>
      <c r="Y254" s="291">
        <v>1160902010</v>
      </c>
      <c r="Z254" s="291">
        <v>2023</v>
      </c>
      <c r="AA254" s="291">
        <v>12</v>
      </c>
      <c r="AB254" s="291">
        <v>5026003002</v>
      </c>
      <c r="AC254" s="291">
        <v>1160903005</v>
      </c>
      <c r="AD254" s="291">
        <v>0</v>
      </c>
      <c r="AE254" s="291">
        <v>0</v>
      </c>
      <c r="AF254" s="291">
        <v>0</v>
      </c>
      <c r="AG254" s="291">
        <v>1160605001</v>
      </c>
      <c r="AH254" s="291">
        <v>554</v>
      </c>
      <c r="AI254" s="291" t="s">
        <v>498</v>
      </c>
      <c r="AJ254" s="308">
        <v>0.1</v>
      </c>
      <c r="AK254" s="309">
        <f t="shared" si="34"/>
        <v>280000</v>
      </c>
      <c r="AL254" s="309">
        <f t="shared" si="35"/>
        <v>280000</v>
      </c>
      <c r="AM254" s="309">
        <f t="shared" si="35"/>
        <v>280000</v>
      </c>
      <c r="AN254" s="309"/>
      <c r="AO254" s="309"/>
      <c r="AP254" s="309">
        <f t="shared" si="30"/>
        <v>18604.25</v>
      </c>
      <c r="AQ254" s="309">
        <f t="shared" si="39"/>
        <v>18604.25</v>
      </c>
      <c r="AR254" s="309">
        <f t="shared" si="39"/>
        <v>18604.25</v>
      </c>
      <c r="AS254" s="309"/>
      <c r="AT254" s="309"/>
      <c r="AV254" s="311">
        <f t="shared" si="31"/>
        <v>1960000</v>
      </c>
      <c r="AW254" s="311">
        <f t="shared" si="32"/>
        <v>316272.25</v>
      </c>
      <c r="AX254" s="312">
        <f t="shared" si="33"/>
        <v>0</v>
      </c>
    </row>
    <row r="255" spans="1:51">
      <c r="A255" s="291" t="s">
        <v>494</v>
      </c>
      <c r="B255" s="291"/>
      <c r="C255" s="291"/>
      <c r="D255" s="291">
        <v>1160505001</v>
      </c>
      <c r="E255" s="291">
        <v>0</v>
      </c>
      <c r="F255" s="291">
        <v>41708</v>
      </c>
      <c r="G255" s="306">
        <v>42810</v>
      </c>
      <c r="H255" s="306">
        <v>43906</v>
      </c>
      <c r="I255" s="291">
        <v>1366</v>
      </c>
      <c r="J255" s="307">
        <v>4000000</v>
      </c>
      <c r="K255" s="307">
        <v>598012</v>
      </c>
      <c r="L255" s="307">
        <v>0</v>
      </c>
      <c r="M255" s="291" t="s">
        <v>495</v>
      </c>
      <c r="N255" s="307">
        <v>4000000</v>
      </c>
      <c r="O255" s="307">
        <v>598012</v>
      </c>
      <c r="P255" s="307">
        <v>2732000</v>
      </c>
      <c r="Q255" s="291">
        <v>1</v>
      </c>
      <c r="R255" s="291" t="s">
        <v>496</v>
      </c>
      <c r="S255" s="291">
        <v>100</v>
      </c>
      <c r="T255" s="307">
        <v>4000000</v>
      </c>
      <c r="U255" s="307">
        <v>598012</v>
      </c>
      <c r="V255" s="291">
        <v>400</v>
      </c>
      <c r="W255" s="307">
        <v>3486484</v>
      </c>
      <c r="X255" s="291">
        <v>2</v>
      </c>
      <c r="Y255" s="291">
        <v>1160902010</v>
      </c>
      <c r="Z255" s="291">
        <v>2023</v>
      </c>
      <c r="AA255" s="291">
        <v>12</v>
      </c>
      <c r="AB255" s="291">
        <v>5026003002</v>
      </c>
      <c r="AC255" s="291">
        <v>1160903005</v>
      </c>
      <c r="AD255" s="291">
        <v>0</v>
      </c>
      <c r="AE255" s="291">
        <v>0</v>
      </c>
      <c r="AF255" s="291">
        <v>0</v>
      </c>
      <c r="AG255" s="291">
        <v>1160605001</v>
      </c>
      <c r="AH255" s="291">
        <v>1366</v>
      </c>
      <c r="AI255" s="291" t="s">
        <v>497</v>
      </c>
      <c r="AJ255" s="308">
        <v>0.01</v>
      </c>
      <c r="AK255" s="309">
        <f t="shared" si="34"/>
        <v>40000</v>
      </c>
      <c r="AL255" s="309">
        <f t="shared" si="35"/>
        <v>40000</v>
      </c>
      <c r="AM255" s="309">
        <f t="shared" si="35"/>
        <v>40000</v>
      </c>
      <c r="AN255" s="309"/>
      <c r="AO255" s="309"/>
      <c r="AP255" s="309">
        <f t="shared" si="30"/>
        <v>2990.06</v>
      </c>
      <c r="AQ255" s="309">
        <f t="shared" si="39"/>
        <v>2990.06</v>
      </c>
      <c r="AR255" s="309">
        <f t="shared" si="39"/>
        <v>2990.06</v>
      </c>
      <c r="AS255" s="309"/>
      <c r="AT255" s="309"/>
      <c r="AV255" s="311">
        <f t="shared" si="31"/>
        <v>3880000</v>
      </c>
      <c r="AW255" s="311">
        <f t="shared" si="32"/>
        <v>589041.81999999983</v>
      </c>
      <c r="AX255" s="312">
        <f t="shared" si="33"/>
        <v>0</v>
      </c>
    </row>
    <row r="256" spans="1:51">
      <c r="A256" s="291" t="s">
        <v>494</v>
      </c>
      <c r="B256" s="291"/>
      <c r="C256" s="291"/>
      <c r="D256" s="291">
        <v>1160505001</v>
      </c>
      <c r="E256" s="291">
        <v>0</v>
      </c>
      <c r="F256" s="291">
        <v>44409</v>
      </c>
      <c r="G256" s="306">
        <v>43223</v>
      </c>
      <c r="H256" s="306">
        <v>43954</v>
      </c>
      <c r="I256" s="291">
        <v>1319</v>
      </c>
      <c r="J256" s="307">
        <v>3400000</v>
      </c>
      <c r="K256" s="307">
        <v>0</v>
      </c>
      <c r="L256" s="307">
        <v>0</v>
      </c>
      <c r="M256" s="291" t="s">
        <v>495</v>
      </c>
      <c r="N256" s="307">
        <v>3400000</v>
      </c>
      <c r="O256" s="307">
        <v>0</v>
      </c>
      <c r="P256" s="307">
        <v>2242300</v>
      </c>
      <c r="Q256" s="291">
        <v>1</v>
      </c>
      <c r="R256" s="291" t="s">
        <v>496</v>
      </c>
      <c r="S256" s="291">
        <v>100</v>
      </c>
      <c r="T256" s="307">
        <v>3400000</v>
      </c>
      <c r="U256" s="307">
        <v>0</v>
      </c>
      <c r="V256" s="291">
        <v>200</v>
      </c>
      <c r="W256" s="307">
        <v>3965864</v>
      </c>
      <c r="X256" s="291">
        <v>15</v>
      </c>
      <c r="Y256" s="291">
        <v>1160902010</v>
      </c>
      <c r="Z256" s="291">
        <v>2023</v>
      </c>
      <c r="AA256" s="291">
        <v>12</v>
      </c>
      <c r="AB256" s="291">
        <v>5026003002</v>
      </c>
      <c r="AC256" s="291">
        <v>1160903005</v>
      </c>
      <c r="AD256" s="291">
        <v>0</v>
      </c>
      <c r="AE256" s="291">
        <v>0</v>
      </c>
      <c r="AF256" s="291">
        <v>0</v>
      </c>
      <c r="AG256" s="291">
        <v>1160605001</v>
      </c>
      <c r="AH256" s="291">
        <v>1319</v>
      </c>
      <c r="AI256" s="291" t="s">
        <v>497</v>
      </c>
      <c r="AJ256" s="308">
        <v>0.01</v>
      </c>
      <c r="AK256" s="309">
        <f t="shared" si="34"/>
        <v>34000</v>
      </c>
      <c r="AL256" s="309">
        <f t="shared" si="35"/>
        <v>34000</v>
      </c>
      <c r="AM256" s="309">
        <f t="shared" si="35"/>
        <v>34000</v>
      </c>
      <c r="AN256" s="309"/>
      <c r="AO256" s="309"/>
      <c r="AP256" s="309">
        <f t="shared" si="30"/>
        <v>0</v>
      </c>
      <c r="AQ256" s="309">
        <f t="shared" si="39"/>
        <v>0</v>
      </c>
      <c r="AR256" s="309">
        <f t="shared" si="39"/>
        <v>0</v>
      </c>
      <c r="AS256" s="309"/>
      <c r="AT256" s="309"/>
      <c r="AV256" s="311">
        <f t="shared" si="31"/>
        <v>3298000</v>
      </c>
      <c r="AW256" s="311">
        <f t="shared" si="32"/>
        <v>0</v>
      </c>
      <c r="AX256" s="312">
        <f t="shared" si="33"/>
        <v>0</v>
      </c>
    </row>
    <row r="257" spans="1:50">
      <c r="A257" s="291" t="s">
        <v>494</v>
      </c>
      <c r="B257" s="291"/>
      <c r="C257" s="291"/>
      <c r="D257" s="291">
        <v>1160505001</v>
      </c>
      <c r="E257" s="291">
        <v>0</v>
      </c>
      <c r="F257" s="291">
        <v>43919</v>
      </c>
      <c r="G257" s="306">
        <v>43163</v>
      </c>
      <c r="H257" s="306">
        <v>44989</v>
      </c>
      <c r="I257" s="291">
        <v>298</v>
      </c>
      <c r="J257" s="307">
        <v>1000000</v>
      </c>
      <c r="K257" s="307">
        <v>900000</v>
      </c>
      <c r="L257" s="307">
        <v>0</v>
      </c>
      <c r="M257" s="291" t="s">
        <v>495</v>
      </c>
      <c r="N257" s="307">
        <v>1000000</v>
      </c>
      <c r="O257" s="307">
        <v>900000</v>
      </c>
      <c r="P257" s="307">
        <v>149000</v>
      </c>
      <c r="Q257" s="291">
        <v>1</v>
      </c>
      <c r="R257" s="291" t="s">
        <v>496</v>
      </c>
      <c r="S257" s="291">
        <v>100</v>
      </c>
      <c r="T257" s="307">
        <v>1000000</v>
      </c>
      <c r="U257" s="307">
        <v>900000</v>
      </c>
      <c r="V257" s="291">
        <v>100</v>
      </c>
      <c r="W257" s="307">
        <v>768552</v>
      </c>
      <c r="X257" s="291">
        <v>14</v>
      </c>
      <c r="Y257" s="291">
        <v>1160902010</v>
      </c>
      <c r="Z257" s="291">
        <v>2023</v>
      </c>
      <c r="AA257" s="291">
        <v>12</v>
      </c>
      <c r="AB257" s="291">
        <v>5026003002</v>
      </c>
      <c r="AC257" s="291">
        <v>1160903005</v>
      </c>
      <c r="AD257" s="291">
        <v>0</v>
      </c>
      <c r="AE257" s="291">
        <v>0</v>
      </c>
      <c r="AF257" s="291">
        <v>0</v>
      </c>
      <c r="AG257" s="291">
        <v>1160605001</v>
      </c>
      <c r="AH257" s="291">
        <v>1370</v>
      </c>
      <c r="AI257" s="291" t="s">
        <v>497</v>
      </c>
      <c r="AJ257" s="308">
        <v>0.01</v>
      </c>
      <c r="AK257" s="309">
        <f t="shared" si="34"/>
        <v>10000</v>
      </c>
      <c r="AL257" s="309">
        <f t="shared" si="35"/>
        <v>10000</v>
      </c>
      <c r="AM257" s="309">
        <f t="shared" si="35"/>
        <v>10000</v>
      </c>
      <c r="AN257" s="309"/>
      <c r="AO257" s="309"/>
      <c r="AP257" s="309">
        <f t="shared" si="30"/>
        <v>4500</v>
      </c>
      <c r="AQ257" s="309">
        <f t="shared" si="39"/>
        <v>4500</v>
      </c>
      <c r="AR257" s="309">
        <f t="shared" si="39"/>
        <v>4500</v>
      </c>
      <c r="AS257" s="309"/>
      <c r="AT257" s="309"/>
      <c r="AV257" s="311">
        <f t="shared" si="31"/>
        <v>970000</v>
      </c>
      <c r="AW257" s="311">
        <f t="shared" si="32"/>
        <v>886500</v>
      </c>
      <c r="AX257" s="312">
        <f t="shared" si="33"/>
        <v>0</v>
      </c>
    </row>
    <row r="258" spans="1:50">
      <c r="A258" s="291" t="s">
        <v>494</v>
      </c>
      <c r="B258" s="291"/>
      <c r="C258" s="291"/>
      <c r="D258" s="291">
        <v>1160505001</v>
      </c>
      <c r="E258" s="291">
        <v>0</v>
      </c>
      <c r="F258" s="291">
        <v>43983</v>
      </c>
      <c r="G258" s="306">
        <v>43171</v>
      </c>
      <c r="H258" s="306">
        <v>43902</v>
      </c>
      <c r="I258" s="291">
        <v>1370</v>
      </c>
      <c r="J258" s="307">
        <v>1000000</v>
      </c>
      <c r="K258" s="307">
        <v>360000</v>
      </c>
      <c r="L258" s="307">
        <v>0</v>
      </c>
      <c r="M258" s="291" t="s">
        <v>495</v>
      </c>
      <c r="N258" s="307">
        <v>1000000</v>
      </c>
      <c r="O258" s="307">
        <v>360000</v>
      </c>
      <c r="P258" s="307">
        <v>685000</v>
      </c>
      <c r="Q258" s="291">
        <v>1</v>
      </c>
      <c r="R258" s="291" t="s">
        <v>496</v>
      </c>
      <c r="S258" s="291">
        <v>100</v>
      </c>
      <c r="T258" s="307">
        <v>1000000</v>
      </c>
      <c r="U258" s="307">
        <v>360000</v>
      </c>
      <c r="V258" s="291">
        <v>100</v>
      </c>
      <c r="W258" s="307">
        <v>768552</v>
      </c>
      <c r="X258" s="291">
        <v>14</v>
      </c>
      <c r="Y258" s="291">
        <v>1160902010</v>
      </c>
      <c r="Z258" s="291">
        <v>2023</v>
      </c>
      <c r="AA258" s="291">
        <v>12</v>
      </c>
      <c r="AB258" s="291">
        <v>5026003002</v>
      </c>
      <c r="AC258" s="291">
        <v>1160903005</v>
      </c>
      <c r="AD258" s="291">
        <v>0</v>
      </c>
      <c r="AE258" s="291">
        <v>0</v>
      </c>
      <c r="AF258" s="291">
        <v>0</v>
      </c>
      <c r="AG258" s="291">
        <v>1160605001</v>
      </c>
      <c r="AH258" s="291">
        <v>1370</v>
      </c>
      <c r="AI258" s="291" t="s">
        <v>497</v>
      </c>
      <c r="AJ258" s="308">
        <v>0.01</v>
      </c>
      <c r="AK258" s="309">
        <f t="shared" si="34"/>
        <v>10000</v>
      </c>
      <c r="AL258" s="309">
        <f t="shared" si="35"/>
        <v>10000</v>
      </c>
      <c r="AM258" s="309">
        <f t="shared" si="35"/>
        <v>10000</v>
      </c>
      <c r="AN258" s="309"/>
      <c r="AO258" s="309"/>
      <c r="AP258" s="309">
        <f t="shared" si="30"/>
        <v>1800</v>
      </c>
      <c r="AQ258" s="309">
        <f t="shared" si="39"/>
        <v>1800</v>
      </c>
      <c r="AR258" s="309">
        <f t="shared" si="39"/>
        <v>1800</v>
      </c>
      <c r="AS258" s="309"/>
      <c r="AT258" s="309"/>
      <c r="AV258" s="311">
        <f t="shared" si="31"/>
        <v>970000</v>
      </c>
      <c r="AW258" s="311">
        <f t="shared" si="32"/>
        <v>354600</v>
      </c>
      <c r="AX258" s="312">
        <f t="shared" si="33"/>
        <v>0</v>
      </c>
    </row>
    <row r="259" spans="1:50">
      <c r="A259" s="291" t="s">
        <v>494</v>
      </c>
      <c r="B259" s="291"/>
      <c r="C259" s="291"/>
      <c r="D259" s="291">
        <v>1160505001</v>
      </c>
      <c r="E259" s="291">
        <v>0</v>
      </c>
      <c r="F259" s="291">
        <v>42602</v>
      </c>
      <c r="G259" s="306">
        <v>42932</v>
      </c>
      <c r="H259" s="306">
        <v>44758</v>
      </c>
      <c r="I259" s="291">
        <v>526</v>
      </c>
      <c r="J259" s="307">
        <v>4000000</v>
      </c>
      <c r="K259" s="307">
        <v>1604097</v>
      </c>
      <c r="L259" s="307">
        <v>0</v>
      </c>
      <c r="M259" s="291" t="s">
        <v>495</v>
      </c>
      <c r="N259" s="307">
        <v>4000000</v>
      </c>
      <c r="O259" s="307">
        <v>1604097</v>
      </c>
      <c r="P259" s="307">
        <v>1052000</v>
      </c>
      <c r="Q259" s="291">
        <v>1</v>
      </c>
      <c r="R259" s="291" t="s">
        <v>496</v>
      </c>
      <c r="S259" s="291">
        <v>100</v>
      </c>
      <c r="T259" s="307">
        <v>4000000</v>
      </c>
      <c r="U259" s="307">
        <v>1604097</v>
      </c>
      <c r="V259" s="291">
        <v>100</v>
      </c>
      <c r="W259" s="307">
        <v>4016600</v>
      </c>
      <c r="X259" s="291">
        <v>14</v>
      </c>
      <c r="Y259" s="291">
        <v>1160902010</v>
      </c>
      <c r="Z259" s="291">
        <v>2023</v>
      </c>
      <c r="AA259" s="291">
        <v>12</v>
      </c>
      <c r="AB259" s="291">
        <v>5026003002</v>
      </c>
      <c r="AC259" s="291">
        <v>1160903005</v>
      </c>
      <c r="AD259" s="291">
        <v>0</v>
      </c>
      <c r="AE259" s="291">
        <v>0</v>
      </c>
      <c r="AF259" s="291">
        <v>0</v>
      </c>
      <c r="AG259" s="291">
        <v>1160605001</v>
      </c>
      <c r="AH259" s="291">
        <v>526</v>
      </c>
      <c r="AI259" s="291" t="s">
        <v>498</v>
      </c>
      <c r="AJ259" s="308">
        <v>0.1</v>
      </c>
      <c r="AK259" s="309">
        <f t="shared" si="34"/>
        <v>400000</v>
      </c>
      <c r="AL259" s="309">
        <f t="shared" si="35"/>
        <v>400000</v>
      </c>
      <c r="AM259" s="309">
        <f t="shared" si="35"/>
        <v>400000</v>
      </c>
      <c r="AN259" s="309"/>
      <c r="AO259" s="309"/>
      <c r="AP259" s="309">
        <f t="shared" si="30"/>
        <v>80204.850000000006</v>
      </c>
      <c r="AQ259" s="309">
        <f t="shared" si="39"/>
        <v>80204.850000000006</v>
      </c>
      <c r="AR259" s="309">
        <f t="shared" si="39"/>
        <v>80204.850000000006</v>
      </c>
      <c r="AS259" s="309"/>
      <c r="AT259" s="309"/>
      <c r="AV259" s="311">
        <f t="shared" si="31"/>
        <v>2800000</v>
      </c>
      <c r="AW259" s="311">
        <f t="shared" si="32"/>
        <v>1363482.4499999997</v>
      </c>
      <c r="AX259" s="312">
        <f t="shared" si="33"/>
        <v>0</v>
      </c>
    </row>
    <row r="260" spans="1:50">
      <c r="A260" s="291" t="s">
        <v>494</v>
      </c>
      <c r="B260" s="291"/>
      <c r="C260" s="291"/>
      <c r="D260" s="291">
        <v>1160505002</v>
      </c>
      <c r="E260" s="291">
        <v>0</v>
      </c>
      <c r="F260" s="291">
        <v>46285</v>
      </c>
      <c r="G260" s="306">
        <v>43528</v>
      </c>
      <c r="H260" s="306">
        <v>43894</v>
      </c>
      <c r="I260" s="291">
        <v>1378</v>
      </c>
      <c r="J260" s="307">
        <v>697120</v>
      </c>
      <c r="K260" s="307">
        <v>37411</v>
      </c>
      <c r="L260" s="307">
        <v>0</v>
      </c>
      <c r="M260" s="291" t="s">
        <v>495</v>
      </c>
      <c r="N260" s="307">
        <v>697120</v>
      </c>
      <c r="O260" s="307">
        <v>37411</v>
      </c>
      <c r="P260" s="307">
        <v>480316</v>
      </c>
      <c r="Q260" s="291">
        <v>1</v>
      </c>
      <c r="R260" s="291" t="s">
        <v>496</v>
      </c>
      <c r="S260" s="291">
        <v>100</v>
      </c>
      <c r="T260" s="307">
        <v>697120</v>
      </c>
      <c r="U260" s="307">
        <v>37411</v>
      </c>
      <c r="V260" s="291">
        <v>100</v>
      </c>
      <c r="W260" s="307">
        <v>7751750</v>
      </c>
      <c r="X260" s="291">
        <v>6</v>
      </c>
      <c r="Y260" s="291">
        <v>1160902010</v>
      </c>
      <c r="Z260" s="291">
        <v>2023</v>
      </c>
      <c r="AA260" s="291">
        <v>12</v>
      </c>
      <c r="AB260" s="291">
        <v>5026003002</v>
      </c>
      <c r="AC260" s="291">
        <v>1160903005</v>
      </c>
      <c r="AD260" s="291">
        <v>0</v>
      </c>
      <c r="AE260" s="291">
        <v>0</v>
      </c>
      <c r="AF260" s="291">
        <v>0</v>
      </c>
      <c r="AG260" s="291">
        <v>1160605001</v>
      </c>
      <c r="AH260" s="291">
        <v>1378</v>
      </c>
      <c r="AI260" s="291" t="s">
        <v>497</v>
      </c>
      <c r="AJ260" s="308">
        <v>0.01</v>
      </c>
      <c r="AK260" s="309">
        <f t="shared" si="34"/>
        <v>6971.2</v>
      </c>
      <c r="AL260" s="309">
        <f t="shared" si="35"/>
        <v>6971.2</v>
      </c>
      <c r="AM260" s="309">
        <f t="shared" si="35"/>
        <v>6971.2</v>
      </c>
      <c r="AN260" s="309"/>
      <c r="AO260" s="309"/>
      <c r="AP260" s="309">
        <f t="shared" si="30"/>
        <v>187.05500000000001</v>
      </c>
      <c r="AQ260" s="309">
        <f t="shared" si="39"/>
        <v>187.05500000000001</v>
      </c>
      <c r="AR260" s="309">
        <f t="shared" si="39"/>
        <v>187.05500000000001</v>
      </c>
      <c r="AS260" s="309"/>
      <c r="AT260" s="309"/>
      <c r="AV260" s="311">
        <f t="shared" si="31"/>
        <v>676206.40000000014</v>
      </c>
      <c r="AW260" s="311">
        <f t="shared" si="32"/>
        <v>36849.834999999999</v>
      </c>
      <c r="AX260" s="312">
        <f t="shared" si="33"/>
        <v>0</v>
      </c>
    </row>
    <row r="261" spans="1:50">
      <c r="A261" s="291" t="s">
        <v>494</v>
      </c>
      <c r="B261" s="291"/>
      <c r="C261" s="291"/>
      <c r="D261" s="291">
        <v>1160505001</v>
      </c>
      <c r="E261" s="291">
        <v>0</v>
      </c>
      <c r="F261" s="291">
        <v>46717</v>
      </c>
      <c r="G261" s="306">
        <v>43598</v>
      </c>
      <c r="H261" s="306">
        <v>44694</v>
      </c>
      <c r="I261" s="291">
        <v>589</v>
      </c>
      <c r="J261" s="307">
        <v>5000000</v>
      </c>
      <c r="K261" s="307">
        <v>2250000</v>
      </c>
      <c r="L261" s="307">
        <v>0</v>
      </c>
      <c r="M261" s="291" t="s">
        <v>495</v>
      </c>
      <c r="N261" s="307">
        <v>5000000</v>
      </c>
      <c r="O261" s="307">
        <v>2250000</v>
      </c>
      <c r="P261" s="307">
        <v>1472500</v>
      </c>
      <c r="Q261" s="291">
        <v>1</v>
      </c>
      <c r="R261" s="291" t="s">
        <v>496</v>
      </c>
      <c r="S261" s="291">
        <v>100</v>
      </c>
      <c r="T261" s="307">
        <v>5000000</v>
      </c>
      <c r="U261" s="307">
        <v>2250000</v>
      </c>
      <c r="V261" s="291">
        <v>100</v>
      </c>
      <c r="W261" s="307">
        <v>7751750</v>
      </c>
      <c r="X261" s="291">
        <v>15</v>
      </c>
      <c r="Y261" s="291">
        <v>1160902010</v>
      </c>
      <c r="Z261" s="291">
        <v>2023</v>
      </c>
      <c r="AA261" s="291">
        <v>12</v>
      </c>
      <c r="AB261" s="291">
        <v>5026003002</v>
      </c>
      <c r="AC261" s="291">
        <v>1160903005</v>
      </c>
      <c r="AD261" s="291">
        <v>0</v>
      </c>
      <c r="AE261" s="291">
        <v>0</v>
      </c>
      <c r="AF261" s="291">
        <v>0</v>
      </c>
      <c r="AG261" s="291">
        <v>1160605001</v>
      </c>
      <c r="AH261" s="291">
        <v>1378</v>
      </c>
      <c r="AI261" s="291" t="s">
        <v>497</v>
      </c>
      <c r="AJ261" s="308">
        <v>0.01</v>
      </c>
      <c r="AK261" s="309">
        <f t="shared" si="34"/>
        <v>50000</v>
      </c>
      <c r="AL261" s="309">
        <f t="shared" si="35"/>
        <v>50000</v>
      </c>
      <c r="AM261" s="309">
        <f t="shared" si="35"/>
        <v>50000</v>
      </c>
      <c r="AN261" s="309"/>
      <c r="AO261" s="309"/>
      <c r="AP261" s="309">
        <f t="shared" si="30"/>
        <v>11250</v>
      </c>
      <c r="AQ261" s="309">
        <f t="shared" si="39"/>
        <v>11250</v>
      </c>
      <c r="AR261" s="309">
        <f t="shared" si="39"/>
        <v>11250</v>
      </c>
      <c r="AS261" s="309"/>
      <c r="AT261" s="309"/>
      <c r="AV261" s="311">
        <f t="shared" si="31"/>
        <v>4850000</v>
      </c>
      <c r="AW261" s="311">
        <f t="shared" si="32"/>
        <v>2216250</v>
      </c>
      <c r="AX261" s="312">
        <f t="shared" si="33"/>
        <v>0</v>
      </c>
    </row>
    <row r="262" spans="1:50">
      <c r="A262" s="291" t="s">
        <v>494</v>
      </c>
      <c r="B262" s="291"/>
      <c r="C262" s="291"/>
      <c r="D262" s="291">
        <v>1160505004</v>
      </c>
      <c r="E262" s="291">
        <v>46148</v>
      </c>
      <c r="F262" s="291">
        <v>46159</v>
      </c>
      <c r="G262" s="306">
        <v>43518</v>
      </c>
      <c r="H262" s="306">
        <v>44614</v>
      </c>
      <c r="I262" s="291">
        <v>670</v>
      </c>
      <c r="J262" s="307">
        <v>12463701</v>
      </c>
      <c r="K262" s="307">
        <v>0</v>
      </c>
      <c r="L262" s="307">
        <v>0</v>
      </c>
      <c r="M262" s="291" t="s">
        <v>495</v>
      </c>
      <c r="N262" s="307">
        <v>12463701</v>
      </c>
      <c r="O262" s="307">
        <v>0</v>
      </c>
      <c r="P262" s="307">
        <v>4175340</v>
      </c>
      <c r="Q262" s="291">
        <v>1</v>
      </c>
      <c r="R262" s="291" t="s">
        <v>496</v>
      </c>
      <c r="S262" s="291">
        <v>100</v>
      </c>
      <c r="T262" s="307">
        <v>12463701</v>
      </c>
      <c r="U262" s="307">
        <v>0</v>
      </c>
      <c r="V262" s="291">
        <v>100</v>
      </c>
      <c r="W262" s="307">
        <v>7499790</v>
      </c>
      <c r="X262" s="291">
        <v>5</v>
      </c>
      <c r="Y262" s="291">
        <v>1160902010</v>
      </c>
      <c r="Z262" s="291">
        <v>2023</v>
      </c>
      <c r="AA262" s="291">
        <v>12</v>
      </c>
      <c r="AB262" s="291">
        <v>5026003002</v>
      </c>
      <c r="AC262" s="291">
        <v>1160903005</v>
      </c>
      <c r="AD262" s="291">
        <v>0</v>
      </c>
      <c r="AE262" s="291">
        <v>0</v>
      </c>
      <c r="AF262" s="291">
        <v>0</v>
      </c>
      <c r="AG262" s="291">
        <v>1160605001</v>
      </c>
      <c r="AH262" s="291">
        <v>670</v>
      </c>
      <c r="AI262" s="291" t="s">
        <v>498</v>
      </c>
      <c r="AJ262" s="308">
        <v>0.1</v>
      </c>
      <c r="AK262" s="309">
        <f t="shared" si="34"/>
        <v>1246370.1000000001</v>
      </c>
      <c r="AL262" s="309">
        <f t="shared" si="35"/>
        <v>1246370.1000000001</v>
      </c>
      <c r="AM262" s="309">
        <f t="shared" si="35"/>
        <v>1246370.1000000001</v>
      </c>
      <c r="AN262" s="309"/>
      <c r="AO262" s="309"/>
      <c r="AP262" s="309">
        <f t="shared" ref="AP262:AP325" si="40">+K262*(AJ262/2)</f>
        <v>0</v>
      </c>
      <c r="AQ262" s="309">
        <f t="shared" si="39"/>
        <v>0</v>
      </c>
      <c r="AR262" s="309">
        <f t="shared" si="39"/>
        <v>0</v>
      </c>
      <c r="AS262" s="309"/>
      <c r="AT262" s="309"/>
      <c r="AV262" s="311">
        <f t="shared" ref="AV262:AV325" si="41">J262-AK262-AL262-AM262</f>
        <v>8724590.7000000011</v>
      </c>
      <c r="AW262" s="311">
        <f t="shared" ref="AW262:AW325" si="42">+K262-AP262-AQ262-AR262</f>
        <v>0</v>
      </c>
      <c r="AX262" s="312">
        <f t="shared" ref="AX262:AX325" si="43">+J262-N262</f>
        <v>0</v>
      </c>
    </row>
    <row r="263" spans="1:50">
      <c r="A263" s="291" t="s">
        <v>494</v>
      </c>
      <c r="B263" s="291"/>
      <c r="C263" s="291"/>
      <c r="D263" s="291">
        <v>1160504001</v>
      </c>
      <c r="E263" s="291">
        <v>0</v>
      </c>
      <c r="F263" s="291">
        <v>43608</v>
      </c>
      <c r="G263" s="306">
        <v>43142</v>
      </c>
      <c r="H263" s="306">
        <v>44968</v>
      </c>
      <c r="I263" s="291">
        <v>321</v>
      </c>
      <c r="J263" s="307">
        <v>2000000</v>
      </c>
      <c r="K263" s="307">
        <v>255000</v>
      </c>
      <c r="L263" s="307">
        <v>0</v>
      </c>
      <c r="M263" s="291" t="s">
        <v>495</v>
      </c>
      <c r="N263" s="307">
        <v>2000000</v>
      </c>
      <c r="O263" s="307">
        <v>255000</v>
      </c>
      <c r="P263" s="307">
        <v>321000</v>
      </c>
      <c r="Q263" s="291">
        <v>1</v>
      </c>
      <c r="R263" s="291" t="s">
        <v>501</v>
      </c>
      <c r="S263" s="291">
        <v>100</v>
      </c>
      <c r="T263" s="307">
        <v>2000000</v>
      </c>
      <c r="U263" s="307">
        <v>255000</v>
      </c>
      <c r="V263" s="291">
        <v>100</v>
      </c>
      <c r="W263" s="307">
        <v>7079712</v>
      </c>
      <c r="X263" s="291">
        <v>14</v>
      </c>
      <c r="Y263" s="291">
        <v>1160902008</v>
      </c>
      <c r="Z263" s="291">
        <v>2023</v>
      </c>
      <c r="AA263" s="291">
        <v>12</v>
      </c>
      <c r="AB263" s="291">
        <v>5026003002</v>
      </c>
      <c r="AC263" s="291">
        <v>1160903004</v>
      </c>
      <c r="AD263" s="291">
        <v>0</v>
      </c>
      <c r="AE263" s="291">
        <v>0</v>
      </c>
      <c r="AF263" s="291">
        <v>0</v>
      </c>
      <c r="AG263" s="291">
        <v>1160604001</v>
      </c>
      <c r="AH263" s="291">
        <v>321</v>
      </c>
      <c r="AI263" s="291" t="s">
        <v>500</v>
      </c>
      <c r="AJ263" s="308">
        <v>0.3</v>
      </c>
      <c r="AK263" s="309">
        <f t="shared" ref="AK263:AK326" si="44">+$J263*$AJ263</f>
        <v>600000</v>
      </c>
      <c r="AL263" s="309">
        <f t="shared" ref="AL263:AM326" si="45">IF(($J263-$AK263)&gt;0,$J263*$AJ263,0)</f>
        <v>600000</v>
      </c>
      <c r="AM263" s="309">
        <f t="shared" si="45"/>
        <v>600000</v>
      </c>
      <c r="AN263" s="309"/>
      <c r="AO263" s="309"/>
      <c r="AP263" s="309">
        <f t="shared" si="40"/>
        <v>38250</v>
      </c>
      <c r="AQ263" s="309">
        <f t="shared" ref="AQ263:AR278" si="46">AP263</f>
        <v>38250</v>
      </c>
      <c r="AR263" s="309">
        <f t="shared" si="46"/>
        <v>38250</v>
      </c>
      <c r="AS263" s="309"/>
      <c r="AT263" s="309"/>
      <c r="AV263" s="311">
        <f t="shared" si="41"/>
        <v>200000</v>
      </c>
      <c r="AW263" s="311">
        <f t="shared" si="42"/>
        <v>140250</v>
      </c>
      <c r="AX263" s="312">
        <f t="shared" si="43"/>
        <v>0</v>
      </c>
    </row>
    <row r="264" spans="1:50">
      <c r="A264" s="291" t="s">
        <v>494</v>
      </c>
      <c r="B264" s="291"/>
      <c r="C264" s="291"/>
      <c r="D264" s="291">
        <v>1160504001</v>
      </c>
      <c r="E264" s="291">
        <v>0</v>
      </c>
      <c r="F264" s="291">
        <v>44604</v>
      </c>
      <c r="G264" s="306">
        <v>43248</v>
      </c>
      <c r="H264" s="306">
        <v>45074</v>
      </c>
      <c r="I264" s="291">
        <v>214</v>
      </c>
      <c r="J264" s="307">
        <v>8000000</v>
      </c>
      <c r="K264" s="307">
        <v>4800000</v>
      </c>
      <c r="L264" s="307">
        <v>0</v>
      </c>
      <c r="M264" s="291" t="s">
        <v>495</v>
      </c>
      <c r="N264" s="307">
        <v>8000000</v>
      </c>
      <c r="O264" s="307">
        <v>4800000</v>
      </c>
      <c r="P264" s="307">
        <v>856000</v>
      </c>
      <c r="Q264" s="291">
        <v>1</v>
      </c>
      <c r="R264" s="291" t="s">
        <v>501</v>
      </c>
      <c r="S264" s="291">
        <v>100</v>
      </c>
      <c r="T264" s="307">
        <v>8000000</v>
      </c>
      <c r="U264" s="307">
        <v>4800000</v>
      </c>
      <c r="V264" s="291">
        <v>100</v>
      </c>
      <c r="W264" s="307">
        <v>2681165</v>
      </c>
      <c r="X264" s="291">
        <v>2</v>
      </c>
      <c r="Y264" s="291">
        <v>1160902008</v>
      </c>
      <c r="Z264" s="291">
        <v>2023</v>
      </c>
      <c r="AA264" s="291">
        <v>12</v>
      </c>
      <c r="AB264" s="291">
        <v>5026003002</v>
      </c>
      <c r="AC264" s="291">
        <v>1160903004</v>
      </c>
      <c r="AD264" s="291">
        <v>0</v>
      </c>
      <c r="AE264" s="291">
        <v>0</v>
      </c>
      <c r="AF264" s="291">
        <v>0</v>
      </c>
      <c r="AG264" s="291">
        <v>1160604001</v>
      </c>
      <c r="AH264" s="291">
        <v>214</v>
      </c>
      <c r="AI264" s="291" t="s">
        <v>500</v>
      </c>
      <c r="AJ264" s="308">
        <v>0.3</v>
      </c>
      <c r="AK264" s="309">
        <f t="shared" si="44"/>
        <v>2400000</v>
      </c>
      <c r="AL264" s="309">
        <f t="shared" si="45"/>
        <v>2400000</v>
      </c>
      <c r="AM264" s="309">
        <f t="shared" si="45"/>
        <v>2400000</v>
      </c>
      <c r="AN264" s="309"/>
      <c r="AO264" s="309"/>
      <c r="AP264" s="309">
        <f t="shared" si="40"/>
        <v>720000</v>
      </c>
      <c r="AQ264" s="309">
        <f t="shared" si="46"/>
        <v>720000</v>
      </c>
      <c r="AR264" s="309">
        <f t="shared" si="46"/>
        <v>720000</v>
      </c>
      <c r="AS264" s="309"/>
      <c r="AT264" s="309"/>
      <c r="AV264" s="311">
        <f t="shared" si="41"/>
        <v>800000</v>
      </c>
      <c r="AW264" s="311">
        <f t="shared" si="42"/>
        <v>2640000</v>
      </c>
      <c r="AX264" s="312">
        <f t="shared" si="43"/>
        <v>0</v>
      </c>
    </row>
    <row r="265" spans="1:50">
      <c r="A265" s="291" t="s">
        <v>494</v>
      </c>
      <c r="B265" s="291"/>
      <c r="C265" s="291"/>
      <c r="D265" s="291">
        <v>1160505001</v>
      </c>
      <c r="E265" s="291">
        <v>0</v>
      </c>
      <c r="F265" s="291">
        <v>46831</v>
      </c>
      <c r="G265" s="306">
        <v>43618</v>
      </c>
      <c r="H265" s="306">
        <v>44714</v>
      </c>
      <c r="I265" s="291">
        <v>570</v>
      </c>
      <c r="J265" s="307">
        <v>35000000</v>
      </c>
      <c r="K265" s="307">
        <v>9450000</v>
      </c>
      <c r="L265" s="307">
        <v>0</v>
      </c>
      <c r="M265" s="291" t="s">
        <v>495</v>
      </c>
      <c r="N265" s="307">
        <v>35000000</v>
      </c>
      <c r="O265" s="307">
        <v>9450000</v>
      </c>
      <c r="P265" s="307">
        <v>9975000</v>
      </c>
      <c r="Q265" s="291">
        <v>1</v>
      </c>
      <c r="R265" s="291" t="s">
        <v>496</v>
      </c>
      <c r="S265" s="291">
        <v>100</v>
      </c>
      <c r="T265" s="307">
        <v>35000000</v>
      </c>
      <c r="U265" s="307">
        <v>9450000</v>
      </c>
      <c r="V265" s="291">
        <v>100</v>
      </c>
      <c r="W265" s="307">
        <v>13782672</v>
      </c>
      <c r="X265" s="291">
        <v>2</v>
      </c>
      <c r="Y265" s="291">
        <v>1160902010</v>
      </c>
      <c r="Z265" s="291">
        <v>2023</v>
      </c>
      <c r="AA265" s="291">
        <v>12</v>
      </c>
      <c r="AB265" s="291">
        <v>5026003002</v>
      </c>
      <c r="AC265" s="291">
        <v>1160903005</v>
      </c>
      <c r="AD265" s="291">
        <v>0</v>
      </c>
      <c r="AE265" s="291">
        <v>0</v>
      </c>
      <c r="AF265" s="291">
        <v>0</v>
      </c>
      <c r="AG265" s="291">
        <v>1160605001</v>
      </c>
      <c r="AH265" s="291">
        <v>570</v>
      </c>
      <c r="AI265" s="291" t="s">
        <v>498</v>
      </c>
      <c r="AJ265" s="308">
        <v>0.1</v>
      </c>
      <c r="AK265" s="309">
        <f t="shared" si="44"/>
        <v>3500000</v>
      </c>
      <c r="AL265" s="309">
        <f t="shared" si="45"/>
        <v>3500000</v>
      </c>
      <c r="AM265" s="309">
        <f t="shared" si="45"/>
        <v>3500000</v>
      </c>
      <c r="AN265" s="309"/>
      <c r="AO265" s="309"/>
      <c r="AP265" s="309">
        <f t="shared" si="40"/>
        <v>472500</v>
      </c>
      <c r="AQ265" s="309">
        <f t="shared" si="46"/>
        <v>472500</v>
      </c>
      <c r="AR265" s="309">
        <f t="shared" si="46"/>
        <v>472500</v>
      </c>
      <c r="AS265" s="309"/>
      <c r="AT265" s="309"/>
      <c r="AV265" s="311">
        <f t="shared" si="41"/>
        <v>24500000</v>
      </c>
      <c r="AW265" s="311">
        <f t="shared" si="42"/>
        <v>8032500</v>
      </c>
      <c r="AX265" s="312">
        <f t="shared" si="43"/>
        <v>0</v>
      </c>
    </row>
    <row r="266" spans="1:50">
      <c r="A266" s="291" t="s">
        <v>494</v>
      </c>
      <c r="B266" s="291"/>
      <c r="C266" s="291"/>
      <c r="D266" s="291">
        <v>1160505001</v>
      </c>
      <c r="E266" s="291">
        <v>0</v>
      </c>
      <c r="F266" s="291">
        <v>46707</v>
      </c>
      <c r="G266" s="306">
        <v>43597</v>
      </c>
      <c r="H266" s="306">
        <v>44328</v>
      </c>
      <c r="I266" s="291">
        <v>950</v>
      </c>
      <c r="J266" s="307">
        <v>4495150</v>
      </c>
      <c r="K266" s="307">
        <v>295185</v>
      </c>
      <c r="L266" s="307">
        <v>0</v>
      </c>
      <c r="M266" s="291" t="s">
        <v>495</v>
      </c>
      <c r="N266" s="307">
        <v>4495150</v>
      </c>
      <c r="O266" s="307">
        <v>295185</v>
      </c>
      <c r="P266" s="307">
        <v>2135196</v>
      </c>
      <c r="Q266" s="291">
        <v>1</v>
      </c>
      <c r="R266" s="291" t="s">
        <v>496</v>
      </c>
      <c r="S266" s="291">
        <v>100</v>
      </c>
      <c r="T266" s="307">
        <v>4495150</v>
      </c>
      <c r="U266" s="307">
        <v>295185</v>
      </c>
      <c r="V266" s="291">
        <v>500</v>
      </c>
      <c r="W266" s="307">
        <v>7656011</v>
      </c>
      <c r="X266" s="291">
        <v>14</v>
      </c>
      <c r="Y266" s="291">
        <v>1160902010</v>
      </c>
      <c r="Z266" s="291">
        <v>2023</v>
      </c>
      <c r="AA266" s="291">
        <v>12</v>
      </c>
      <c r="AB266" s="291">
        <v>5026003002</v>
      </c>
      <c r="AC266" s="291">
        <v>1160903005</v>
      </c>
      <c r="AD266" s="291">
        <v>0</v>
      </c>
      <c r="AE266" s="291">
        <v>0</v>
      </c>
      <c r="AF266" s="291">
        <v>0</v>
      </c>
      <c r="AG266" s="291">
        <v>1160605001</v>
      </c>
      <c r="AH266" s="291">
        <v>950</v>
      </c>
      <c r="AI266" s="291" t="s">
        <v>499</v>
      </c>
      <c r="AJ266" s="308">
        <v>0.05</v>
      </c>
      <c r="AK266" s="309">
        <f t="shared" si="44"/>
        <v>224757.5</v>
      </c>
      <c r="AL266" s="309">
        <f t="shared" si="45"/>
        <v>224757.5</v>
      </c>
      <c r="AM266" s="309">
        <f t="shared" si="45"/>
        <v>224757.5</v>
      </c>
      <c r="AN266" s="309"/>
      <c r="AO266" s="309"/>
      <c r="AP266" s="309">
        <f t="shared" si="40"/>
        <v>7379.625</v>
      </c>
      <c r="AQ266" s="309">
        <f t="shared" si="46"/>
        <v>7379.625</v>
      </c>
      <c r="AR266" s="309">
        <f t="shared" si="46"/>
        <v>7379.625</v>
      </c>
      <c r="AS266" s="309"/>
      <c r="AT266" s="309"/>
      <c r="AV266" s="311">
        <f t="shared" si="41"/>
        <v>3820877.5</v>
      </c>
      <c r="AW266" s="311">
        <f t="shared" si="42"/>
        <v>273046.125</v>
      </c>
      <c r="AX266" s="312">
        <f t="shared" si="43"/>
        <v>0</v>
      </c>
    </row>
    <row r="267" spans="1:50">
      <c r="A267" s="291" t="s">
        <v>494</v>
      </c>
      <c r="B267" s="291"/>
      <c r="C267" s="291"/>
      <c r="D267" s="291">
        <v>1160505001</v>
      </c>
      <c r="E267" s="291">
        <v>0</v>
      </c>
      <c r="F267" s="291">
        <v>40963</v>
      </c>
      <c r="G267" s="306">
        <v>42722</v>
      </c>
      <c r="H267" s="306">
        <v>43087</v>
      </c>
      <c r="I267" s="291">
        <v>2174</v>
      </c>
      <c r="J267" s="307">
        <v>1500000</v>
      </c>
      <c r="K267" s="307">
        <v>135000</v>
      </c>
      <c r="L267" s="307">
        <v>0</v>
      </c>
      <c r="M267" s="291" t="s">
        <v>495</v>
      </c>
      <c r="N267" s="307">
        <v>1500000</v>
      </c>
      <c r="O267" s="307">
        <v>135000</v>
      </c>
      <c r="P267" s="307">
        <v>1630500</v>
      </c>
      <c r="Q267" s="291">
        <v>1</v>
      </c>
      <c r="R267" s="291" t="s">
        <v>496</v>
      </c>
      <c r="S267" s="291">
        <v>100</v>
      </c>
      <c r="T267" s="307">
        <v>1500000</v>
      </c>
      <c r="U267" s="307">
        <v>135000</v>
      </c>
      <c r="V267" s="291">
        <v>100</v>
      </c>
      <c r="W267" s="307">
        <v>857099</v>
      </c>
      <c r="X267" s="291">
        <v>2</v>
      </c>
      <c r="Y267" s="291">
        <v>1160902010</v>
      </c>
      <c r="Z267" s="291">
        <v>2023</v>
      </c>
      <c r="AA267" s="291">
        <v>12</v>
      </c>
      <c r="AB267" s="291">
        <v>5026003002</v>
      </c>
      <c r="AC267" s="291">
        <v>1160903005</v>
      </c>
      <c r="AD267" s="291">
        <v>0</v>
      </c>
      <c r="AE267" s="291">
        <v>0</v>
      </c>
      <c r="AF267" s="291">
        <v>0</v>
      </c>
      <c r="AG267" s="291">
        <v>1160605001</v>
      </c>
      <c r="AH267" s="291">
        <v>2174</v>
      </c>
      <c r="AI267" s="291" t="s">
        <v>497</v>
      </c>
      <c r="AJ267" s="308">
        <v>0.01</v>
      </c>
      <c r="AK267" s="309">
        <f t="shared" si="44"/>
        <v>15000</v>
      </c>
      <c r="AL267" s="309">
        <f t="shared" si="45"/>
        <v>15000</v>
      </c>
      <c r="AM267" s="309">
        <f t="shared" si="45"/>
        <v>15000</v>
      </c>
      <c r="AN267" s="309"/>
      <c r="AO267" s="309"/>
      <c r="AP267" s="309">
        <f t="shared" si="40"/>
        <v>675</v>
      </c>
      <c r="AQ267" s="309">
        <f t="shared" si="46"/>
        <v>675</v>
      </c>
      <c r="AR267" s="309">
        <f t="shared" si="46"/>
        <v>675</v>
      </c>
      <c r="AS267" s="309"/>
      <c r="AT267" s="309"/>
      <c r="AV267" s="311">
        <f t="shared" si="41"/>
        <v>1455000</v>
      </c>
      <c r="AW267" s="311">
        <f t="shared" si="42"/>
        <v>132975</v>
      </c>
      <c r="AX267" s="312">
        <f t="shared" si="43"/>
        <v>0</v>
      </c>
    </row>
    <row r="268" spans="1:50">
      <c r="A268" s="291" t="s">
        <v>494</v>
      </c>
      <c r="B268" s="291"/>
      <c r="C268" s="291"/>
      <c r="D268" s="291">
        <v>1160505001</v>
      </c>
      <c r="E268" s="291">
        <v>0</v>
      </c>
      <c r="F268" s="291">
        <v>41113</v>
      </c>
      <c r="G268" s="306">
        <v>42747</v>
      </c>
      <c r="H268" s="306">
        <v>43112</v>
      </c>
      <c r="I268" s="291">
        <v>2150</v>
      </c>
      <c r="J268" s="307">
        <v>1000000</v>
      </c>
      <c r="K268" s="307">
        <v>90000</v>
      </c>
      <c r="L268" s="307">
        <v>0</v>
      </c>
      <c r="M268" s="291" t="s">
        <v>495</v>
      </c>
      <c r="N268" s="307">
        <v>1000000</v>
      </c>
      <c r="O268" s="307">
        <v>90000</v>
      </c>
      <c r="P268" s="307">
        <v>1075000</v>
      </c>
      <c r="Q268" s="291">
        <v>1</v>
      </c>
      <c r="R268" s="291" t="s">
        <v>496</v>
      </c>
      <c r="S268" s="291">
        <v>100</v>
      </c>
      <c r="T268" s="307">
        <v>1000000</v>
      </c>
      <c r="U268" s="307">
        <v>90000</v>
      </c>
      <c r="V268" s="291">
        <v>100</v>
      </c>
      <c r="W268" s="307">
        <v>857099</v>
      </c>
      <c r="X268" s="291">
        <v>2</v>
      </c>
      <c r="Y268" s="291">
        <v>1160902010</v>
      </c>
      <c r="Z268" s="291">
        <v>2023</v>
      </c>
      <c r="AA268" s="291">
        <v>12</v>
      </c>
      <c r="AB268" s="291">
        <v>5026003002</v>
      </c>
      <c r="AC268" s="291">
        <v>1160903005</v>
      </c>
      <c r="AD268" s="291">
        <v>0</v>
      </c>
      <c r="AE268" s="291">
        <v>0</v>
      </c>
      <c r="AF268" s="291">
        <v>0</v>
      </c>
      <c r="AG268" s="291">
        <v>1160605001</v>
      </c>
      <c r="AH268" s="291">
        <v>2174</v>
      </c>
      <c r="AI268" s="291" t="s">
        <v>497</v>
      </c>
      <c r="AJ268" s="308">
        <v>0.01</v>
      </c>
      <c r="AK268" s="309">
        <f t="shared" si="44"/>
        <v>10000</v>
      </c>
      <c r="AL268" s="309">
        <f t="shared" si="45"/>
        <v>10000</v>
      </c>
      <c r="AM268" s="309">
        <f t="shared" si="45"/>
        <v>10000</v>
      </c>
      <c r="AN268" s="309"/>
      <c r="AO268" s="309"/>
      <c r="AP268" s="309">
        <f t="shared" si="40"/>
        <v>450</v>
      </c>
      <c r="AQ268" s="309">
        <f t="shared" si="46"/>
        <v>450</v>
      </c>
      <c r="AR268" s="309">
        <f t="shared" si="46"/>
        <v>450</v>
      </c>
      <c r="AS268" s="309"/>
      <c r="AT268" s="309"/>
      <c r="AV268" s="311">
        <f t="shared" si="41"/>
        <v>970000</v>
      </c>
      <c r="AW268" s="311">
        <f t="shared" si="42"/>
        <v>88650</v>
      </c>
      <c r="AX268" s="312">
        <f t="shared" si="43"/>
        <v>0</v>
      </c>
    </row>
    <row r="269" spans="1:50">
      <c r="A269" s="291" t="s">
        <v>494</v>
      </c>
      <c r="B269" s="291"/>
      <c r="C269" s="291"/>
      <c r="D269" s="291">
        <v>1160505001</v>
      </c>
      <c r="E269" s="291">
        <v>0</v>
      </c>
      <c r="F269" s="291">
        <v>41383</v>
      </c>
      <c r="G269" s="306">
        <v>42778</v>
      </c>
      <c r="H269" s="306">
        <v>43508</v>
      </c>
      <c r="I269" s="291">
        <v>1760</v>
      </c>
      <c r="J269" s="307">
        <v>8000000</v>
      </c>
      <c r="K269" s="307">
        <v>1600008</v>
      </c>
      <c r="L269" s="307">
        <v>0</v>
      </c>
      <c r="M269" s="291" t="s">
        <v>495</v>
      </c>
      <c r="N269" s="307">
        <v>8000000</v>
      </c>
      <c r="O269" s="307">
        <v>1600008</v>
      </c>
      <c r="P269" s="307">
        <v>7040000</v>
      </c>
      <c r="Q269" s="291">
        <v>1</v>
      </c>
      <c r="R269" s="291" t="s">
        <v>496</v>
      </c>
      <c r="S269" s="291">
        <v>100</v>
      </c>
      <c r="T269" s="307">
        <v>8000000</v>
      </c>
      <c r="U269" s="307">
        <v>1600008</v>
      </c>
      <c r="V269" s="291">
        <v>100</v>
      </c>
      <c r="W269" s="307">
        <v>4831811</v>
      </c>
      <c r="X269" s="291">
        <v>14</v>
      </c>
      <c r="Y269" s="291">
        <v>1160902010</v>
      </c>
      <c r="Z269" s="291">
        <v>2023</v>
      </c>
      <c r="AA269" s="291">
        <v>12</v>
      </c>
      <c r="AB269" s="291">
        <v>5026003002</v>
      </c>
      <c r="AC269" s="291">
        <v>1160903005</v>
      </c>
      <c r="AD269" s="291">
        <v>0</v>
      </c>
      <c r="AE269" s="291">
        <v>0</v>
      </c>
      <c r="AF269" s="291">
        <v>0</v>
      </c>
      <c r="AG269" s="291">
        <v>1160605001</v>
      </c>
      <c r="AH269" s="291">
        <v>1760</v>
      </c>
      <c r="AI269" s="291" t="s">
        <v>497</v>
      </c>
      <c r="AJ269" s="308">
        <v>0.01</v>
      </c>
      <c r="AK269" s="309">
        <f t="shared" si="44"/>
        <v>80000</v>
      </c>
      <c r="AL269" s="309">
        <f t="shared" si="45"/>
        <v>80000</v>
      </c>
      <c r="AM269" s="309">
        <f t="shared" si="45"/>
        <v>80000</v>
      </c>
      <c r="AN269" s="309"/>
      <c r="AO269" s="309"/>
      <c r="AP269" s="309">
        <f t="shared" si="40"/>
        <v>8000.04</v>
      </c>
      <c r="AQ269" s="309">
        <f t="shared" si="46"/>
        <v>8000.04</v>
      </c>
      <c r="AR269" s="309">
        <f t="shared" si="46"/>
        <v>8000.04</v>
      </c>
      <c r="AS269" s="309"/>
      <c r="AT269" s="309"/>
      <c r="AV269" s="311">
        <f t="shared" si="41"/>
        <v>7760000</v>
      </c>
      <c r="AW269" s="311">
        <f t="shared" si="42"/>
        <v>1576007.88</v>
      </c>
      <c r="AX269" s="312">
        <f t="shared" si="43"/>
        <v>0</v>
      </c>
    </row>
    <row r="270" spans="1:50">
      <c r="A270" s="291" t="s">
        <v>494</v>
      </c>
      <c r="B270" s="291"/>
      <c r="C270" s="291"/>
      <c r="D270" s="291">
        <v>1160505001</v>
      </c>
      <c r="E270" s="291">
        <v>0</v>
      </c>
      <c r="F270" s="291">
        <v>32842</v>
      </c>
      <c r="G270" s="306">
        <v>41484</v>
      </c>
      <c r="H270" s="306">
        <v>41849</v>
      </c>
      <c r="I270" s="291">
        <v>3393</v>
      </c>
      <c r="J270" s="307">
        <v>2800000</v>
      </c>
      <c r="K270" s="307">
        <v>68004</v>
      </c>
      <c r="L270" s="307">
        <v>0</v>
      </c>
      <c r="M270" s="291" t="s">
        <v>495</v>
      </c>
      <c r="N270" s="307">
        <v>2800000</v>
      </c>
      <c r="O270" s="307">
        <v>68004</v>
      </c>
      <c r="P270" s="307">
        <v>4750200</v>
      </c>
      <c r="Q270" s="291">
        <v>1</v>
      </c>
      <c r="R270" s="291" t="s">
        <v>496</v>
      </c>
      <c r="S270" s="291">
        <v>100</v>
      </c>
      <c r="T270" s="307">
        <v>2800000</v>
      </c>
      <c r="U270" s="307">
        <v>68004</v>
      </c>
      <c r="V270" s="291">
        <v>100</v>
      </c>
      <c r="W270" s="307">
        <v>3378545</v>
      </c>
      <c r="X270" s="291">
        <v>2</v>
      </c>
      <c r="Y270" s="291">
        <v>1160902010</v>
      </c>
      <c r="Z270" s="291">
        <v>2023</v>
      </c>
      <c r="AA270" s="291">
        <v>12</v>
      </c>
      <c r="AB270" s="291">
        <v>5026003002</v>
      </c>
      <c r="AC270" s="291">
        <v>1160903005</v>
      </c>
      <c r="AD270" s="291">
        <v>0</v>
      </c>
      <c r="AE270" s="291">
        <v>0</v>
      </c>
      <c r="AF270" s="291">
        <v>0</v>
      </c>
      <c r="AG270" s="291">
        <v>1160605001</v>
      </c>
      <c r="AH270" s="291">
        <v>3908</v>
      </c>
      <c r="AI270" s="291" t="s">
        <v>497</v>
      </c>
      <c r="AJ270" s="308">
        <v>0.01</v>
      </c>
      <c r="AK270" s="309">
        <f t="shared" si="44"/>
        <v>28000</v>
      </c>
      <c r="AL270" s="309">
        <f t="shared" si="45"/>
        <v>28000</v>
      </c>
      <c r="AM270" s="309">
        <f t="shared" si="45"/>
        <v>28000</v>
      </c>
      <c r="AN270" s="309"/>
      <c r="AO270" s="309"/>
      <c r="AP270" s="309">
        <f t="shared" si="40"/>
        <v>340.02</v>
      </c>
      <c r="AQ270" s="309">
        <f t="shared" si="46"/>
        <v>340.02</v>
      </c>
      <c r="AR270" s="309">
        <f t="shared" si="46"/>
        <v>340.02</v>
      </c>
      <c r="AS270" s="309"/>
      <c r="AT270" s="309"/>
      <c r="AV270" s="311">
        <f t="shared" si="41"/>
        <v>2716000</v>
      </c>
      <c r="AW270" s="311">
        <f t="shared" si="42"/>
        <v>66983.939999999988</v>
      </c>
      <c r="AX270" s="312">
        <f t="shared" si="43"/>
        <v>0</v>
      </c>
    </row>
    <row r="271" spans="1:50">
      <c r="A271" s="291" t="s">
        <v>494</v>
      </c>
      <c r="B271" s="291"/>
      <c r="C271" s="291"/>
      <c r="D271" s="291">
        <v>1160505002</v>
      </c>
      <c r="E271" s="291">
        <v>0</v>
      </c>
      <c r="F271" s="291">
        <v>27224</v>
      </c>
      <c r="G271" s="306">
        <v>40963</v>
      </c>
      <c r="H271" s="306">
        <v>41329</v>
      </c>
      <c r="I271" s="291">
        <v>3908</v>
      </c>
      <c r="J271" s="307">
        <v>1450500</v>
      </c>
      <c r="K271" s="307">
        <v>130548</v>
      </c>
      <c r="L271" s="307">
        <v>0</v>
      </c>
      <c r="M271" s="291" t="s">
        <v>495</v>
      </c>
      <c r="N271" s="307">
        <v>1450500</v>
      </c>
      <c r="O271" s="307">
        <v>130548</v>
      </c>
      <c r="P271" s="307">
        <v>2834277</v>
      </c>
      <c r="Q271" s="291">
        <v>1</v>
      </c>
      <c r="R271" s="291" t="s">
        <v>496</v>
      </c>
      <c r="S271" s="291">
        <v>100</v>
      </c>
      <c r="T271" s="307">
        <v>1450500</v>
      </c>
      <c r="U271" s="307">
        <v>130548</v>
      </c>
      <c r="V271" s="291">
        <v>100</v>
      </c>
      <c r="W271" s="307">
        <v>3378545</v>
      </c>
      <c r="X271" s="291">
        <v>6</v>
      </c>
      <c r="Y271" s="291">
        <v>1160902010</v>
      </c>
      <c r="Z271" s="291">
        <v>2023</v>
      </c>
      <c r="AA271" s="291">
        <v>12</v>
      </c>
      <c r="AB271" s="291">
        <v>5026003002</v>
      </c>
      <c r="AC271" s="291">
        <v>1160903005</v>
      </c>
      <c r="AD271" s="291">
        <v>0</v>
      </c>
      <c r="AE271" s="291">
        <v>0</v>
      </c>
      <c r="AF271" s="291">
        <v>0</v>
      </c>
      <c r="AG271" s="291">
        <v>1160605001</v>
      </c>
      <c r="AH271" s="291">
        <v>3908</v>
      </c>
      <c r="AI271" s="291" t="s">
        <v>497</v>
      </c>
      <c r="AJ271" s="308">
        <v>0.01</v>
      </c>
      <c r="AK271" s="309">
        <f t="shared" si="44"/>
        <v>14505</v>
      </c>
      <c r="AL271" s="309">
        <f t="shared" si="45"/>
        <v>14505</v>
      </c>
      <c r="AM271" s="309">
        <f t="shared" si="45"/>
        <v>14505</v>
      </c>
      <c r="AN271" s="309"/>
      <c r="AO271" s="309"/>
      <c r="AP271" s="309">
        <f t="shared" si="40"/>
        <v>652.74</v>
      </c>
      <c r="AQ271" s="309">
        <f t="shared" si="46"/>
        <v>652.74</v>
      </c>
      <c r="AR271" s="309">
        <f t="shared" si="46"/>
        <v>652.74</v>
      </c>
      <c r="AS271" s="309"/>
      <c r="AT271" s="309"/>
      <c r="AV271" s="311">
        <f t="shared" si="41"/>
        <v>1406985</v>
      </c>
      <c r="AW271" s="311">
        <f t="shared" si="42"/>
        <v>128589.77999999998</v>
      </c>
      <c r="AX271" s="312">
        <f t="shared" si="43"/>
        <v>0</v>
      </c>
    </row>
    <row r="272" spans="1:50">
      <c r="A272" s="291" t="s">
        <v>494</v>
      </c>
      <c r="B272" s="291"/>
      <c r="C272" s="291"/>
      <c r="D272" s="291">
        <v>1160505001</v>
      </c>
      <c r="E272" s="291">
        <v>0</v>
      </c>
      <c r="F272" s="291">
        <v>45243</v>
      </c>
      <c r="G272" s="306">
        <v>43338</v>
      </c>
      <c r="H272" s="306">
        <v>44434</v>
      </c>
      <c r="I272" s="291">
        <v>846</v>
      </c>
      <c r="J272" s="307">
        <v>4685500</v>
      </c>
      <c r="K272" s="307">
        <v>1035503</v>
      </c>
      <c r="L272" s="307">
        <v>0</v>
      </c>
      <c r="M272" s="291" t="s">
        <v>495</v>
      </c>
      <c r="N272" s="307">
        <v>4685500</v>
      </c>
      <c r="O272" s="307">
        <v>1035503</v>
      </c>
      <c r="P272" s="307">
        <v>1981967</v>
      </c>
      <c r="Q272" s="291">
        <v>1</v>
      </c>
      <c r="R272" s="291" t="s">
        <v>496</v>
      </c>
      <c r="S272" s="291">
        <v>100</v>
      </c>
      <c r="T272" s="307">
        <v>4685500</v>
      </c>
      <c r="U272" s="307">
        <v>1035503</v>
      </c>
      <c r="V272" s="291">
        <v>100</v>
      </c>
      <c r="W272" s="307">
        <v>7294909.1699999999</v>
      </c>
      <c r="X272" s="291">
        <v>15</v>
      </c>
      <c r="Y272" s="291">
        <v>1160902010</v>
      </c>
      <c r="Z272" s="291">
        <v>2023</v>
      </c>
      <c r="AA272" s="291">
        <v>12</v>
      </c>
      <c r="AB272" s="291">
        <v>5026003002</v>
      </c>
      <c r="AC272" s="291">
        <v>1160903005</v>
      </c>
      <c r="AD272" s="291">
        <v>0</v>
      </c>
      <c r="AE272" s="291">
        <v>0</v>
      </c>
      <c r="AF272" s="291">
        <v>0</v>
      </c>
      <c r="AG272" s="291">
        <v>1160605001</v>
      </c>
      <c r="AH272" s="291">
        <v>846</v>
      </c>
      <c r="AI272" s="291" t="s">
        <v>499</v>
      </c>
      <c r="AJ272" s="308">
        <v>0.05</v>
      </c>
      <c r="AK272" s="309">
        <f t="shared" si="44"/>
        <v>234275</v>
      </c>
      <c r="AL272" s="309">
        <f t="shared" si="45"/>
        <v>234275</v>
      </c>
      <c r="AM272" s="309">
        <f t="shared" si="45"/>
        <v>234275</v>
      </c>
      <c r="AN272" s="309"/>
      <c r="AO272" s="309"/>
      <c r="AP272" s="309">
        <f t="shared" si="40"/>
        <v>25887.575000000001</v>
      </c>
      <c r="AQ272" s="309">
        <f t="shared" si="46"/>
        <v>25887.575000000001</v>
      </c>
      <c r="AR272" s="309">
        <f t="shared" si="46"/>
        <v>25887.575000000001</v>
      </c>
      <c r="AS272" s="309"/>
      <c r="AT272" s="309"/>
      <c r="AV272" s="311">
        <f t="shared" si="41"/>
        <v>3982675</v>
      </c>
      <c r="AW272" s="311">
        <f t="shared" si="42"/>
        <v>957840.27500000014</v>
      </c>
      <c r="AX272" s="312">
        <f t="shared" si="43"/>
        <v>0</v>
      </c>
    </row>
    <row r="273" spans="1:50">
      <c r="A273" s="291" t="s">
        <v>494</v>
      </c>
      <c r="B273" s="291"/>
      <c r="C273" s="291"/>
      <c r="D273" s="291">
        <v>1160505002</v>
      </c>
      <c r="E273" s="291">
        <v>0</v>
      </c>
      <c r="F273" s="291">
        <v>46348</v>
      </c>
      <c r="G273" s="306">
        <v>43535</v>
      </c>
      <c r="H273" s="306">
        <v>43901</v>
      </c>
      <c r="I273" s="291">
        <v>1371</v>
      </c>
      <c r="J273" s="307">
        <v>136000</v>
      </c>
      <c r="K273" s="307">
        <v>0</v>
      </c>
      <c r="L273" s="307">
        <v>0</v>
      </c>
      <c r="M273" s="291" t="s">
        <v>495</v>
      </c>
      <c r="N273" s="307">
        <v>136000</v>
      </c>
      <c r="O273" s="307">
        <v>0</v>
      </c>
      <c r="P273" s="307">
        <v>93228</v>
      </c>
      <c r="Q273" s="291">
        <v>1</v>
      </c>
      <c r="R273" s="291" t="s">
        <v>496</v>
      </c>
      <c r="S273" s="291">
        <v>100</v>
      </c>
      <c r="T273" s="307">
        <v>136000</v>
      </c>
      <c r="U273" s="307">
        <v>0</v>
      </c>
      <c r="V273" s="291">
        <v>100</v>
      </c>
      <c r="W273" s="307">
        <v>2612297</v>
      </c>
      <c r="X273" s="291">
        <v>6</v>
      </c>
      <c r="Y273" s="291">
        <v>1160902010</v>
      </c>
      <c r="Z273" s="291">
        <v>2023</v>
      </c>
      <c r="AA273" s="291">
        <v>12</v>
      </c>
      <c r="AB273" s="291">
        <v>5026003002</v>
      </c>
      <c r="AC273" s="291">
        <v>1160903005</v>
      </c>
      <c r="AD273" s="291">
        <v>0</v>
      </c>
      <c r="AE273" s="291">
        <v>0</v>
      </c>
      <c r="AF273" s="291">
        <v>0</v>
      </c>
      <c r="AG273" s="291">
        <v>1160605001</v>
      </c>
      <c r="AH273" s="291">
        <v>1371</v>
      </c>
      <c r="AI273" s="291" t="s">
        <v>497</v>
      </c>
      <c r="AJ273" s="308">
        <v>0.01</v>
      </c>
      <c r="AK273" s="309">
        <f t="shared" si="44"/>
        <v>1360</v>
      </c>
      <c r="AL273" s="309">
        <f t="shared" si="45"/>
        <v>1360</v>
      </c>
      <c r="AM273" s="309">
        <f t="shared" si="45"/>
        <v>1360</v>
      </c>
      <c r="AN273" s="309"/>
      <c r="AO273" s="309"/>
      <c r="AP273" s="309">
        <f t="shared" si="40"/>
        <v>0</v>
      </c>
      <c r="AQ273" s="309">
        <f t="shared" si="46"/>
        <v>0</v>
      </c>
      <c r="AR273" s="309">
        <f t="shared" si="46"/>
        <v>0</v>
      </c>
      <c r="AS273" s="309"/>
      <c r="AT273" s="309"/>
      <c r="AV273" s="311">
        <f t="shared" si="41"/>
        <v>131920</v>
      </c>
      <c r="AW273" s="311">
        <f t="shared" si="42"/>
        <v>0</v>
      </c>
      <c r="AX273" s="312">
        <f t="shared" si="43"/>
        <v>0</v>
      </c>
    </row>
    <row r="274" spans="1:50">
      <c r="A274" s="291" t="s">
        <v>494</v>
      </c>
      <c r="B274" s="291"/>
      <c r="C274" s="291"/>
      <c r="D274" s="291">
        <v>1160505001</v>
      </c>
      <c r="E274" s="291">
        <v>0</v>
      </c>
      <c r="F274" s="291">
        <v>45893</v>
      </c>
      <c r="G274" s="306">
        <v>43498</v>
      </c>
      <c r="H274" s="306">
        <v>44594</v>
      </c>
      <c r="I274" s="291">
        <v>690</v>
      </c>
      <c r="J274" s="307">
        <v>1985601</v>
      </c>
      <c r="K274" s="307">
        <v>0</v>
      </c>
      <c r="L274" s="307">
        <v>0</v>
      </c>
      <c r="M274" s="291" t="s">
        <v>495</v>
      </c>
      <c r="N274" s="307">
        <v>1985601</v>
      </c>
      <c r="O274" s="307">
        <v>0</v>
      </c>
      <c r="P274" s="307">
        <v>685032</v>
      </c>
      <c r="Q274" s="291">
        <v>1</v>
      </c>
      <c r="R274" s="291" t="s">
        <v>496</v>
      </c>
      <c r="S274" s="291">
        <v>100</v>
      </c>
      <c r="T274" s="307">
        <v>1985601</v>
      </c>
      <c r="U274" s="307">
        <v>0</v>
      </c>
      <c r="V274" s="291">
        <v>100</v>
      </c>
      <c r="W274" s="307">
        <v>7203599</v>
      </c>
      <c r="X274" s="291">
        <v>15</v>
      </c>
      <c r="Y274" s="291">
        <v>1160902010</v>
      </c>
      <c r="Z274" s="291">
        <v>2023</v>
      </c>
      <c r="AA274" s="291">
        <v>12</v>
      </c>
      <c r="AB274" s="291">
        <v>5026003002</v>
      </c>
      <c r="AC274" s="291">
        <v>1160903005</v>
      </c>
      <c r="AD274" s="291">
        <v>0</v>
      </c>
      <c r="AE274" s="291">
        <v>0</v>
      </c>
      <c r="AF274" s="291">
        <v>0</v>
      </c>
      <c r="AG274" s="291">
        <v>1160605001</v>
      </c>
      <c r="AH274" s="291">
        <v>690</v>
      </c>
      <c r="AI274" s="291" t="s">
        <v>498</v>
      </c>
      <c r="AJ274" s="308">
        <v>0.1</v>
      </c>
      <c r="AK274" s="309">
        <f t="shared" si="44"/>
        <v>198560.1</v>
      </c>
      <c r="AL274" s="309">
        <f t="shared" si="45"/>
        <v>198560.1</v>
      </c>
      <c r="AM274" s="309">
        <f t="shared" si="45"/>
        <v>198560.1</v>
      </c>
      <c r="AN274" s="309"/>
      <c r="AO274" s="309"/>
      <c r="AP274" s="309">
        <f t="shared" si="40"/>
        <v>0</v>
      </c>
      <c r="AQ274" s="309">
        <f t="shared" si="46"/>
        <v>0</v>
      </c>
      <c r="AR274" s="309">
        <f t="shared" si="46"/>
        <v>0</v>
      </c>
      <c r="AS274" s="309"/>
      <c r="AT274" s="309"/>
      <c r="AV274" s="311">
        <f t="shared" si="41"/>
        <v>1389920.6999999997</v>
      </c>
      <c r="AW274" s="311">
        <f t="shared" si="42"/>
        <v>0</v>
      </c>
      <c r="AX274" s="312">
        <f t="shared" si="43"/>
        <v>0</v>
      </c>
    </row>
    <row r="275" spans="1:50">
      <c r="A275" s="291" t="s">
        <v>494</v>
      </c>
      <c r="B275" s="291"/>
      <c r="C275" s="291"/>
      <c r="D275" s="291">
        <v>1160505001</v>
      </c>
      <c r="E275" s="291">
        <v>0</v>
      </c>
      <c r="F275" s="291">
        <v>46574</v>
      </c>
      <c r="G275" s="306">
        <v>43568</v>
      </c>
      <c r="H275" s="306">
        <v>44664</v>
      </c>
      <c r="I275" s="291">
        <v>619</v>
      </c>
      <c r="J275" s="307">
        <v>450000</v>
      </c>
      <c r="K275" s="307">
        <v>0</v>
      </c>
      <c r="L275" s="307">
        <v>0</v>
      </c>
      <c r="M275" s="291" t="s">
        <v>495</v>
      </c>
      <c r="N275" s="307">
        <v>450000</v>
      </c>
      <c r="O275" s="307">
        <v>0</v>
      </c>
      <c r="P275" s="307">
        <v>139275</v>
      </c>
      <c r="Q275" s="291">
        <v>1</v>
      </c>
      <c r="R275" s="291" t="s">
        <v>496</v>
      </c>
      <c r="S275" s="291">
        <v>100</v>
      </c>
      <c r="T275" s="307">
        <v>450000</v>
      </c>
      <c r="U275" s="307">
        <v>0</v>
      </c>
      <c r="V275" s="291">
        <v>100</v>
      </c>
      <c r="W275" s="307">
        <v>5601969</v>
      </c>
      <c r="X275" s="291">
        <v>15</v>
      </c>
      <c r="Y275" s="291">
        <v>1160902010</v>
      </c>
      <c r="Z275" s="291">
        <v>2023</v>
      </c>
      <c r="AA275" s="291">
        <v>12</v>
      </c>
      <c r="AB275" s="291">
        <v>5026003002</v>
      </c>
      <c r="AC275" s="291">
        <v>1160903005</v>
      </c>
      <c r="AD275" s="291">
        <v>0</v>
      </c>
      <c r="AE275" s="291">
        <v>0</v>
      </c>
      <c r="AF275" s="291">
        <v>0</v>
      </c>
      <c r="AG275" s="291">
        <v>1160605001</v>
      </c>
      <c r="AH275" s="291">
        <v>619</v>
      </c>
      <c r="AI275" s="291" t="s">
        <v>498</v>
      </c>
      <c r="AJ275" s="308">
        <v>0.1</v>
      </c>
      <c r="AK275" s="309">
        <f t="shared" si="44"/>
        <v>45000</v>
      </c>
      <c r="AL275" s="309">
        <f t="shared" si="45"/>
        <v>45000</v>
      </c>
      <c r="AM275" s="309">
        <f t="shared" si="45"/>
        <v>45000</v>
      </c>
      <c r="AN275" s="309"/>
      <c r="AO275" s="309"/>
      <c r="AP275" s="309">
        <f t="shared" si="40"/>
        <v>0</v>
      </c>
      <c r="AQ275" s="309">
        <f t="shared" si="46"/>
        <v>0</v>
      </c>
      <c r="AR275" s="309">
        <f t="shared" si="46"/>
        <v>0</v>
      </c>
      <c r="AS275" s="309"/>
      <c r="AT275" s="309"/>
      <c r="AV275" s="311">
        <f t="shared" si="41"/>
        <v>315000</v>
      </c>
      <c r="AW275" s="311">
        <f t="shared" si="42"/>
        <v>0</v>
      </c>
      <c r="AX275" s="312">
        <f t="shared" si="43"/>
        <v>0</v>
      </c>
    </row>
    <row r="276" spans="1:50">
      <c r="A276" s="291" t="s">
        <v>494</v>
      </c>
      <c r="B276" s="291"/>
      <c r="C276" s="291"/>
      <c r="D276" s="291">
        <v>1160505002</v>
      </c>
      <c r="E276" s="291">
        <v>0</v>
      </c>
      <c r="F276" s="291">
        <v>43041</v>
      </c>
      <c r="G276" s="306">
        <v>43051</v>
      </c>
      <c r="H276" s="306">
        <v>43416</v>
      </c>
      <c r="I276" s="291">
        <v>1850</v>
      </c>
      <c r="J276" s="307">
        <v>2537000</v>
      </c>
      <c r="K276" s="307">
        <v>228336</v>
      </c>
      <c r="L276" s="307">
        <v>0</v>
      </c>
      <c r="M276" s="291" t="s">
        <v>495</v>
      </c>
      <c r="N276" s="307">
        <v>2537000</v>
      </c>
      <c r="O276" s="307">
        <v>228336</v>
      </c>
      <c r="P276" s="307">
        <v>2346725</v>
      </c>
      <c r="Q276" s="291">
        <v>1</v>
      </c>
      <c r="R276" s="291" t="s">
        <v>496</v>
      </c>
      <c r="S276" s="291">
        <v>100</v>
      </c>
      <c r="T276" s="307">
        <v>2537000</v>
      </c>
      <c r="U276" s="307">
        <v>228336</v>
      </c>
      <c r="V276" s="291">
        <v>100</v>
      </c>
      <c r="W276" s="307">
        <v>1271527</v>
      </c>
      <c r="X276" s="291">
        <v>6</v>
      </c>
      <c r="Y276" s="291">
        <v>1160902010</v>
      </c>
      <c r="Z276" s="291">
        <v>2023</v>
      </c>
      <c r="AA276" s="291">
        <v>12</v>
      </c>
      <c r="AB276" s="291">
        <v>5026003002</v>
      </c>
      <c r="AC276" s="291">
        <v>1160903005</v>
      </c>
      <c r="AD276" s="291">
        <v>0</v>
      </c>
      <c r="AE276" s="291">
        <v>0</v>
      </c>
      <c r="AF276" s="291">
        <v>0</v>
      </c>
      <c r="AG276" s="291">
        <v>1160605001</v>
      </c>
      <c r="AH276" s="291">
        <v>1850</v>
      </c>
      <c r="AI276" s="291" t="s">
        <v>497</v>
      </c>
      <c r="AJ276" s="308">
        <v>0.01</v>
      </c>
      <c r="AK276" s="309">
        <f t="shared" si="44"/>
        <v>25370</v>
      </c>
      <c r="AL276" s="309">
        <f t="shared" si="45"/>
        <v>25370</v>
      </c>
      <c r="AM276" s="309">
        <f t="shared" si="45"/>
        <v>25370</v>
      </c>
      <c r="AN276" s="309"/>
      <c r="AO276" s="309"/>
      <c r="AP276" s="309">
        <f t="shared" si="40"/>
        <v>1141.68</v>
      </c>
      <c r="AQ276" s="309">
        <f t="shared" si="46"/>
        <v>1141.68</v>
      </c>
      <c r="AR276" s="309">
        <f t="shared" si="46"/>
        <v>1141.68</v>
      </c>
      <c r="AS276" s="309"/>
      <c r="AT276" s="309"/>
      <c r="AV276" s="311">
        <f t="shared" si="41"/>
        <v>2460890</v>
      </c>
      <c r="AW276" s="311">
        <f t="shared" si="42"/>
        <v>224910.96000000002</v>
      </c>
      <c r="AX276" s="312">
        <f t="shared" si="43"/>
        <v>0</v>
      </c>
    </row>
    <row r="277" spans="1:50">
      <c r="A277" s="291" t="s">
        <v>494</v>
      </c>
      <c r="B277" s="291"/>
      <c r="C277" s="291"/>
      <c r="D277" s="291">
        <v>1160505001</v>
      </c>
      <c r="E277" s="291">
        <v>0</v>
      </c>
      <c r="F277" s="291">
        <v>41503</v>
      </c>
      <c r="G277" s="306">
        <v>42792</v>
      </c>
      <c r="H277" s="306">
        <v>44618</v>
      </c>
      <c r="I277" s="291">
        <v>666</v>
      </c>
      <c r="J277" s="307">
        <v>2160000</v>
      </c>
      <c r="K277" s="307">
        <v>1063140</v>
      </c>
      <c r="L277" s="307">
        <v>0</v>
      </c>
      <c r="M277" s="291" t="s">
        <v>495</v>
      </c>
      <c r="N277" s="307">
        <v>2160000</v>
      </c>
      <c r="O277" s="307">
        <v>1063140</v>
      </c>
      <c r="P277" s="307">
        <v>719280</v>
      </c>
      <c r="Q277" s="291">
        <v>1</v>
      </c>
      <c r="R277" s="291" t="s">
        <v>496</v>
      </c>
      <c r="S277" s="291">
        <v>100</v>
      </c>
      <c r="T277" s="307">
        <v>2160000</v>
      </c>
      <c r="U277" s="307">
        <v>1063140</v>
      </c>
      <c r="V277" s="291">
        <v>100</v>
      </c>
      <c r="W277" s="307">
        <v>1271527</v>
      </c>
      <c r="X277" s="291">
        <v>14</v>
      </c>
      <c r="Y277" s="291">
        <v>1160902010</v>
      </c>
      <c r="Z277" s="291">
        <v>2023</v>
      </c>
      <c r="AA277" s="291">
        <v>12</v>
      </c>
      <c r="AB277" s="291">
        <v>5026003002</v>
      </c>
      <c r="AC277" s="291">
        <v>1160903005</v>
      </c>
      <c r="AD277" s="291">
        <v>0</v>
      </c>
      <c r="AE277" s="291">
        <v>0</v>
      </c>
      <c r="AF277" s="291">
        <v>0</v>
      </c>
      <c r="AG277" s="291">
        <v>1160605001</v>
      </c>
      <c r="AH277" s="291">
        <v>1850</v>
      </c>
      <c r="AI277" s="291" t="s">
        <v>497</v>
      </c>
      <c r="AJ277" s="308">
        <v>0.01</v>
      </c>
      <c r="AK277" s="309">
        <f t="shared" si="44"/>
        <v>21600</v>
      </c>
      <c r="AL277" s="309">
        <f t="shared" si="45"/>
        <v>21600</v>
      </c>
      <c r="AM277" s="309">
        <f t="shared" si="45"/>
        <v>21600</v>
      </c>
      <c r="AN277" s="309"/>
      <c r="AO277" s="309"/>
      <c r="AP277" s="309">
        <f t="shared" si="40"/>
        <v>5315.7</v>
      </c>
      <c r="AQ277" s="309">
        <f t="shared" si="46"/>
        <v>5315.7</v>
      </c>
      <c r="AR277" s="309">
        <f t="shared" si="46"/>
        <v>5315.7</v>
      </c>
      <c r="AS277" s="309"/>
      <c r="AT277" s="309"/>
      <c r="AV277" s="311">
        <f t="shared" si="41"/>
        <v>2095200</v>
      </c>
      <c r="AW277" s="311">
        <f t="shared" si="42"/>
        <v>1047192.9000000001</v>
      </c>
      <c r="AX277" s="312">
        <f t="shared" si="43"/>
        <v>0</v>
      </c>
    </row>
    <row r="278" spans="1:50">
      <c r="A278" s="291" t="s">
        <v>494</v>
      </c>
      <c r="B278" s="291"/>
      <c r="C278" s="291"/>
      <c r="D278" s="291">
        <v>1160505004</v>
      </c>
      <c r="E278" s="291">
        <v>44233</v>
      </c>
      <c r="F278" s="291">
        <v>46291</v>
      </c>
      <c r="G278" s="306">
        <v>43529</v>
      </c>
      <c r="H278" s="306">
        <v>44625</v>
      </c>
      <c r="I278" s="291">
        <v>657</v>
      </c>
      <c r="J278" s="307">
        <v>16666000</v>
      </c>
      <c r="K278" s="307">
        <v>6341413</v>
      </c>
      <c r="L278" s="307">
        <v>0</v>
      </c>
      <c r="M278" s="291" t="s">
        <v>495</v>
      </c>
      <c r="N278" s="307">
        <v>16666000</v>
      </c>
      <c r="O278" s="307">
        <v>6341413</v>
      </c>
      <c r="P278" s="307">
        <v>5474781</v>
      </c>
      <c r="Q278" s="291">
        <v>1</v>
      </c>
      <c r="R278" s="291" t="s">
        <v>496</v>
      </c>
      <c r="S278" s="291">
        <v>100</v>
      </c>
      <c r="T278" s="307">
        <v>16666000</v>
      </c>
      <c r="U278" s="307">
        <v>6341413</v>
      </c>
      <c r="V278" s="291">
        <v>100</v>
      </c>
      <c r="W278" s="307">
        <v>18289411.66</v>
      </c>
      <c r="X278" s="291">
        <v>5</v>
      </c>
      <c r="Y278" s="291">
        <v>1160902010</v>
      </c>
      <c r="Z278" s="291">
        <v>2023</v>
      </c>
      <c r="AA278" s="291">
        <v>12</v>
      </c>
      <c r="AB278" s="291">
        <v>5026003002</v>
      </c>
      <c r="AC278" s="291">
        <v>1160903005</v>
      </c>
      <c r="AD278" s="291">
        <v>0</v>
      </c>
      <c r="AE278" s="291">
        <v>0</v>
      </c>
      <c r="AF278" s="291">
        <v>0</v>
      </c>
      <c r="AG278" s="291">
        <v>1160605001</v>
      </c>
      <c r="AH278" s="291">
        <v>657</v>
      </c>
      <c r="AI278" s="291" t="s">
        <v>498</v>
      </c>
      <c r="AJ278" s="308">
        <v>0.1</v>
      </c>
      <c r="AK278" s="309">
        <f t="shared" si="44"/>
        <v>1666600</v>
      </c>
      <c r="AL278" s="309">
        <f t="shared" si="45"/>
        <v>1666600</v>
      </c>
      <c r="AM278" s="309">
        <f t="shared" si="45"/>
        <v>1666600</v>
      </c>
      <c r="AN278" s="309"/>
      <c r="AO278" s="309"/>
      <c r="AP278" s="309">
        <f t="shared" si="40"/>
        <v>317070.65000000002</v>
      </c>
      <c r="AQ278" s="309">
        <f t="shared" si="46"/>
        <v>317070.65000000002</v>
      </c>
      <c r="AR278" s="309">
        <f t="shared" si="46"/>
        <v>317070.65000000002</v>
      </c>
      <c r="AS278" s="309"/>
      <c r="AT278" s="309"/>
      <c r="AV278" s="311">
        <f t="shared" si="41"/>
        <v>11666200</v>
      </c>
      <c r="AW278" s="311">
        <f t="shared" si="42"/>
        <v>5390201.0499999989</v>
      </c>
      <c r="AX278" s="312">
        <f t="shared" si="43"/>
        <v>0</v>
      </c>
    </row>
    <row r="279" spans="1:50">
      <c r="A279" s="291" t="s">
        <v>494</v>
      </c>
      <c r="B279" s="291"/>
      <c r="C279" s="291"/>
      <c r="D279" s="291">
        <v>1160505001</v>
      </c>
      <c r="E279" s="291">
        <v>0</v>
      </c>
      <c r="F279" s="291">
        <v>46056</v>
      </c>
      <c r="G279" s="306">
        <v>43510</v>
      </c>
      <c r="H279" s="306">
        <v>44241</v>
      </c>
      <c r="I279" s="291">
        <v>1038</v>
      </c>
      <c r="J279" s="307">
        <v>5000000</v>
      </c>
      <c r="K279" s="307">
        <v>673750</v>
      </c>
      <c r="L279" s="307">
        <v>0</v>
      </c>
      <c r="M279" s="291" t="s">
        <v>495</v>
      </c>
      <c r="N279" s="307">
        <v>5000000</v>
      </c>
      <c r="O279" s="307">
        <v>673750</v>
      </c>
      <c r="P279" s="307">
        <v>2595000</v>
      </c>
      <c r="Q279" s="291">
        <v>1</v>
      </c>
      <c r="R279" s="291" t="s">
        <v>496</v>
      </c>
      <c r="S279" s="291">
        <v>100</v>
      </c>
      <c r="T279" s="307">
        <v>5000000</v>
      </c>
      <c r="U279" s="307">
        <v>673750</v>
      </c>
      <c r="V279" s="291">
        <v>100</v>
      </c>
      <c r="W279" s="307">
        <v>5713873</v>
      </c>
      <c r="X279" s="291">
        <v>15</v>
      </c>
      <c r="Y279" s="291">
        <v>1160902010</v>
      </c>
      <c r="Z279" s="291">
        <v>2023</v>
      </c>
      <c r="AA279" s="291">
        <v>12</v>
      </c>
      <c r="AB279" s="291">
        <v>5026003002</v>
      </c>
      <c r="AC279" s="291">
        <v>1160903005</v>
      </c>
      <c r="AD279" s="291">
        <v>0</v>
      </c>
      <c r="AE279" s="291">
        <v>0</v>
      </c>
      <c r="AF279" s="291">
        <v>0</v>
      </c>
      <c r="AG279" s="291">
        <v>1160605001</v>
      </c>
      <c r="AH279" s="291">
        <v>1038</v>
      </c>
      <c r="AI279" s="291" t="s">
        <v>499</v>
      </c>
      <c r="AJ279" s="308">
        <v>0.05</v>
      </c>
      <c r="AK279" s="309">
        <f t="shared" si="44"/>
        <v>250000</v>
      </c>
      <c r="AL279" s="309">
        <f t="shared" si="45"/>
        <v>250000</v>
      </c>
      <c r="AM279" s="309">
        <f t="shared" si="45"/>
        <v>250000</v>
      </c>
      <c r="AN279" s="309"/>
      <c r="AO279" s="309"/>
      <c r="AP279" s="309">
        <f t="shared" si="40"/>
        <v>16843.75</v>
      </c>
      <c r="AQ279" s="309">
        <f t="shared" ref="AQ279:AR294" si="47">AP279</f>
        <v>16843.75</v>
      </c>
      <c r="AR279" s="309">
        <f t="shared" si="47"/>
        <v>16843.75</v>
      </c>
      <c r="AS279" s="309"/>
      <c r="AT279" s="309"/>
      <c r="AV279" s="311">
        <f t="shared" si="41"/>
        <v>4250000</v>
      </c>
      <c r="AW279" s="311">
        <f t="shared" si="42"/>
        <v>623218.75</v>
      </c>
      <c r="AX279" s="312">
        <f t="shared" si="43"/>
        <v>0</v>
      </c>
    </row>
    <row r="280" spans="1:50">
      <c r="A280" s="291" t="s">
        <v>494</v>
      </c>
      <c r="B280" s="291"/>
      <c r="C280" s="291"/>
      <c r="D280" s="291">
        <v>1160505001</v>
      </c>
      <c r="E280" s="291">
        <v>0</v>
      </c>
      <c r="F280" s="291">
        <v>41271</v>
      </c>
      <c r="G280" s="306">
        <v>42764</v>
      </c>
      <c r="H280" s="306">
        <v>43129</v>
      </c>
      <c r="I280" s="291">
        <v>2133</v>
      </c>
      <c r="J280" s="307">
        <v>2300000</v>
      </c>
      <c r="K280" s="307">
        <v>207000</v>
      </c>
      <c r="L280" s="307">
        <v>0</v>
      </c>
      <c r="M280" s="291" t="s">
        <v>495</v>
      </c>
      <c r="N280" s="307">
        <v>2300000</v>
      </c>
      <c r="O280" s="307">
        <v>207000</v>
      </c>
      <c r="P280" s="307">
        <v>2452950</v>
      </c>
      <c r="Q280" s="291">
        <v>1</v>
      </c>
      <c r="R280" s="291" t="s">
        <v>496</v>
      </c>
      <c r="S280" s="291">
        <v>100</v>
      </c>
      <c r="T280" s="307">
        <v>2300000</v>
      </c>
      <c r="U280" s="307">
        <v>207000</v>
      </c>
      <c r="V280" s="291">
        <v>400</v>
      </c>
      <c r="W280" s="307">
        <v>1144829</v>
      </c>
      <c r="X280" s="291">
        <v>2</v>
      </c>
      <c r="Y280" s="291">
        <v>1160902010</v>
      </c>
      <c r="Z280" s="291">
        <v>2023</v>
      </c>
      <c r="AA280" s="291">
        <v>12</v>
      </c>
      <c r="AB280" s="291">
        <v>5026003002</v>
      </c>
      <c r="AC280" s="291">
        <v>1160903005</v>
      </c>
      <c r="AD280" s="291">
        <v>0</v>
      </c>
      <c r="AE280" s="291">
        <v>0</v>
      </c>
      <c r="AF280" s="291">
        <v>0</v>
      </c>
      <c r="AG280" s="291">
        <v>1160605001</v>
      </c>
      <c r="AH280" s="291">
        <v>2133</v>
      </c>
      <c r="AI280" s="291" t="s">
        <v>497</v>
      </c>
      <c r="AJ280" s="308">
        <v>0.01</v>
      </c>
      <c r="AK280" s="309">
        <f t="shared" si="44"/>
        <v>23000</v>
      </c>
      <c r="AL280" s="309">
        <f t="shared" si="45"/>
        <v>23000</v>
      </c>
      <c r="AM280" s="309">
        <f t="shared" si="45"/>
        <v>23000</v>
      </c>
      <c r="AN280" s="309"/>
      <c r="AO280" s="309"/>
      <c r="AP280" s="309">
        <f t="shared" si="40"/>
        <v>1035</v>
      </c>
      <c r="AQ280" s="309">
        <f t="shared" si="47"/>
        <v>1035</v>
      </c>
      <c r="AR280" s="309">
        <f t="shared" si="47"/>
        <v>1035</v>
      </c>
      <c r="AS280" s="309"/>
      <c r="AT280" s="309"/>
      <c r="AV280" s="311">
        <f t="shared" si="41"/>
        <v>2231000</v>
      </c>
      <c r="AW280" s="311">
        <f t="shared" si="42"/>
        <v>203895</v>
      </c>
      <c r="AX280" s="312">
        <f t="shared" si="43"/>
        <v>0</v>
      </c>
    </row>
    <row r="281" spans="1:50">
      <c r="A281" s="291" t="s">
        <v>494</v>
      </c>
      <c r="B281" s="291"/>
      <c r="C281" s="291"/>
      <c r="D281" s="291">
        <v>1160505001</v>
      </c>
      <c r="E281" s="291">
        <v>0</v>
      </c>
      <c r="F281" s="291">
        <v>40762</v>
      </c>
      <c r="G281" s="306">
        <v>42645</v>
      </c>
      <c r="H281" s="306">
        <v>43740</v>
      </c>
      <c r="I281" s="291">
        <v>1530</v>
      </c>
      <c r="J281" s="307">
        <v>6000000</v>
      </c>
      <c r="K281" s="307">
        <v>1980000</v>
      </c>
      <c r="L281" s="307">
        <v>0</v>
      </c>
      <c r="M281" s="291" t="s">
        <v>495</v>
      </c>
      <c r="N281" s="307">
        <v>6000000</v>
      </c>
      <c r="O281" s="307">
        <v>1980000</v>
      </c>
      <c r="P281" s="307">
        <v>4590000</v>
      </c>
      <c r="Q281" s="291">
        <v>1</v>
      </c>
      <c r="R281" s="291" t="s">
        <v>496</v>
      </c>
      <c r="S281" s="291">
        <v>100</v>
      </c>
      <c r="T281" s="307">
        <v>6000000</v>
      </c>
      <c r="U281" s="307">
        <v>1980000</v>
      </c>
      <c r="V281" s="291">
        <v>100</v>
      </c>
      <c r="W281" s="307">
        <v>1969896</v>
      </c>
      <c r="X281" s="291">
        <v>14</v>
      </c>
      <c r="Y281" s="291">
        <v>1160902010</v>
      </c>
      <c r="Z281" s="291">
        <v>2023</v>
      </c>
      <c r="AA281" s="291">
        <v>12</v>
      </c>
      <c r="AB281" s="291">
        <v>5026003002</v>
      </c>
      <c r="AC281" s="291">
        <v>1160903005</v>
      </c>
      <c r="AD281" s="291">
        <v>0</v>
      </c>
      <c r="AE281" s="291">
        <v>0</v>
      </c>
      <c r="AF281" s="291">
        <v>0</v>
      </c>
      <c r="AG281" s="291">
        <v>1160605001</v>
      </c>
      <c r="AH281" s="291">
        <v>1530</v>
      </c>
      <c r="AI281" s="291" t="s">
        <v>497</v>
      </c>
      <c r="AJ281" s="308">
        <v>0.01</v>
      </c>
      <c r="AK281" s="309">
        <f t="shared" si="44"/>
        <v>60000</v>
      </c>
      <c r="AL281" s="309">
        <f t="shared" si="45"/>
        <v>60000</v>
      </c>
      <c r="AM281" s="309">
        <f t="shared" si="45"/>
        <v>60000</v>
      </c>
      <c r="AN281" s="309"/>
      <c r="AO281" s="309"/>
      <c r="AP281" s="309">
        <f t="shared" si="40"/>
        <v>9900</v>
      </c>
      <c r="AQ281" s="309">
        <f t="shared" si="47"/>
        <v>9900</v>
      </c>
      <c r="AR281" s="309">
        <f t="shared" si="47"/>
        <v>9900</v>
      </c>
      <c r="AS281" s="309"/>
      <c r="AT281" s="309"/>
      <c r="AV281" s="311">
        <f t="shared" si="41"/>
        <v>5820000</v>
      </c>
      <c r="AW281" s="311">
        <f t="shared" si="42"/>
        <v>1950300</v>
      </c>
      <c r="AX281" s="312">
        <f t="shared" si="43"/>
        <v>0</v>
      </c>
    </row>
    <row r="282" spans="1:50">
      <c r="A282" s="291" t="s">
        <v>494</v>
      </c>
      <c r="B282" s="291"/>
      <c r="C282" s="291"/>
      <c r="D282" s="291">
        <v>1160505004</v>
      </c>
      <c r="E282" s="291">
        <v>28174</v>
      </c>
      <c r="F282" s="291">
        <v>38733</v>
      </c>
      <c r="G282" s="306">
        <v>42335</v>
      </c>
      <c r="H282" s="306">
        <v>43431</v>
      </c>
      <c r="I282" s="291">
        <v>1835</v>
      </c>
      <c r="J282" s="307">
        <v>7000000</v>
      </c>
      <c r="K282" s="307">
        <v>1580647</v>
      </c>
      <c r="L282" s="307">
        <v>0</v>
      </c>
      <c r="M282" s="291" t="s">
        <v>495</v>
      </c>
      <c r="N282" s="307">
        <v>7000000</v>
      </c>
      <c r="O282" s="307">
        <v>1580647</v>
      </c>
      <c r="P282" s="307">
        <v>6422500</v>
      </c>
      <c r="Q282" s="291">
        <v>1</v>
      </c>
      <c r="R282" s="291" t="s">
        <v>496</v>
      </c>
      <c r="S282" s="291">
        <v>100</v>
      </c>
      <c r="T282" s="307">
        <v>7000000</v>
      </c>
      <c r="U282" s="307">
        <v>1580647</v>
      </c>
      <c r="V282" s="291">
        <v>200</v>
      </c>
      <c r="W282" s="307">
        <v>15600611</v>
      </c>
      <c r="X282" s="291">
        <v>5</v>
      </c>
      <c r="Y282" s="291">
        <v>1160902010</v>
      </c>
      <c r="Z282" s="291">
        <v>2023</v>
      </c>
      <c r="AA282" s="291">
        <v>12</v>
      </c>
      <c r="AB282" s="291">
        <v>5026003002</v>
      </c>
      <c r="AC282" s="291">
        <v>1160903005</v>
      </c>
      <c r="AD282" s="291">
        <v>0</v>
      </c>
      <c r="AE282" s="291">
        <v>0</v>
      </c>
      <c r="AF282" s="291">
        <v>0</v>
      </c>
      <c r="AG282" s="291">
        <v>1160605001</v>
      </c>
      <c r="AH282" s="291">
        <v>1835</v>
      </c>
      <c r="AI282" s="291" t="s">
        <v>503</v>
      </c>
      <c r="AJ282" s="308">
        <v>0</v>
      </c>
      <c r="AK282" s="309">
        <f t="shared" si="44"/>
        <v>0</v>
      </c>
      <c r="AL282" s="309">
        <f t="shared" si="45"/>
        <v>0</v>
      </c>
      <c r="AM282" s="309">
        <f t="shared" si="45"/>
        <v>0</v>
      </c>
      <c r="AN282" s="309"/>
      <c r="AO282" s="309"/>
      <c r="AP282" s="309">
        <f t="shared" si="40"/>
        <v>0</v>
      </c>
      <c r="AQ282" s="309">
        <f t="shared" si="47"/>
        <v>0</v>
      </c>
      <c r="AR282" s="309">
        <f t="shared" si="47"/>
        <v>0</v>
      </c>
      <c r="AS282" s="309"/>
      <c r="AT282" s="309"/>
      <c r="AV282" s="311">
        <f t="shared" si="41"/>
        <v>7000000</v>
      </c>
      <c r="AW282" s="311">
        <f t="shared" si="42"/>
        <v>1580647</v>
      </c>
      <c r="AX282" s="312">
        <f t="shared" si="43"/>
        <v>0</v>
      </c>
    </row>
    <row r="283" spans="1:50">
      <c r="A283" s="291" t="s">
        <v>494</v>
      </c>
      <c r="B283" s="291"/>
      <c r="C283" s="291"/>
      <c r="D283" s="291">
        <v>1160505004</v>
      </c>
      <c r="E283" s="291">
        <v>31581</v>
      </c>
      <c r="F283" s="291">
        <v>39066</v>
      </c>
      <c r="G283" s="306">
        <v>42400</v>
      </c>
      <c r="H283" s="306">
        <v>43496</v>
      </c>
      <c r="I283" s="291">
        <v>1772</v>
      </c>
      <c r="J283" s="307">
        <v>7099304</v>
      </c>
      <c r="K283" s="307">
        <v>1650787</v>
      </c>
      <c r="L283" s="307">
        <v>0</v>
      </c>
      <c r="M283" s="291" t="s">
        <v>495</v>
      </c>
      <c r="N283" s="307">
        <v>7099304</v>
      </c>
      <c r="O283" s="307">
        <v>1650787</v>
      </c>
      <c r="P283" s="307">
        <v>6289983</v>
      </c>
      <c r="Q283" s="291">
        <v>1</v>
      </c>
      <c r="R283" s="291" t="s">
        <v>496</v>
      </c>
      <c r="S283" s="291">
        <v>100</v>
      </c>
      <c r="T283" s="307">
        <v>7099304</v>
      </c>
      <c r="U283" s="307">
        <v>1650787</v>
      </c>
      <c r="V283" s="291">
        <v>200</v>
      </c>
      <c r="W283" s="307">
        <v>15600611</v>
      </c>
      <c r="X283" s="291">
        <v>5</v>
      </c>
      <c r="Y283" s="291">
        <v>1160902010</v>
      </c>
      <c r="Z283" s="291">
        <v>2023</v>
      </c>
      <c r="AA283" s="291">
        <v>12</v>
      </c>
      <c r="AB283" s="291">
        <v>5026003002</v>
      </c>
      <c r="AC283" s="291">
        <v>1160903005</v>
      </c>
      <c r="AD283" s="291">
        <v>0</v>
      </c>
      <c r="AE283" s="291">
        <v>0</v>
      </c>
      <c r="AF283" s="291">
        <v>0</v>
      </c>
      <c r="AG283" s="291">
        <v>1160605001</v>
      </c>
      <c r="AH283" s="291">
        <v>1835</v>
      </c>
      <c r="AI283" s="291" t="s">
        <v>503</v>
      </c>
      <c r="AJ283" s="308">
        <v>0</v>
      </c>
      <c r="AK283" s="309">
        <f t="shared" si="44"/>
        <v>0</v>
      </c>
      <c r="AL283" s="309">
        <f t="shared" si="45"/>
        <v>0</v>
      </c>
      <c r="AM283" s="309">
        <f t="shared" si="45"/>
        <v>0</v>
      </c>
      <c r="AN283" s="309"/>
      <c r="AO283" s="309"/>
      <c r="AP283" s="309">
        <f t="shared" si="40"/>
        <v>0</v>
      </c>
      <c r="AQ283" s="309">
        <f t="shared" si="47"/>
        <v>0</v>
      </c>
      <c r="AR283" s="309">
        <f t="shared" si="47"/>
        <v>0</v>
      </c>
      <c r="AS283" s="309"/>
      <c r="AT283" s="309"/>
      <c r="AV283" s="311">
        <f t="shared" si="41"/>
        <v>7099304</v>
      </c>
      <c r="AW283" s="311">
        <f t="shared" si="42"/>
        <v>1650787</v>
      </c>
      <c r="AX283" s="312">
        <f t="shared" si="43"/>
        <v>0</v>
      </c>
    </row>
    <row r="284" spans="1:50">
      <c r="A284" s="291" t="s">
        <v>494</v>
      </c>
      <c r="B284" s="291"/>
      <c r="C284" s="291"/>
      <c r="D284" s="291">
        <v>1160505001</v>
      </c>
      <c r="E284" s="291">
        <v>0</v>
      </c>
      <c r="F284" s="291">
        <v>43244</v>
      </c>
      <c r="G284" s="306">
        <v>43106</v>
      </c>
      <c r="H284" s="306">
        <v>43471</v>
      </c>
      <c r="I284" s="291">
        <v>1796</v>
      </c>
      <c r="J284" s="307">
        <v>24000000</v>
      </c>
      <c r="K284" s="307">
        <v>2160000</v>
      </c>
      <c r="L284" s="307">
        <v>0</v>
      </c>
      <c r="M284" s="291" t="s">
        <v>495</v>
      </c>
      <c r="N284" s="307">
        <v>24000000</v>
      </c>
      <c r="O284" s="307">
        <v>2160000</v>
      </c>
      <c r="P284" s="307">
        <v>21552000</v>
      </c>
      <c r="Q284" s="291">
        <v>1</v>
      </c>
      <c r="R284" s="291" t="s">
        <v>496</v>
      </c>
      <c r="S284" s="291">
        <v>100</v>
      </c>
      <c r="T284" s="307">
        <v>24000000</v>
      </c>
      <c r="U284" s="307">
        <v>2160000</v>
      </c>
      <c r="V284" s="291">
        <v>200</v>
      </c>
      <c r="W284" s="307">
        <v>8133389</v>
      </c>
      <c r="X284" s="291">
        <v>2</v>
      </c>
      <c r="Y284" s="291">
        <v>1160902010</v>
      </c>
      <c r="Z284" s="291">
        <v>2023</v>
      </c>
      <c r="AA284" s="291">
        <v>12</v>
      </c>
      <c r="AB284" s="291">
        <v>5026003002</v>
      </c>
      <c r="AC284" s="291">
        <v>1160903005</v>
      </c>
      <c r="AD284" s="291">
        <v>0</v>
      </c>
      <c r="AE284" s="291">
        <v>0</v>
      </c>
      <c r="AF284" s="291">
        <v>0</v>
      </c>
      <c r="AG284" s="291">
        <v>1160605001</v>
      </c>
      <c r="AH284" s="291">
        <v>1796</v>
      </c>
      <c r="AI284" s="291" t="s">
        <v>497</v>
      </c>
      <c r="AJ284" s="308">
        <v>0.01</v>
      </c>
      <c r="AK284" s="309">
        <f t="shared" si="44"/>
        <v>240000</v>
      </c>
      <c r="AL284" s="309">
        <f t="shared" si="45"/>
        <v>240000</v>
      </c>
      <c r="AM284" s="309">
        <f t="shared" si="45"/>
        <v>240000</v>
      </c>
      <c r="AN284" s="309"/>
      <c r="AO284" s="309"/>
      <c r="AP284" s="309">
        <f t="shared" si="40"/>
        <v>10800</v>
      </c>
      <c r="AQ284" s="309">
        <f t="shared" si="47"/>
        <v>10800</v>
      </c>
      <c r="AR284" s="309">
        <f t="shared" si="47"/>
        <v>10800</v>
      </c>
      <c r="AS284" s="309"/>
      <c r="AT284" s="309"/>
      <c r="AV284" s="311">
        <f t="shared" si="41"/>
        <v>23280000</v>
      </c>
      <c r="AW284" s="311">
        <f t="shared" si="42"/>
        <v>2127600</v>
      </c>
      <c r="AX284" s="312">
        <f t="shared" si="43"/>
        <v>0</v>
      </c>
    </row>
    <row r="285" spans="1:50">
      <c r="A285" s="291" t="s">
        <v>494</v>
      </c>
      <c r="B285" s="291"/>
      <c r="C285" s="291"/>
      <c r="D285" s="291">
        <v>1160505001</v>
      </c>
      <c r="E285" s="291">
        <v>0</v>
      </c>
      <c r="F285" s="291">
        <v>46534</v>
      </c>
      <c r="G285" s="306">
        <v>43560</v>
      </c>
      <c r="H285" s="306">
        <v>44656</v>
      </c>
      <c r="I285" s="291">
        <v>627</v>
      </c>
      <c r="J285" s="307">
        <v>3666000</v>
      </c>
      <c r="K285" s="307">
        <v>668434</v>
      </c>
      <c r="L285" s="307">
        <v>0</v>
      </c>
      <c r="M285" s="291" t="s">
        <v>495</v>
      </c>
      <c r="N285" s="307">
        <v>3666000</v>
      </c>
      <c r="O285" s="307">
        <v>668434</v>
      </c>
      <c r="P285" s="307">
        <v>1149291</v>
      </c>
      <c r="Q285" s="291">
        <v>1</v>
      </c>
      <c r="R285" s="291" t="s">
        <v>496</v>
      </c>
      <c r="S285" s="291">
        <v>100</v>
      </c>
      <c r="T285" s="307">
        <v>3666000</v>
      </c>
      <c r="U285" s="307">
        <v>668434</v>
      </c>
      <c r="V285" s="291">
        <v>200</v>
      </c>
      <c r="W285" s="307">
        <v>10003033</v>
      </c>
      <c r="X285" s="291">
        <v>14</v>
      </c>
      <c r="Y285" s="291">
        <v>1160902010</v>
      </c>
      <c r="Z285" s="291">
        <v>2023</v>
      </c>
      <c r="AA285" s="291">
        <v>12</v>
      </c>
      <c r="AB285" s="291">
        <v>5026003002</v>
      </c>
      <c r="AC285" s="291">
        <v>1160903005</v>
      </c>
      <c r="AD285" s="291">
        <v>0</v>
      </c>
      <c r="AE285" s="291">
        <v>0</v>
      </c>
      <c r="AF285" s="291">
        <v>0</v>
      </c>
      <c r="AG285" s="291">
        <v>1160605001</v>
      </c>
      <c r="AH285" s="291">
        <v>627</v>
      </c>
      <c r="AI285" s="291" t="s">
        <v>498</v>
      </c>
      <c r="AJ285" s="308">
        <v>0.1</v>
      </c>
      <c r="AK285" s="309">
        <f t="shared" si="44"/>
        <v>366600</v>
      </c>
      <c r="AL285" s="309">
        <f t="shared" si="45"/>
        <v>366600</v>
      </c>
      <c r="AM285" s="309">
        <f t="shared" si="45"/>
        <v>366600</v>
      </c>
      <c r="AN285" s="309"/>
      <c r="AO285" s="309"/>
      <c r="AP285" s="309">
        <f t="shared" si="40"/>
        <v>33421.700000000004</v>
      </c>
      <c r="AQ285" s="309">
        <f t="shared" si="47"/>
        <v>33421.700000000004</v>
      </c>
      <c r="AR285" s="309">
        <f t="shared" si="47"/>
        <v>33421.700000000004</v>
      </c>
      <c r="AS285" s="309"/>
      <c r="AT285" s="309"/>
      <c r="AV285" s="311">
        <f t="shared" si="41"/>
        <v>2566200</v>
      </c>
      <c r="AW285" s="311">
        <f t="shared" si="42"/>
        <v>568168.90000000014</v>
      </c>
      <c r="AX285" s="312">
        <f t="shared" si="43"/>
        <v>0</v>
      </c>
    </row>
    <row r="286" spans="1:50">
      <c r="A286" s="291" t="s">
        <v>494</v>
      </c>
      <c r="B286" s="291"/>
      <c r="C286" s="291"/>
      <c r="D286" s="291">
        <v>1160505001</v>
      </c>
      <c r="E286" s="291">
        <v>0</v>
      </c>
      <c r="F286" s="291">
        <v>40897</v>
      </c>
      <c r="G286" s="306">
        <v>42708</v>
      </c>
      <c r="H286" s="306">
        <v>44534</v>
      </c>
      <c r="I286" s="291">
        <v>748</v>
      </c>
      <c r="J286" s="307">
        <v>4000000</v>
      </c>
      <c r="K286" s="307">
        <v>2599981</v>
      </c>
      <c r="L286" s="307">
        <v>0</v>
      </c>
      <c r="M286" s="291" t="s">
        <v>495</v>
      </c>
      <c r="N286" s="307">
        <v>4000000</v>
      </c>
      <c r="O286" s="307">
        <v>2599981</v>
      </c>
      <c r="P286" s="307">
        <v>1496000</v>
      </c>
      <c r="Q286" s="291">
        <v>1</v>
      </c>
      <c r="R286" s="291" t="s">
        <v>496</v>
      </c>
      <c r="S286" s="291">
        <v>100</v>
      </c>
      <c r="T286" s="307">
        <v>4000000</v>
      </c>
      <c r="U286" s="307">
        <v>2599981</v>
      </c>
      <c r="V286" s="291">
        <v>100</v>
      </c>
      <c r="W286" s="307">
        <v>951341</v>
      </c>
      <c r="X286" s="291">
        <v>14</v>
      </c>
      <c r="Y286" s="291">
        <v>1160902010</v>
      </c>
      <c r="Z286" s="291">
        <v>2023</v>
      </c>
      <c r="AA286" s="291">
        <v>12</v>
      </c>
      <c r="AB286" s="291">
        <v>5026003002</v>
      </c>
      <c r="AC286" s="291">
        <v>1160903005</v>
      </c>
      <c r="AD286" s="291">
        <v>0</v>
      </c>
      <c r="AE286" s="291">
        <v>0</v>
      </c>
      <c r="AF286" s="291">
        <v>0</v>
      </c>
      <c r="AG286" s="291">
        <v>1160605001</v>
      </c>
      <c r="AH286" s="291">
        <v>748</v>
      </c>
      <c r="AI286" s="291" t="s">
        <v>499</v>
      </c>
      <c r="AJ286" s="308">
        <v>0.05</v>
      </c>
      <c r="AK286" s="309">
        <f t="shared" si="44"/>
        <v>200000</v>
      </c>
      <c r="AL286" s="309">
        <f t="shared" si="45"/>
        <v>200000</v>
      </c>
      <c r="AM286" s="309">
        <f t="shared" si="45"/>
        <v>200000</v>
      </c>
      <c r="AN286" s="309"/>
      <c r="AO286" s="309"/>
      <c r="AP286" s="309">
        <f t="shared" si="40"/>
        <v>64999.525000000001</v>
      </c>
      <c r="AQ286" s="309">
        <f t="shared" si="47"/>
        <v>64999.525000000001</v>
      </c>
      <c r="AR286" s="309">
        <f t="shared" si="47"/>
        <v>64999.525000000001</v>
      </c>
      <c r="AS286" s="309"/>
      <c r="AT286" s="309"/>
      <c r="AV286" s="311">
        <f t="shared" si="41"/>
        <v>3400000</v>
      </c>
      <c r="AW286" s="311">
        <f t="shared" si="42"/>
        <v>2404982.4250000003</v>
      </c>
      <c r="AX286" s="312">
        <f t="shared" si="43"/>
        <v>0</v>
      </c>
    </row>
    <row r="287" spans="1:50">
      <c r="A287" s="291" t="s">
        <v>494</v>
      </c>
      <c r="B287" s="291"/>
      <c r="C287" s="291"/>
      <c r="D287" s="291">
        <v>1160505001</v>
      </c>
      <c r="E287" s="291">
        <v>0</v>
      </c>
      <c r="F287" s="291">
        <v>46478</v>
      </c>
      <c r="G287" s="306">
        <v>43552</v>
      </c>
      <c r="H287" s="306">
        <v>44648</v>
      </c>
      <c r="I287" s="291">
        <v>634</v>
      </c>
      <c r="J287" s="307">
        <v>4000000</v>
      </c>
      <c r="K287" s="307">
        <v>0</v>
      </c>
      <c r="L287" s="307">
        <v>0</v>
      </c>
      <c r="M287" s="291" t="s">
        <v>495</v>
      </c>
      <c r="N287" s="307">
        <v>4000000</v>
      </c>
      <c r="O287" s="307">
        <v>0</v>
      </c>
      <c r="P287" s="307">
        <v>1268000</v>
      </c>
      <c r="Q287" s="291">
        <v>1</v>
      </c>
      <c r="R287" s="291" t="s">
        <v>496</v>
      </c>
      <c r="S287" s="291">
        <v>100</v>
      </c>
      <c r="T287" s="307">
        <v>4000000</v>
      </c>
      <c r="U287" s="307">
        <v>0</v>
      </c>
      <c r="V287" s="291">
        <v>300</v>
      </c>
      <c r="W287" s="307">
        <v>4070468</v>
      </c>
      <c r="X287" s="291">
        <v>2</v>
      </c>
      <c r="Y287" s="291">
        <v>1160902010</v>
      </c>
      <c r="Z287" s="291">
        <v>2023</v>
      </c>
      <c r="AA287" s="291">
        <v>12</v>
      </c>
      <c r="AB287" s="291">
        <v>5026003002</v>
      </c>
      <c r="AC287" s="291">
        <v>1160903005</v>
      </c>
      <c r="AD287" s="291">
        <v>0</v>
      </c>
      <c r="AE287" s="291">
        <v>0</v>
      </c>
      <c r="AF287" s="291">
        <v>0</v>
      </c>
      <c r="AG287" s="291">
        <v>1160605001</v>
      </c>
      <c r="AH287" s="291">
        <v>634</v>
      </c>
      <c r="AI287" s="291" t="s">
        <v>498</v>
      </c>
      <c r="AJ287" s="308">
        <v>0.1</v>
      </c>
      <c r="AK287" s="309">
        <f t="shared" si="44"/>
        <v>400000</v>
      </c>
      <c r="AL287" s="309">
        <f t="shared" si="45"/>
        <v>400000</v>
      </c>
      <c r="AM287" s="309">
        <f t="shared" si="45"/>
        <v>400000</v>
      </c>
      <c r="AN287" s="309"/>
      <c r="AO287" s="309"/>
      <c r="AP287" s="309">
        <f t="shared" si="40"/>
        <v>0</v>
      </c>
      <c r="AQ287" s="309">
        <f t="shared" si="47"/>
        <v>0</v>
      </c>
      <c r="AR287" s="309">
        <f t="shared" si="47"/>
        <v>0</v>
      </c>
      <c r="AS287" s="309"/>
      <c r="AT287" s="309"/>
      <c r="AV287" s="311">
        <f t="shared" si="41"/>
        <v>2800000</v>
      </c>
      <c r="AW287" s="311">
        <f t="shared" si="42"/>
        <v>0</v>
      </c>
      <c r="AX287" s="312">
        <f t="shared" si="43"/>
        <v>0</v>
      </c>
    </row>
    <row r="288" spans="1:50">
      <c r="A288" s="291" t="s">
        <v>494</v>
      </c>
      <c r="B288" s="291"/>
      <c r="C288" s="291"/>
      <c r="D288" s="291">
        <v>1160505001</v>
      </c>
      <c r="E288" s="291">
        <v>0</v>
      </c>
      <c r="F288" s="291">
        <v>47188</v>
      </c>
      <c r="G288" s="306">
        <v>43679</v>
      </c>
      <c r="H288" s="306">
        <v>44561</v>
      </c>
      <c r="I288" s="291">
        <v>722</v>
      </c>
      <c r="J288" s="307">
        <v>14475806</v>
      </c>
      <c r="K288" s="307">
        <v>1737096</v>
      </c>
      <c r="L288" s="307">
        <v>0</v>
      </c>
      <c r="M288" s="291" t="s">
        <v>495</v>
      </c>
      <c r="N288" s="307">
        <v>14475806</v>
      </c>
      <c r="O288" s="307">
        <v>1737096</v>
      </c>
      <c r="P288" s="307">
        <v>5225766</v>
      </c>
      <c r="Q288" s="291">
        <v>1</v>
      </c>
      <c r="R288" s="291" t="s">
        <v>496</v>
      </c>
      <c r="S288" s="291">
        <v>100</v>
      </c>
      <c r="T288" s="307">
        <v>14475806</v>
      </c>
      <c r="U288" s="307">
        <v>1737096</v>
      </c>
      <c r="V288" s="291">
        <v>300</v>
      </c>
      <c r="W288" s="307">
        <v>2664040</v>
      </c>
      <c r="X288" s="291">
        <v>15</v>
      </c>
      <c r="Y288" s="291">
        <v>1160902010</v>
      </c>
      <c r="Z288" s="291">
        <v>2023</v>
      </c>
      <c r="AA288" s="291">
        <v>12</v>
      </c>
      <c r="AB288" s="291">
        <v>5026003002</v>
      </c>
      <c r="AC288" s="291">
        <v>1160903005</v>
      </c>
      <c r="AD288" s="291">
        <v>0</v>
      </c>
      <c r="AE288" s="291">
        <v>0</v>
      </c>
      <c r="AF288" s="291">
        <v>0</v>
      </c>
      <c r="AG288" s="291">
        <v>1160605001</v>
      </c>
      <c r="AH288" s="291">
        <v>722</v>
      </c>
      <c r="AI288" s="291" t="s">
        <v>499</v>
      </c>
      <c r="AJ288" s="308">
        <v>0.05</v>
      </c>
      <c r="AK288" s="309">
        <f t="shared" si="44"/>
        <v>723790.3</v>
      </c>
      <c r="AL288" s="309">
        <f t="shared" si="45"/>
        <v>723790.3</v>
      </c>
      <c r="AM288" s="309">
        <f t="shared" si="45"/>
        <v>723790.3</v>
      </c>
      <c r="AN288" s="309"/>
      <c r="AO288" s="309"/>
      <c r="AP288" s="309">
        <f t="shared" si="40"/>
        <v>43427.4</v>
      </c>
      <c r="AQ288" s="309">
        <f t="shared" si="47"/>
        <v>43427.4</v>
      </c>
      <c r="AR288" s="309">
        <f t="shared" si="47"/>
        <v>43427.4</v>
      </c>
      <c r="AS288" s="309"/>
      <c r="AT288" s="309"/>
      <c r="AV288" s="311">
        <f t="shared" si="41"/>
        <v>12304435.099999998</v>
      </c>
      <c r="AW288" s="311">
        <f t="shared" si="42"/>
        <v>1606813.8000000003</v>
      </c>
      <c r="AX288" s="312">
        <f t="shared" si="43"/>
        <v>0</v>
      </c>
    </row>
    <row r="289" spans="1:51">
      <c r="A289" s="291" t="s">
        <v>494</v>
      </c>
      <c r="B289" s="291"/>
      <c r="C289" s="291"/>
      <c r="D289" s="291">
        <v>1160505001</v>
      </c>
      <c r="E289" s="291">
        <v>0</v>
      </c>
      <c r="F289" s="291">
        <v>47084</v>
      </c>
      <c r="G289" s="306">
        <v>43658</v>
      </c>
      <c r="H289" s="306">
        <v>44512</v>
      </c>
      <c r="I289" s="291">
        <v>770</v>
      </c>
      <c r="J289" s="307">
        <v>10714285</v>
      </c>
      <c r="K289" s="307">
        <v>1482147</v>
      </c>
      <c r="L289" s="307">
        <v>0</v>
      </c>
      <c r="M289" s="291" t="s">
        <v>495</v>
      </c>
      <c r="N289" s="307">
        <v>10714285</v>
      </c>
      <c r="O289" s="307">
        <v>1482147</v>
      </c>
      <c r="P289" s="307">
        <v>4125000</v>
      </c>
      <c r="Q289" s="291">
        <v>1</v>
      </c>
      <c r="R289" s="291" t="s">
        <v>496</v>
      </c>
      <c r="S289" s="291">
        <v>100</v>
      </c>
      <c r="T289" s="307">
        <v>10714285</v>
      </c>
      <c r="U289" s="307">
        <v>1482147</v>
      </c>
      <c r="V289" s="291">
        <v>300</v>
      </c>
      <c r="W289" s="307">
        <v>21966433</v>
      </c>
      <c r="X289" s="291">
        <v>15</v>
      </c>
      <c r="Y289" s="291">
        <v>1160902010</v>
      </c>
      <c r="Z289" s="291">
        <v>2023</v>
      </c>
      <c r="AA289" s="291">
        <v>12</v>
      </c>
      <c r="AB289" s="291">
        <v>5026003002</v>
      </c>
      <c r="AC289" s="291">
        <v>1160903005</v>
      </c>
      <c r="AD289" s="291">
        <v>0</v>
      </c>
      <c r="AE289" s="291">
        <v>0</v>
      </c>
      <c r="AF289" s="291">
        <v>0</v>
      </c>
      <c r="AG289" s="291">
        <v>1160605001</v>
      </c>
      <c r="AH289" s="291">
        <v>770</v>
      </c>
      <c r="AI289" s="291" t="s">
        <v>499</v>
      </c>
      <c r="AJ289" s="308">
        <v>0.05</v>
      </c>
      <c r="AK289" s="309">
        <f t="shared" si="44"/>
        <v>535714.25</v>
      </c>
      <c r="AL289" s="309">
        <f t="shared" si="45"/>
        <v>535714.25</v>
      </c>
      <c r="AM289" s="309">
        <f t="shared" si="45"/>
        <v>535714.25</v>
      </c>
      <c r="AN289" s="309"/>
      <c r="AO289" s="309"/>
      <c r="AP289" s="309">
        <f t="shared" si="40"/>
        <v>37053.675000000003</v>
      </c>
      <c r="AQ289" s="309">
        <f t="shared" si="47"/>
        <v>37053.675000000003</v>
      </c>
      <c r="AR289" s="309">
        <f t="shared" si="47"/>
        <v>37053.675000000003</v>
      </c>
      <c r="AS289" s="309"/>
      <c r="AT289" s="309"/>
      <c r="AV289" s="311">
        <f t="shared" si="41"/>
        <v>9107142.25</v>
      </c>
      <c r="AW289" s="311">
        <f t="shared" si="42"/>
        <v>1370985.9749999999</v>
      </c>
      <c r="AX289" s="312">
        <f t="shared" si="43"/>
        <v>0</v>
      </c>
    </row>
    <row r="290" spans="1:51">
      <c r="A290" s="291" t="s">
        <v>494</v>
      </c>
      <c r="B290" s="291"/>
      <c r="C290" s="291"/>
      <c r="D290" s="291">
        <v>1160405004</v>
      </c>
      <c r="E290" s="291">
        <v>47167</v>
      </c>
      <c r="F290" s="291">
        <v>47168</v>
      </c>
      <c r="G290" s="306">
        <v>43674</v>
      </c>
      <c r="H290" s="306">
        <v>44770</v>
      </c>
      <c r="I290" s="291">
        <v>514</v>
      </c>
      <c r="J290" s="307">
        <v>161265483</v>
      </c>
      <c r="K290" s="307">
        <v>87083352</v>
      </c>
      <c r="L290" s="307">
        <v>573671000</v>
      </c>
      <c r="M290" s="291" t="s">
        <v>495</v>
      </c>
      <c r="N290" s="307">
        <v>0</v>
      </c>
      <c r="O290" s="307">
        <v>87083352</v>
      </c>
      <c r="P290" s="307">
        <v>41445229</v>
      </c>
      <c r="Q290" s="291">
        <v>2</v>
      </c>
      <c r="R290" s="291" t="s">
        <v>496</v>
      </c>
      <c r="S290" s="291">
        <v>100</v>
      </c>
      <c r="T290" s="307">
        <v>0</v>
      </c>
      <c r="U290" s="307">
        <v>87083352</v>
      </c>
      <c r="V290" s="291">
        <v>300</v>
      </c>
      <c r="W290" s="307">
        <v>11801621</v>
      </c>
      <c r="X290" s="291">
        <v>5</v>
      </c>
      <c r="Y290" s="291">
        <v>1160902008</v>
      </c>
      <c r="Z290" s="291">
        <v>2023</v>
      </c>
      <c r="AA290" s="291">
        <v>12</v>
      </c>
      <c r="AB290" s="291">
        <v>5026003002</v>
      </c>
      <c r="AC290" s="291">
        <v>1160903005</v>
      </c>
      <c r="AD290" s="291">
        <v>0</v>
      </c>
      <c r="AE290" s="291">
        <v>0</v>
      </c>
      <c r="AF290" s="291">
        <v>1</v>
      </c>
      <c r="AG290" s="291">
        <v>1160605001</v>
      </c>
      <c r="AH290" s="291">
        <v>514</v>
      </c>
      <c r="AI290" s="291" t="s">
        <v>503</v>
      </c>
      <c r="AJ290" s="308">
        <v>0</v>
      </c>
      <c r="AK290" s="309">
        <f t="shared" si="44"/>
        <v>0</v>
      </c>
      <c r="AL290" s="309">
        <f t="shared" si="45"/>
        <v>0</v>
      </c>
      <c r="AM290" s="309">
        <f t="shared" si="45"/>
        <v>0</v>
      </c>
      <c r="AN290" s="309"/>
      <c r="AO290" s="309"/>
      <c r="AP290" s="309">
        <f t="shared" si="40"/>
        <v>0</v>
      </c>
      <c r="AQ290" s="309">
        <f t="shared" si="47"/>
        <v>0</v>
      </c>
      <c r="AR290" s="309">
        <f t="shared" si="47"/>
        <v>0</v>
      </c>
      <c r="AS290" s="309"/>
      <c r="AT290" s="309"/>
      <c r="AV290" s="311">
        <f t="shared" si="41"/>
        <v>161265483</v>
      </c>
      <c r="AW290" s="311">
        <f t="shared" si="42"/>
        <v>87083352</v>
      </c>
      <c r="AX290" s="312">
        <f t="shared" si="43"/>
        <v>161265483</v>
      </c>
      <c r="AY290" s="312">
        <f>+AX290-L290</f>
        <v>-412405517</v>
      </c>
    </row>
    <row r="291" spans="1:51">
      <c r="A291" s="291" t="s">
        <v>494</v>
      </c>
      <c r="B291" s="291"/>
      <c r="C291" s="291"/>
      <c r="D291" s="291">
        <v>1160405004</v>
      </c>
      <c r="E291" s="291">
        <v>0</v>
      </c>
      <c r="F291" s="291">
        <v>36626</v>
      </c>
      <c r="G291" s="306">
        <v>43674</v>
      </c>
      <c r="H291" s="306">
        <v>44770</v>
      </c>
      <c r="I291" s="291">
        <v>514</v>
      </c>
      <c r="J291" s="307">
        <v>0</v>
      </c>
      <c r="K291" s="307">
        <v>59046090</v>
      </c>
      <c r="L291" s="307">
        <v>0</v>
      </c>
      <c r="M291" s="291" t="s">
        <v>495</v>
      </c>
      <c r="N291" s="307">
        <v>0</v>
      </c>
      <c r="O291" s="307">
        <v>59046090</v>
      </c>
      <c r="P291" s="307">
        <v>0</v>
      </c>
      <c r="Q291" s="291">
        <v>2</v>
      </c>
      <c r="R291" s="291" t="s">
        <v>496</v>
      </c>
      <c r="S291" s="291">
        <v>100</v>
      </c>
      <c r="T291" s="307">
        <v>0</v>
      </c>
      <c r="U291" s="307">
        <v>59046090</v>
      </c>
      <c r="V291" s="291">
        <v>300</v>
      </c>
      <c r="W291" s="307">
        <v>11801621</v>
      </c>
      <c r="X291" s="291">
        <v>5</v>
      </c>
      <c r="Y291" s="291">
        <v>1160902008</v>
      </c>
      <c r="Z291" s="291">
        <v>2023</v>
      </c>
      <c r="AA291" s="291">
        <v>12</v>
      </c>
      <c r="AB291" s="291">
        <v>5026003002</v>
      </c>
      <c r="AC291" s="291">
        <v>1160903005</v>
      </c>
      <c r="AD291" s="291">
        <v>0</v>
      </c>
      <c r="AE291" s="291">
        <v>0</v>
      </c>
      <c r="AF291" s="291">
        <v>1</v>
      </c>
      <c r="AG291" s="291">
        <v>1160605001</v>
      </c>
      <c r="AH291" s="291">
        <v>514</v>
      </c>
      <c r="AI291" s="291" t="s">
        <v>503</v>
      </c>
      <c r="AJ291" s="308">
        <v>0</v>
      </c>
      <c r="AK291" s="309">
        <f t="shared" si="44"/>
        <v>0</v>
      </c>
      <c r="AL291" s="309">
        <f t="shared" si="45"/>
        <v>0</v>
      </c>
      <c r="AM291" s="309">
        <f t="shared" si="45"/>
        <v>0</v>
      </c>
      <c r="AN291" s="309"/>
      <c r="AO291" s="309"/>
      <c r="AP291" s="309">
        <f t="shared" si="40"/>
        <v>0</v>
      </c>
      <c r="AQ291" s="309">
        <f t="shared" si="47"/>
        <v>0</v>
      </c>
      <c r="AR291" s="309">
        <f t="shared" si="47"/>
        <v>0</v>
      </c>
      <c r="AS291" s="309"/>
      <c r="AT291" s="309"/>
      <c r="AV291" s="311">
        <f t="shared" si="41"/>
        <v>0</v>
      </c>
      <c r="AW291" s="311">
        <f t="shared" si="42"/>
        <v>59046090</v>
      </c>
      <c r="AX291" s="312">
        <f t="shared" si="43"/>
        <v>0</v>
      </c>
    </row>
    <row r="292" spans="1:51">
      <c r="A292" s="291" t="s">
        <v>494</v>
      </c>
      <c r="B292" s="291"/>
      <c r="C292" s="291"/>
      <c r="D292" s="291">
        <v>1160505001</v>
      </c>
      <c r="E292" s="291">
        <v>0</v>
      </c>
      <c r="F292" s="291">
        <v>40904</v>
      </c>
      <c r="G292" s="306">
        <v>42710</v>
      </c>
      <c r="H292" s="306">
        <v>43440</v>
      </c>
      <c r="I292" s="291">
        <v>1826</v>
      </c>
      <c r="J292" s="307">
        <v>2150000</v>
      </c>
      <c r="K292" s="307">
        <v>206045</v>
      </c>
      <c r="L292" s="307">
        <v>0</v>
      </c>
      <c r="M292" s="291" t="s">
        <v>495</v>
      </c>
      <c r="N292" s="307">
        <v>2150000</v>
      </c>
      <c r="O292" s="307">
        <v>206045</v>
      </c>
      <c r="P292" s="307">
        <v>1962950</v>
      </c>
      <c r="Q292" s="291">
        <v>1</v>
      </c>
      <c r="R292" s="291" t="s">
        <v>496</v>
      </c>
      <c r="S292" s="291">
        <v>100</v>
      </c>
      <c r="T292" s="307">
        <v>2150000</v>
      </c>
      <c r="U292" s="307">
        <v>206045</v>
      </c>
      <c r="V292" s="291">
        <v>300</v>
      </c>
      <c r="W292" s="307">
        <v>2409425</v>
      </c>
      <c r="X292" s="291">
        <v>2</v>
      </c>
      <c r="Y292" s="291">
        <v>1160902010</v>
      </c>
      <c r="Z292" s="291">
        <v>2023</v>
      </c>
      <c r="AA292" s="291">
        <v>12</v>
      </c>
      <c r="AB292" s="291">
        <v>5026003002</v>
      </c>
      <c r="AC292" s="291">
        <v>1160903005</v>
      </c>
      <c r="AD292" s="291">
        <v>0</v>
      </c>
      <c r="AE292" s="291">
        <v>0</v>
      </c>
      <c r="AF292" s="291">
        <v>0</v>
      </c>
      <c r="AG292" s="291">
        <v>1160605001</v>
      </c>
      <c r="AH292" s="291">
        <v>1826</v>
      </c>
      <c r="AI292" s="291" t="s">
        <v>497</v>
      </c>
      <c r="AJ292" s="308">
        <v>0.01</v>
      </c>
      <c r="AK292" s="309">
        <f t="shared" si="44"/>
        <v>21500</v>
      </c>
      <c r="AL292" s="309">
        <f t="shared" si="45"/>
        <v>21500</v>
      </c>
      <c r="AM292" s="309">
        <f t="shared" si="45"/>
        <v>21500</v>
      </c>
      <c r="AN292" s="309"/>
      <c r="AO292" s="309"/>
      <c r="AP292" s="309">
        <f t="shared" si="40"/>
        <v>1030.2249999999999</v>
      </c>
      <c r="AQ292" s="309">
        <f t="shared" si="47"/>
        <v>1030.2249999999999</v>
      </c>
      <c r="AR292" s="309">
        <f t="shared" si="47"/>
        <v>1030.2249999999999</v>
      </c>
      <c r="AS292" s="309"/>
      <c r="AT292" s="309"/>
      <c r="AV292" s="311">
        <f t="shared" si="41"/>
        <v>2085500</v>
      </c>
      <c r="AW292" s="311">
        <f t="shared" si="42"/>
        <v>202954.32499999998</v>
      </c>
      <c r="AX292" s="312">
        <f t="shared" si="43"/>
        <v>0</v>
      </c>
    </row>
    <row r="293" spans="1:51">
      <c r="A293" s="291" t="s">
        <v>494</v>
      </c>
      <c r="B293" s="291"/>
      <c r="C293" s="291"/>
      <c r="D293" s="291">
        <v>1160505001</v>
      </c>
      <c r="E293" s="291">
        <v>0</v>
      </c>
      <c r="F293" s="291">
        <v>43184</v>
      </c>
      <c r="G293" s="306">
        <v>43090</v>
      </c>
      <c r="H293" s="306">
        <v>43820</v>
      </c>
      <c r="I293" s="291">
        <v>1451</v>
      </c>
      <c r="J293" s="307">
        <v>4000000</v>
      </c>
      <c r="K293" s="307">
        <v>799992</v>
      </c>
      <c r="L293" s="307">
        <v>0</v>
      </c>
      <c r="M293" s="291" t="s">
        <v>495</v>
      </c>
      <c r="N293" s="307">
        <v>4000000</v>
      </c>
      <c r="O293" s="307">
        <v>799992</v>
      </c>
      <c r="P293" s="307">
        <v>2902000</v>
      </c>
      <c r="Q293" s="291">
        <v>1</v>
      </c>
      <c r="R293" s="291" t="s">
        <v>496</v>
      </c>
      <c r="S293" s="291">
        <v>100</v>
      </c>
      <c r="T293" s="307">
        <v>4000000</v>
      </c>
      <c r="U293" s="307">
        <v>799992</v>
      </c>
      <c r="V293" s="291">
        <v>300</v>
      </c>
      <c r="W293" s="307">
        <v>2409425</v>
      </c>
      <c r="X293" s="291">
        <v>2</v>
      </c>
      <c r="Y293" s="291">
        <v>1160902010</v>
      </c>
      <c r="Z293" s="291">
        <v>2023</v>
      </c>
      <c r="AA293" s="291">
        <v>12</v>
      </c>
      <c r="AB293" s="291">
        <v>5026003002</v>
      </c>
      <c r="AC293" s="291">
        <v>1160903005</v>
      </c>
      <c r="AD293" s="291">
        <v>0</v>
      </c>
      <c r="AE293" s="291">
        <v>0</v>
      </c>
      <c r="AF293" s="291">
        <v>0</v>
      </c>
      <c r="AG293" s="291">
        <v>1160605001</v>
      </c>
      <c r="AH293" s="291">
        <v>1826</v>
      </c>
      <c r="AI293" s="291" t="s">
        <v>497</v>
      </c>
      <c r="AJ293" s="308">
        <v>0.01</v>
      </c>
      <c r="AK293" s="309">
        <f t="shared" si="44"/>
        <v>40000</v>
      </c>
      <c r="AL293" s="309">
        <f t="shared" si="45"/>
        <v>40000</v>
      </c>
      <c r="AM293" s="309">
        <f t="shared" si="45"/>
        <v>40000</v>
      </c>
      <c r="AN293" s="309"/>
      <c r="AO293" s="309"/>
      <c r="AP293" s="309">
        <f t="shared" si="40"/>
        <v>3999.96</v>
      </c>
      <c r="AQ293" s="309">
        <f t="shared" si="47"/>
        <v>3999.96</v>
      </c>
      <c r="AR293" s="309">
        <f t="shared" si="47"/>
        <v>3999.96</v>
      </c>
      <c r="AS293" s="309"/>
      <c r="AT293" s="309"/>
      <c r="AV293" s="311">
        <f t="shared" si="41"/>
        <v>3880000</v>
      </c>
      <c r="AW293" s="311">
        <f t="shared" si="42"/>
        <v>787992.12000000011</v>
      </c>
      <c r="AX293" s="312">
        <f t="shared" si="43"/>
        <v>0</v>
      </c>
    </row>
    <row r="294" spans="1:51">
      <c r="A294" s="291" t="s">
        <v>494</v>
      </c>
      <c r="B294" s="291"/>
      <c r="C294" s="291"/>
      <c r="D294" s="291">
        <v>1160505002</v>
      </c>
      <c r="E294" s="291">
        <v>0</v>
      </c>
      <c r="F294" s="291">
        <v>43136</v>
      </c>
      <c r="G294" s="306">
        <v>43081</v>
      </c>
      <c r="H294" s="306">
        <v>43446</v>
      </c>
      <c r="I294" s="291">
        <v>1820</v>
      </c>
      <c r="J294" s="307">
        <v>2145955</v>
      </c>
      <c r="K294" s="307">
        <v>26825</v>
      </c>
      <c r="L294" s="307">
        <v>0</v>
      </c>
      <c r="M294" s="291" t="s">
        <v>495</v>
      </c>
      <c r="N294" s="307">
        <v>2145955</v>
      </c>
      <c r="O294" s="307">
        <v>26825</v>
      </c>
      <c r="P294" s="307">
        <v>1952819</v>
      </c>
      <c r="Q294" s="291">
        <v>1</v>
      </c>
      <c r="R294" s="291" t="s">
        <v>496</v>
      </c>
      <c r="S294" s="291">
        <v>100</v>
      </c>
      <c r="T294" s="307">
        <v>2145955</v>
      </c>
      <c r="U294" s="307">
        <v>26825</v>
      </c>
      <c r="V294" s="291">
        <v>300</v>
      </c>
      <c r="W294" s="307">
        <v>2409425</v>
      </c>
      <c r="X294" s="291">
        <v>6</v>
      </c>
      <c r="Y294" s="291">
        <v>1160902010</v>
      </c>
      <c r="Z294" s="291">
        <v>2023</v>
      </c>
      <c r="AA294" s="291">
        <v>12</v>
      </c>
      <c r="AB294" s="291">
        <v>5026003002</v>
      </c>
      <c r="AC294" s="291">
        <v>1160903005</v>
      </c>
      <c r="AD294" s="291">
        <v>0</v>
      </c>
      <c r="AE294" s="291">
        <v>0</v>
      </c>
      <c r="AF294" s="291">
        <v>0</v>
      </c>
      <c r="AG294" s="291">
        <v>1160605001</v>
      </c>
      <c r="AH294" s="291">
        <v>1826</v>
      </c>
      <c r="AI294" s="291" t="s">
        <v>497</v>
      </c>
      <c r="AJ294" s="308">
        <v>0.01</v>
      </c>
      <c r="AK294" s="309">
        <f t="shared" si="44"/>
        <v>21459.55</v>
      </c>
      <c r="AL294" s="309">
        <f t="shared" si="45"/>
        <v>21459.55</v>
      </c>
      <c r="AM294" s="309">
        <f t="shared" si="45"/>
        <v>21459.55</v>
      </c>
      <c r="AN294" s="309"/>
      <c r="AO294" s="309"/>
      <c r="AP294" s="309">
        <f t="shared" si="40"/>
        <v>134.125</v>
      </c>
      <c r="AQ294" s="309">
        <f t="shared" si="47"/>
        <v>134.125</v>
      </c>
      <c r="AR294" s="309">
        <f t="shared" si="47"/>
        <v>134.125</v>
      </c>
      <c r="AS294" s="309"/>
      <c r="AT294" s="309"/>
      <c r="AV294" s="311">
        <f t="shared" si="41"/>
        <v>2081576.3500000003</v>
      </c>
      <c r="AW294" s="311">
        <f t="shared" si="42"/>
        <v>26422.625</v>
      </c>
      <c r="AX294" s="312">
        <f t="shared" si="43"/>
        <v>0</v>
      </c>
    </row>
    <row r="295" spans="1:51">
      <c r="A295" s="291" t="s">
        <v>494</v>
      </c>
      <c r="B295" s="291"/>
      <c r="C295" s="291"/>
      <c r="D295" s="291">
        <v>1160505004</v>
      </c>
      <c r="E295" s="291">
        <v>26030</v>
      </c>
      <c r="F295" s="291">
        <v>435</v>
      </c>
      <c r="G295" s="306">
        <v>41904</v>
      </c>
      <c r="H295" s="306">
        <v>43000</v>
      </c>
      <c r="I295" s="291">
        <v>2260</v>
      </c>
      <c r="J295" s="307">
        <v>7100000</v>
      </c>
      <c r="K295" s="307">
        <v>1956829</v>
      </c>
      <c r="L295" s="307">
        <v>0</v>
      </c>
      <c r="M295" s="291" t="s">
        <v>495</v>
      </c>
      <c r="N295" s="307">
        <v>7100000</v>
      </c>
      <c r="O295" s="307">
        <v>1956829</v>
      </c>
      <c r="P295" s="307">
        <v>8023000</v>
      </c>
      <c r="Q295" s="291">
        <v>1</v>
      </c>
      <c r="R295" s="291" t="s">
        <v>496</v>
      </c>
      <c r="S295" s="291">
        <v>100</v>
      </c>
      <c r="T295" s="307">
        <v>7100000</v>
      </c>
      <c r="U295" s="307">
        <v>1956829</v>
      </c>
      <c r="V295" s="291">
        <v>300</v>
      </c>
      <c r="W295" s="307">
        <v>4252797</v>
      </c>
      <c r="X295" s="291">
        <v>5</v>
      </c>
      <c r="Y295" s="291">
        <v>1160902010</v>
      </c>
      <c r="Z295" s="291">
        <v>2023</v>
      </c>
      <c r="AA295" s="291">
        <v>12</v>
      </c>
      <c r="AB295" s="291">
        <v>5026003002</v>
      </c>
      <c r="AC295" s="291">
        <v>1160903005</v>
      </c>
      <c r="AD295" s="291">
        <v>0</v>
      </c>
      <c r="AE295" s="291">
        <v>0</v>
      </c>
      <c r="AF295" s="291">
        <v>0</v>
      </c>
      <c r="AG295" s="291">
        <v>1160605001</v>
      </c>
      <c r="AH295" s="291">
        <v>2260</v>
      </c>
      <c r="AI295" s="291" t="s">
        <v>497</v>
      </c>
      <c r="AJ295" s="308">
        <v>0.01</v>
      </c>
      <c r="AK295" s="309">
        <f t="shared" si="44"/>
        <v>71000</v>
      </c>
      <c r="AL295" s="309">
        <f t="shared" si="45"/>
        <v>71000</v>
      </c>
      <c r="AM295" s="309">
        <f t="shared" si="45"/>
        <v>71000</v>
      </c>
      <c r="AN295" s="309"/>
      <c r="AO295" s="309"/>
      <c r="AP295" s="309">
        <f t="shared" si="40"/>
        <v>9784.1450000000004</v>
      </c>
      <c r="AQ295" s="309">
        <f t="shared" ref="AQ295:AR310" si="48">AP295</f>
        <v>9784.1450000000004</v>
      </c>
      <c r="AR295" s="309">
        <f t="shared" si="48"/>
        <v>9784.1450000000004</v>
      </c>
      <c r="AS295" s="309"/>
      <c r="AT295" s="309"/>
      <c r="AV295" s="311">
        <f t="shared" si="41"/>
        <v>6887000</v>
      </c>
      <c r="AW295" s="311">
        <f t="shared" si="42"/>
        <v>1927476.5649999999</v>
      </c>
      <c r="AX295" s="312">
        <f t="shared" si="43"/>
        <v>0</v>
      </c>
    </row>
    <row r="296" spans="1:51">
      <c r="A296" s="291" t="s">
        <v>494</v>
      </c>
      <c r="B296" s="291"/>
      <c r="C296" s="291"/>
      <c r="D296" s="291">
        <v>1160505002</v>
      </c>
      <c r="E296" s="291">
        <v>0</v>
      </c>
      <c r="F296" s="291">
        <v>46740</v>
      </c>
      <c r="G296" s="306">
        <v>43603</v>
      </c>
      <c r="H296" s="306">
        <v>43969</v>
      </c>
      <c r="I296" s="291">
        <v>1304</v>
      </c>
      <c r="J296" s="307">
        <v>770000</v>
      </c>
      <c r="K296" s="307">
        <v>92400</v>
      </c>
      <c r="L296" s="307">
        <v>0</v>
      </c>
      <c r="M296" s="291" t="s">
        <v>495</v>
      </c>
      <c r="N296" s="307">
        <v>770000</v>
      </c>
      <c r="O296" s="307">
        <v>92400</v>
      </c>
      <c r="P296" s="307">
        <v>502040</v>
      </c>
      <c r="Q296" s="291">
        <v>1</v>
      </c>
      <c r="R296" s="291" t="s">
        <v>496</v>
      </c>
      <c r="S296" s="291">
        <v>100</v>
      </c>
      <c r="T296" s="307">
        <v>770000</v>
      </c>
      <c r="U296" s="307">
        <v>92400</v>
      </c>
      <c r="V296" s="291">
        <v>300</v>
      </c>
      <c r="W296" s="307">
        <v>6585705</v>
      </c>
      <c r="X296" s="291">
        <v>17</v>
      </c>
      <c r="Y296" s="291">
        <v>1160902010</v>
      </c>
      <c r="Z296" s="291">
        <v>2023</v>
      </c>
      <c r="AA296" s="291">
        <v>12</v>
      </c>
      <c r="AB296" s="291">
        <v>5026003002</v>
      </c>
      <c r="AC296" s="291">
        <v>1160903005</v>
      </c>
      <c r="AD296" s="291">
        <v>0</v>
      </c>
      <c r="AE296" s="291">
        <v>0</v>
      </c>
      <c r="AF296" s="291">
        <v>0</v>
      </c>
      <c r="AG296" s="291">
        <v>1160605001</v>
      </c>
      <c r="AH296" s="291">
        <v>1304</v>
      </c>
      <c r="AI296" s="291" t="s">
        <v>497</v>
      </c>
      <c r="AJ296" s="308">
        <v>0.01</v>
      </c>
      <c r="AK296" s="309">
        <f t="shared" si="44"/>
        <v>7700</v>
      </c>
      <c r="AL296" s="309">
        <f t="shared" si="45"/>
        <v>7700</v>
      </c>
      <c r="AM296" s="309">
        <f t="shared" si="45"/>
        <v>7700</v>
      </c>
      <c r="AN296" s="309"/>
      <c r="AO296" s="309"/>
      <c r="AP296" s="309">
        <f t="shared" si="40"/>
        <v>462</v>
      </c>
      <c r="AQ296" s="309">
        <f t="shared" si="48"/>
        <v>462</v>
      </c>
      <c r="AR296" s="309">
        <f t="shared" si="48"/>
        <v>462</v>
      </c>
      <c r="AS296" s="309"/>
      <c r="AT296" s="309"/>
      <c r="AV296" s="311">
        <f t="shared" si="41"/>
        <v>746900</v>
      </c>
      <c r="AW296" s="311">
        <f t="shared" si="42"/>
        <v>91014</v>
      </c>
      <c r="AX296" s="312">
        <f t="shared" si="43"/>
        <v>0</v>
      </c>
    </row>
    <row r="297" spans="1:51">
      <c r="A297" s="291" t="s">
        <v>494</v>
      </c>
      <c r="B297" s="291"/>
      <c r="C297" s="291"/>
      <c r="D297" s="291">
        <v>1160505001</v>
      </c>
      <c r="E297" s="291">
        <v>0</v>
      </c>
      <c r="F297" s="291">
        <v>45044</v>
      </c>
      <c r="G297" s="306">
        <v>43304</v>
      </c>
      <c r="H297" s="306">
        <v>43669</v>
      </c>
      <c r="I297" s="291">
        <v>1599</v>
      </c>
      <c r="J297" s="307">
        <v>1000000</v>
      </c>
      <c r="K297" s="307">
        <v>180000</v>
      </c>
      <c r="L297" s="307">
        <v>0</v>
      </c>
      <c r="M297" s="291" t="s">
        <v>495</v>
      </c>
      <c r="N297" s="307">
        <v>1000000</v>
      </c>
      <c r="O297" s="307">
        <v>180000</v>
      </c>
      <c r="P297" s="307">
        <v>799500</v>
      </c>
      <c r="Q297" s="291">
        <v>1</v>
      </c>
      <c r="R297" s="291" t="s">
        <v>496</v>
      </c>
      <c r="S297" s="291">
        <v>100</v>
      </c>
      <c r="T297" s="307">
        <v>1000000</v>
      </c>
      <c r="U297" s="307">
        <v>180000</v>
      </c>
      <c r="V297" s="291">
        <v>100</v>
      </c>
      <c r="W297" s="307">
        <v>969793</v>
      </c>
      <c r="X297" s="291">
        <v>2</v>
      </c>
      <c r="Y297" s="291">
        <v>1160902010</v>
      </c>
      <c r="Z297" s="291">
        <v>2023</v>
      </c>
      <c r="AA297" s="291">
        <v>12</v>
      </c>
      <c r="AB297" s="291">
        <v>5026003002</v>
      </c>
      <c r="AC297" s="291">
        <v>1160903005</v>
      </c>
      <c r="AD297" s="291">
        <v>0</v>
      </c>
      <c r="AE297" s="291">
        <v>0</v>
      </c>
      <c r="AF297" s="291">
        <v>0</v>
      </c>
      <c r="AG297" s="291">
        <v>1160605001</v>
      </c>
      <c r="AH297" s="291">
        <v>1599</v>
      </c>
      <c r="AI297" s="291" t="s">
        <v>497</v>
      </c>
      <c r="AJ297" s="308">
        <v>0.01</v>
      </c>
      <c r="AK297" s="309">
        <f t="shared" si="44"/>
        <v>10000</v>
      </c>
      <c r="AL297" s="309">
        <f t="shared" si="45"/>
        <v>10000</v>
      </c>
      <c r="AM297" s="309">
        <f t="shared" si="45"/>
        <v>10000</v>
      </c>
      <c r="AN297" s="309"/>
      <c r="AO297" s="309"/>
      <c r="AP297" s="309">
        <f t="shared" si="40"/>
        <v>900</v>
      </c>
      <c r="AQ297" s="309">
        <f t="shared" si="48"/>
        <v>900</v>
      </c>
      <c r="AR297" s="309">
        <f t="shared" si="48"/>
        <v>900</v>
      </c>
      <c r="AS297" s="309"/>
      <c r="AT297" s="309"/>
      <c r="AV297" s="311">
        <f t="shared" si="41"/>
        <v>970000</v>
      </c>
      <c r="AW297" s="311">
        <f t="shared" si="42"/>
        <v>177300</v>
      </c>
      <c r="AX297" s="312">
        <f t="shared" si="43"/>
        <v>0</v>
      </c>
    </row>
    <row r="298" spans="1:51">
      <c r="A298" s="291" t="s">
        <v>494</v>
      </c>
      <c r="B298" s="291"/>
      <c r="C298" s="291"/>
      <c r="D298" s="291">
        <v>1160505001</v>
      </c>
      <c r="E298" s="291">
        <v>0</v>
      </c>
      <c r="F298" s="291">
        <v>46353</v>
      </c>
      <c r="G298" s="306">
        <v>43535</v>
      </c>
      <c r="H298" s="306">
        <v>44631</v>
      </c>
      <c r="I298" s="291">
        <v>651</v>
      </c>
      <c r="J298" s="307">
        <v>2100000</v>
      </c>
      <c r="K298" s="307">
        <v>756000</v>
      </c>
      <c r="L298" s="307">
        <v>0</v>
      </c>
      <c r="M298" s="291" t="s">
        <v>495</v>
      </c>
      <c r="N298" s="307">
        <v>2100000</v>
      </c>
      <c r="O298" s="307">
        <v>756000</v>
      </c>
      <c r="P298" s="307">
        <v>683550</v>
      </c>
      <c r="Q298" s="291">
        <v>1</v>
      </c>
      <c r="R298" s="291" t="s">
        <v>496</v>
      </c>
      <c r="S298" s="291">
        <v>100</v>
      </c>
      <c r="T298" s="307">
        <v>2100000</v>
      </c>
      <c r="U298" s="307">
        <v>756000</v>
      </c>
      <c r="V298" s="291">
        <v>100</v>
      </c>
      <c r="W298" s="307">
        <v>1020543</v>
      </c>
      <c r="X298" s="291">
        <v>14</v>
      </c>
      <c r="Y298" s="291">
        <v>1160902010</v>
      </c>
      <c r="Z298" s="291">
        <v>2023</v>
      </c>
      <c r="AA298" s="291">
        <v>12</v>
      </c>
      <c r="AB298" s="291">
        <v>5026003002</v>
      </c>
      <c r="AC298" s="291">
        <v>1160903005</v>
      </c>
      <c r="AD298" s="291">
        <v>0</v>
      </c>
      <c r="AE298" s="291">
        <v>0</v>
      </c>
      <c r="AF298" s="291">
        <v>0</v>
      </c>
      <c r="AG298" s="291">
        <v>1160605001</v>
      </c>
      <c r="AH298" s="291">
        <v>651</v>
      </c>
      <c r="AI298" s="291" t="s">
        <v>114</v>
      </c>
      <c r="AJ298" s="308">
        <v>0.5</v>
      </c>
      <c r="AK298" s="309">
        <f t="shared" si="44"/>
        <v>1050000</v>
      </c>
      <c r="AL298" s="309">
        <f t="shared" si="45"/>
        <v>1050000</v>
      </c>
      <c r="AM298" s="309"/>
      <c r="AN298" s="309"/>
      <c r="AO298" s="309"/>
      <c r="AP298" s="309">
        <f t="shared" si="40"/>
        <v>189000</v>
      </c>
      <c r="AQ298" s="309">
        <f t="shared" si="48"/>
        <v>189000</v>
      </c>
      <c r="AR298" s="309">
        <f t="shared" si="48"/>
        <v>189000</v>
      </c>
      <c r="AS298" s="309"/>
      <c r="AT298" s="309"/>
      <c r="AV298" s="311">
        <f t="shared" si="41"/>
        <v>0</v>
      </c>
      <c r="AW298" s="311">
        <f t="shared" si="42"/>
        <v>189000</v>
      </c>
      <c r="AX298" s="312">
        <f t="shared" si="43"/>
        <v>0</v>
      </c>
    </row>
    <row r="299" spans="1:51">
      <c r="A299" s="291" t="s">
        <v>494</v>
      </c>
      <c r="B299" s="291"/>
      <c r="C299" s="291"/>
      <c r="D299" s="291">
        <v>1160405001</v>
      </c>
      <c r="E299" s="291">
        <v>0</v>
      </c>
      <c r="F299" s="291">
        <v>40936</v>
      </c>
      <c r="G299" s="306">
        <v>42716</v>
      </c>
      <c r="H299" s="306">
        <v>44542</v>
      </c>
      <c r="I299" s="291">
        <v>740</v>
      </c>
      <c r="J299" s="307">
        <v>360000000</v>
      </c>
      <c r="K299" s="307">
        <v>126360000</v>
      </c>
      <c r="L299" s="307">
        <v>208468974</v>
      </c>
      <c r="M299" s="291" t="s">
        <v>495</v>
      </c>
      <c r="N299" s="307">
        <v>151531026</v>
      </c>
      <c r="O299" s="307">
        <v>126360000</v>
      </c>
      <c r="P299" s="307">
        <v>133200000</v>
      </c>
      <c r="Q299" s="291">
        <v>2</v>
      </c>
      <c r="R299" s="291" t="s">
        <v>496</v>
      </c>
      <c r="S299" s="291">
        <v>100</v>
      </c>
      <c r="T299" s="307">
        <v>151531026</v>
      </c>
      <c r="U299" s="307">
        <v>126360000</v>
      </c>
      <c r="V299" s="291">
        <v>100</v>
      </c>
      <c r="W299" s="307">
        <v>207556264</v>
      </c>
      <c r="X299" s="291">
        <v>2</v>
      </c>
      <c r="Y299" s="291">
        <v>1160902009</v>
      </c>
      <c r="Z299" s="291">
        <v>2023</v>
      </c>
      <c r="AA299" s="291">
        <v>12</v>
      </c>
      <c r="AB299" s="291">
        <v>5026003002</v>
      </c>
      <c r="AC299" s="291">
        <v>1160903005</v>
      </c>
      <c r="AD299" s="291">
        <v>0</v>
      </c>
      <c r="AE299" s="291">
        <v>0</v>
      </c>
      <c r="AF299" s="291">
        <v>1</v>
      </c>
      <c r="AG299" s="291">
        <v>1160605001</v>
      </c>
      <c r="AH299" s="291">
        <v>740</v>
      </c>
      <c r="AI299" s="291" t="s">
        <v>503</v>
      </c>
      <c r="AJ299" s="308">
        <v>0</v>
      </c>
      <c r="AK299" s="309">
        <f t="shared" si="44"/>
        <v>0</v>
      </c>
      <c r="AL299" s="309">
        <f t="shared" si="45"/>
        <v>0</v>
      </c>
      <c r="AM299" s="309">
        <f t="shared" si="45"/>
        <v>0</v>
      </c>
      <c r="AN299" s="309"/>
      <c r="AO299" s="309"/>
      <c r="AP299" s="309">
        <f t="shared" si="40"/>
        <v>0</v>
      </c>
      <c r="AQ299" s="309">
        <f t="shared" si="48"/>
        <v>0</v>
      </c>
      <c r="AR299" s="309">
        <f t="shared" si="48"/>
        <v>0</v>
      </c>
      <c r="AS299" s="309"/>
      <c r="AT299" s="309"/>
      <c r="AV299" s="311">
        <f t="shared" si="41"/>
        <v>360000000</v>
      </c>
      <c r="AW299" s="311">
        <f t="shared" si="42"/>
        <v>126360000</v>
      </c>
      <c r="AX299" s="312">
        <f t="shared" si="43"/>
        <v>208468974</v>
      </c>
      <c r="AY299" s="312">
        <f t="shared" ref="AY299:AY304" si="49">+AX299-L299</f>
        <v>0</v>
      </c>
    </row>
    <row r="300" spans="1:51">
      <c r="A300" s="291" t="s">
        <v>494</v>
      </c>
      <c r="B300" s="291"/>
      <c r="C300" s="291"/>
      <c r="D300" s="291">
        <v>1160405001</v>
      </c>
      <c r="E300" s="291">
        <v>0</v>
      </c>
      <c r="F300" s="291">
        <v>40938</v>
      </c>
      <c r="G300" s="306">
        <v>42716</v>
      </c>
      <c r="H300" s="306">
        <v>44542</v>
      </c>
      <c r="I300" s="291">
        <v>740</v>
      </c>
      <c r="J300" s="307">
        <v>322599843</v>
      </c>
      <c r="K300" s="307">
        <v>113232557</v>
      </c>
      <c r="L300" s="307">
        <v>186811273</v>
      </c>
      <c r="M300" s="291" t="s">
        <v>495</v>
      </c>
      <c r="N300" s="307">
        <v>135788570</v>
      </c>
      <c r="O300" s="307">
        <v>113232557</v>
      </c>
      <c r="P300" s="307">
        <v>119361942</v>
      </c>
      <c r="Q300" s="291">
        <v>2</v>
      </c>
      <c r="R300" s="291" t="s">
        <v>496</v>
      </c>
      <c r="S300" s="291">
        <v>100</v>
      </c>
      <c r="T300" s="307">
        <v>135788570</v>
      </c>
      <c r="U300" s="307">
        <v>113232557</v>
      </c>
      <c r="V300" s="291">
        <v>100</v>
      </c>
      <c r="W300" s="307">
        <v>207556264</v>
      </c>
      <c r="X300" s="291">
        <v>2</v>
      </c>
      <c r="Y300" s="291">
        <v>1160902009</v>
      </c>
      <c r="Z300" s="291">
        <v>2023</v>
      </c>
      <c r="AA300" s="291">
        <v>12</v>
      </c>
      <c r="AB300" s="291">
        <v>5026003002</v>
      </c>
      <c r="AC300" s="291">
        <v>1160903005</v>
      </c>
      <c r="AD300" s="291">
        <v>0</v>
      </c>
      <c r="AE300" s="291">
        <v>0</v>
      </c>
      <c r="AF300" s="291">
        <v>1</v>
      </c>
      <c r="AG300" s="291">
        <v>1160605001</v>
      </c>
      <c r="AH300" s="291">
        <v>740</v>
      </c>
      <c r="AI300" s="291" t="s">
        <v>503</v>
      </c>
      <c r="AJ300" s="308">
        <v>0</v>
      </c>
      <c r="AK300" s="309">
        <f t="shared" si="44"/>
        <v>0</v>
      </c>
      <c r="AL300" s="309">
        <f t="shared" si="45"/>
        <v>0</v>
      </c>
      <c r="AM300" s="309">
        <f t="shared" si="45"/>
        <v>0</v>
      </c>
      <c r="AN300" s="309"/>
      <c r="AO300" s="309"/>
      <c r="AP300" s="309">
        <f t="shared" si="40"/>
        <v>0</v>
      </c>
      <c r="AQ300" s="309">
        <f t="shared" si="48"/>
        <v>0</v>
      </c>
      <c r="AR300" s="309">
        <f t="shared" si="48"/>
        <v>0</v>
      </c>
      <c r="AS300" s="309"/>
      <c r="AT300" s="309"/>
      <c r="AV300" s="311">
        <f t="shared" si="41"/>
        <v>322599843</v>
      </c>
      <c r="AW300" s="311">
        <f t="shared" si="42"/>
        <v>113232557</v>
      </c>
      <c r="AX300" s="312">
        <f t="shared" si="43"/>
        <v>186811273</v>
      </c>
      <c r="AY300" s="312">
        <f t="shared" si="49"/>
        <v>0</v>
      </c>
    </row>
    <row r="301" spans="1:51">
      <c r="A301" s="291" t="s">
        <v>494</v>
      </c>
      <c r="B301" s="291"/>
      <c r="C301" s="291"/>
      <c r="D301" s="291">
        <v>1160405001</v>
      </c>
      <c r="E301" s="291">
        <v>0</v>
      </c>
      <c r="F301" s="291">
        <v>40948</v>
      </c>
      <c r="G301" s="306">
        <v>42720</v>
      </c>
      <c r="H301" s="306">
        <v>44546</v>
      </c>
      <c r="I301" s="291">
        <v>736</v>
      </c>
      <c r="J301" s="307">
        <v>37200000</v>
      </c>
      <c r="K301" s="307">
        <v>13124366</v>
      </c>
      <c r="L301" s="307">
        <v>21541794</v>
      </c>
      <c r="M301" s="291" t="s">
        <v>495</v>
      </c>
      <c r="N301" s="307">
        <v>15658206</v>
      </c>
      <c r="O301" s="307">
        <v>13124366</v>
      </c>
      <c r="P301" s="307">
        <v>13689600</v>
      </c>
      <c r="Q301" s="291">
        <v>2</v>
      </c>
      <c r="R301" s="291" t="s">
        <v>496</v>
      </c>
      <c r="S301" s="291">
        <v>100</v>
      </c>
      <c r="T301" s="307">
        <v>15658206</v>
      </c>
      <c r="U301" s="307">
        <v>13124366</v>
      </c>
      <c r="V301" s="291">
        <v>100</v>
      </c>
      <c r="W301" s="307">
        <v>207556264</v>
      </c>
      <c r="X301" s="291">
        <v>2</v>
      </c>
      <c r="Y301" s="291">
        <v>1160902009</v>
      </c>
      <c r="Z301" s="291">
        <v>2023</v>
      </c>
      <c r="AA301" s="291">
        <v>12</v>
      </c>
      <c r="AB301" s="291">
        <v>5026003002</v>
      </c>
      <c r="AC301" s="291">
        <v>1160903005</v>
      </c>
      <c r="AD301" s="291">
        <v>0</v>
      </c>
      <c r="AE301" s="291">
        <v>0</v>
      </c>
      <c r="AF301" s="291">
        <v>1</v>
      </c>
      <c r="AG301" s="291">
        <v>1160605001</v>
      </c>
      <c r="AH301" s="291">
        <v>740</v>
      </c>
      <c r="AI301" s="291" t="s">
        <v>503</v>
      </c>
      <c r="AJ301" s="308">
        <v>0</v>
      </c>
      <c r="AK301" s="309">
        <f t="shared" si="44"/>
        <v>0</v>
      </c>
      <c r="AL301" s="309">
        <f t="shared" si="45"/>
        <v>0</v>
      </c>
      <c r="AM301" s="309">
        <f t="shared" si="45"/>
        <v>0</v>
      </c>
      <c r="AN301" s="309"/>
      <c r="AO301" s="309"/>
      <c r="AP301" s="309">
        <f t="shared" si="40"/>
        <v>0</v>
      </c>
      <c r="AQ301" s="309">
        <f t="shared" si="48"/>
        <v>0</v>
      </c>
      <c r="AR301" s="309">
        <f t="shared" si="48"/>
        <v>0</v>
      </c>
      <c r="AS301" s="309"/>
      <c r="AT301" s="309"/>
      <c r="AV301" s="311">
        <f t="shared" si="41"/>
        <v>37200000</v>
      </c>
      <c r="AW301" s="311">
        <f t="shared" si="42"/>
        <v>13124366</v>
      </c>
      <c r="AX301" s="312">
        <f t="shared" si="43"/>
        <v>21541794</v>
      </c>
      <c r="AY301" s="312">
        <f t="shared" si="49"/>
        <v>0</v>
      </c>
    </row>
    <row r="302" spans="1:51">
      <c r="A302" s="291" t="s">
        <v>494</v>
      </c>
      <c r="B302" s="291"/>
      <c r="C302" s="291"/>
      <c r="D302" s="291">
        <v>1160405001</v>
      </c>
      <c r="E302" s="291">
        <v>0</v>
      </c>
      <c r="F302" s="291">
        <v>46491</v>
      </c>
      <c r="G302" s="306">
        <v>43554</v>
      </c>
      <c r="H302" s="306">
        <v>44650</v>
      </c>
      <c r="I302" s="291">
        <v>632</v>
      </c>
      <c r="J302" s="307">
        <v>50000000</v>
      </c>
      <c r="K302" s="307">
        <v>18000000</v>
      </c>
      <c r="L302" s="307">
        <v>28954024</v>
      </c>
      <c r="M302" s="291" t="s">
        <v>495</v>
      </c>
      <c r="N302" s="307">
        <v>21045976</v>
      </c>
      <c r="O302" s="307">
        <v>18000000</v>
      </c>
      <c r="P302" s="307">
        <v>15800000</v>
      </c>
      <c r="Q302" s="291">
        <v>2</v>
      </c>
      <c r="R302" s="291" t="s">
        <v>496</v>
      </c>
      <c r="S302" s="291">
        <v>100</v>
      </c>
      <c r="T302" s="307">
        <v>21045976</v>
      </c>
      <c r="U302" s="307">
        <v>18000000</v>
      </c>
      <c r="V302" s="291">
        <v>100</v>
      </c>
      <c r="W302" s="307">
        <v>207556264</v>
      </c>
      <c r="X302" s="291">
        <v>2</v>
      </c>
      <c r="Y302" s="291">
        <v>1160902009</v>
      </c>
      <c r="Z302" s="291">
        <v>2023</v>
      </c>
      <c r="AA302" s="291">
        <v>12</v>
      </c>
      <c r="AB302" s="291">
        <v>5026003002</v>
      </c>
      <c r="AC302" s="291">
        <v>1160903005</v>
      </c>
      <c r="AD302" s="291">
        <v>0</v>
      </c>
      <c r="AE302" s="291">
        <v>0</v>
      </c>
      <c r="AF302" s="291">
        <v>1</v>
      </c>
      <c r="AG302" s="291">
        <v>1160605001</v>
      </c>
      <c r="AH302" s="291">
        <v>740</v>
      </c>
      <c r="AI302" s="291" t="s">
        <v>503</v>
      </c>
      <c r="AJ302" s="308">
        <v>0</v>
      </c>
      <c r="AK302" s="309">
        <f t="shared" si="44"/>
        <v>0</v>
      </c>
      <c r="AL302" s="309">
        <f t="shared" si="45"/>
        <v>0</v>
      </c>
      <c r="AM302" s="309">
        <f t="shared" si="45"/>
        <v>0</v>
      </c>
      <c r="AN302" s="309"/>
      <c r="AO302" s="309"/>
      <c r="AP302" s="309">
        <f t="shared" si="40"/>
        <v>0</v>
      </c>
      <c r="AQ302" s="309">
        <f t="shared" si="48"/>
        <v>0</v>
      </c>
      <c r="AR302" s="309">
        <f t="shared" si="48"/>
        <v>0</v>
      </c>
      <c r="AS302" s="309"/>
      <c r="AT302" s="309"/>
      <c r="AV302" s="311">
        <f t="shared" si="41"/>
        <v>50000000</v>
      </c>
      <c r="AW302" s="311">
        <f t="shared" si="42"/>
        <v>18000000</v>
      </c>
      <c r="AX302" s="312">
        <f t="shared" si="43"/>
        <v>28954024</v>
      </c>
      <c r="AY302" s="312">
        <f t="shared" si="49"/>
        <v>0</v>
      </c>
    </row>
    <row r="303" spans="1:51">
      <c r="A303" s="291" t="s">
        <v>494</v>
      </c>
      <c r="B303" s="291"/>
      <c r="C303" s="291"/>
      <c r="D303" s="291">
        <v>1160405001</v>
      </c>
      <c r="E303" s="291">
        <v>0</v>
      </c>
      <c r="F303" s="291">
        <v>46496</v>
      </c>
      <c r="G303" s="306">
        <v>43554</v>
      </c>
      <c r="H303" s="306">
        <v>44650</v>
      </c>
      <c r="I303" s="291">
        <v>632</v>
      </c>
      <c r="J303" s="307">
        <v>224899000</v>
      </c>
      <c r="K303" s="307">
        <v>80963640</v>
      </c>
      <c r="L303" s="307">
        <v>130234622</v>
      </c>
      <c r="M303" s="291" t="s">
        <v>495</v>
      </c>
      <c r="N303" s="307">
        <v>94664378</v>
      </c>
      <c r="O303" s="307">
        <v>80963640</v>
      </c>
      <c r="P303" s="307">
        <v>71068084</v>
      </c>
      <c r="Q303" s="291">
        <v>2</v>
      </c>
      <c r="R303" s="291" t="s">
        <v>496</v>
      </c>
      <c r="S303" s="291">
        <v>100</v>
      </c>
      <c r="T303" s="307">
        <v>94664378</v>
      </c>
      <c r="U303" s="307">
        <v>80963640</v>
      </c>
      <c r="V303" s="291">
        <v>100</v>
      </c>
      <c r="W303" s="307">
        <v>207556264</v>
      </c>
      <c r="X303" s="291">
        <v>2</v>
      </c>
      <c r="Y303" s="291">
        <v>1160902009</v>
      </c>
      <c r="Z303" s="291">
        <v>2023</v>
      </c>
      <c r="AA303" s="291">
        <v>12</v>
      </c>
      <c r="AB303" s="291">
        <v>5026003002</v>
      </c>
      <c r="AC303" s="291">
        <v>1160903005</v>
      </c>
      <c r="AD303" s="291">
        <v>0</v>
      </c>
      <c r="AE303" s="291">
        <v>0</v>
      </c>
      <c r="AF303" s="291">
        <v>1</v>
      </c>
      <c r="AG303" s="291">
        <v>1160605001</v>
      </c>
      <c r="AH303" s="291">
        <v>740</v>
      </c>
      <c r="AI303" s="291" t="s">
        <v>503</v>
      </c>
      <c r="AJ303" s="308">
        <v>0</v>
      </c>
      <c r="AK303" s="309">
        <f t="shared" si="44"/>
        <v>0</v>
      </c>
      <c r="AL303" s="309">
        <f t="shared" si="45"/>
        <v>0</v>
      </c>
      <c r="AM303" s="309">
        <f t="shared" si="45"/>
        <v>0</v>
      </c>
      <c r="AN303" s="309"/>
      <c r="AO303" s="309"/>
      <c r="AP303" s="309">
        <f t="shared" si="40"/>
        <v>0</v>
      </c>
      <c r="AQ303" s="309">
        <f t="shared" si="48"/>
        <v>0</v>
      </c>
      <c r="AR303" s="309">
        <f t="shared" si="48"/>
        <v>0</v>
      </c>
      <c r="AS303" s="309"/>
      <c r="AT303" s="309"/>
      <c r="AV303" s="311">
        <f t="shared" si="41"/>
        <v>224899000</v>
      </c>
      <c r="AW303" s="311">
        <f t="shared" si="42"/>
        <v>80963640</v>
      </c>
      <c r="AX303" s="312">
        <f t="shared" si="43"/>
        <v>130234622</v>
      </c>
      <c r="AY303" s="312">
        <f t="shared" si="49"/>
        <v>0</v>
      </c>
    </row>
    <row r="304" spans="1:51">
      <c r="A304" s="291" t="s">
        <v>494</v>
      </c>
      <c r="B304" s="291"/>
      <c r="C304" s="291"/>
      <c r="D304" s="291">
        <v>1160405001</v>
      </c>
      <c r="E304" s="291">
        <v>0</v>
      </c>
      <c r="F304" s="291">
        <v>46490</v>
      </c>
      <c r="G304" s="306">
        <v>43554</v>
      </c>
      <c r="H304" s="306">
        <v>44650</v>
      </c>
      <c r="I304" s="291">
        <v>632</v>
      </c>
      <c r="J304" s="307">
        <v>450000000</v>
      </c>
      <c r="K304" s="307">
        <v>162000000</v>
      </c>
      <c r="L304" s="307">
        <v>260586218</v>
      </c>
      <c r="M304" s="291" t="s">
        <v>495</v>
      </c>
      <c r="N304" s="307">
        <v>189413782</v>
      </c>
      <c r="O304" s="307">
        <v>162000000</v>
      </c>
      <c r="P304" s="307">
        <v>142200000</v>
      </c>
      <c r="Q304" s="291">
        <v>2</v>
      </c>
      <c r="R304" s="291" t="s">
        <v>496</v>
      </c>
      <c r="S304" s="291">
        <v>100</v>
      </c>
      <c r="T304" s="307">
        <v>189413782</v>
      </c>
      <c r="U304" s="307">
        <v>162000000</v>
      </c>
      <c r="V304" s="291">
        <v>100</v>
      </c>
      <c r="W304" s="307">
        <v>207556264</v>
      </c>
      <c r="X304" s="291">
        <v>15</v>
      </c>
      <c r="Y304" s="291">
        <v>1160902009</v>
      </c>
      <c r="Z304" s="291">
        <v>2023</v>
      </c>
      <c r="AA304" s="291">
        <v>12</v>
      </c>
      <c r="AB304" s="291">
        <v>5026003002</v>
      </c>
      <c r="AC304" s="291">
        <v>1160903005</v>
      </c>
      <c r="AD304" s="291">
        <v>0</v>
      </c>
      <c r="AE304" s="291">
        <v>0</v>
      </c>
      <c r="AF304" s="291">
        <v>1</v>
      </c>
      <c r="AG304" s="291">
        <v>1160605001</v>
      </c>
      <c r="AH304" s="291">
        <v>740</v>
      </c>
      <c r="AI304" s="291" t="s">
        <v>503</v>
      </c>
      <c r="AJ304" s="308">
        <v>0</v>
      </c>
      <c r="AK304" s="309">
        <f t="shared" si="44"/>
        <v>0</v>
      </c>
      <c r="AL304" s="309">
        <f t="shared" si="45"/>
        <v>0</v>
      </c>
      <c r="AM304" s="309">
        <f t="shared" si="45"/>
        <v>0</v>
      </c>
      <c r="AN304" s="309"/>
      <c r="AO304" s="309"/>
      <c r="AP304" s="309">
        <f t="shared" si="40"/>
        <v>0</v>
      </c>
      <c r="AQ304" s="309">
        <f t="shared" si="48"/>
        <v>0</v>
      </c>
      <c r="AR304" s="309">
        <f t="shared" si="48"/>
        <v>0</v>
      </c>
      <c r="AS304" s="309"/>
      <c r="AT304" s="309"/>
      <c r="AV304" s="311">
        <f t="shared" si="41"/>
        <v>450000000</v>
      </c>
      <c r="AW304" s="311">
        <f t="shared" si="42"/>
        <v>162000000</v>
      </c>
      <c r="AX304" s="312">
        <f t="shared" si="43"/>
        <v>260586218</v>
      </c>
      <c r="AY304" s="312">
        <f t="shared" si="49"/>
        <v>0</v>
      </c>
    </row>
    <row r="305" spans="1:51">
      <c r="A305" s="291" t="s">
        <v>494</v>
      </c>
      <c r="B305" s="291"/>
      <c r="C305" s="291"/>
      <c r="D305" s="291">
        <v>1160505001</v>
      </c>
      <c r="E305" s="291">
        <v>0</v>
      </c>
      <c r="F305" s="291">
        <v>46282</v>
      </c>
      <c r="G305" s="306">
        <v>43528</v>
      </c>
      <c r="H305" s="306">
        <v>44259</v>
      </c>
      <c r="I305" s="291">
        <v>1018</v>
      </c>
      <c r="J305" s="307">
        <v>733000</v>
      </c>
      <c r="K305" s="307">
        <v>88448</v>
      </c>
      <c r="L305" s="307">
        <v>0</v>
      </c>
      <c r="M305" s="291" t="s">
        <v>495</v>
      </c>
      <c r="N305" s="307">
        <v>733000</v>
      </c>
      <c r="O305" s="307">
        <v>88448</v>
      </c>
      <c r="P305" s="307">
        <v>373097</v>
      </c>
      <c r="Q305" s="291">
        <v>1</v>
      </c>
      <c r="R305" s="291" t="s">
        <v>496</v>
      </c>
      <c r="S305" s="291">
        <v>100</v>
      </c>
      <c r="T305" s="307">
        <v>733000</v>
      </c>
      <c r="U305" s="307">
        <v>88448</v>
      </c>
      <c r="V305" s="291">
        <v>300</v>
      </c>
      <c r="W305" s="307">
        <v>6166942</v>
      </c>
      <c r="X305" s="291">
        <v>15</v>
      </c>
      <c r="Y305" s="291">
        <v>1160902010</v>
      </c>
      <c r="Z305" s="291">
        <v>2023</v>
      </c>
      <c r="AA305" s="291">
        <v>12</v>
      </c>
      <c r="AB305" s="291">
        <v>5026003002</v>
      </c>
      <c r="AC305" s="291">
        <v>1160903005</v>
      </c>
      <c r="AD305" s="291">
        <v>0</v>
      </c>
      <c r="AE305" s="291">
        <v>0</v>
      </c>
      <c r="AF305" s="291">
        <v>0</v>
      </c>
      <c r="AG305" s="291">
        <v>1160605001</v>
      </c>
      <c r="AH305" s="291">
        <v>1018</v>
      </c>
      <c r="AI305" s="291" t="s">
        <v>499</v>
      </c>
      <c r="AJ305" s="308">
        <v>0.05</v>
      </c>
      <c r="AK305" s="309">
        <f t="shared" si="44"/>
        <v>36650</v>
      </c>
      <c r="AL305" s="309">
        <f t="shared" si="45"/>
        <v>36650</v>
      </c>
      <c r="AM305" s="309">
        <f t="shared" si="45"/>
        <v>36650</v>
      </c>
      <c r="AN305" s="309"/>
      <c r="AO305" s="309"/>
      <c r="AP305" s="309">
        <f t="shared" si="40"/>
        <v>2211.2000000000003</v>
      </c>
      <c r="AQ305" s="309">
        <f t="shared" si="48"/>
        <v>2211.2000000000003</v>
      </c>
      <c r="AR305" s="309">
        <f t="shared" si="48"/>
        <v>2211.2000000000003</v>
      </c>
      <c r="AS305" s="309"/>
      <c r="AT305" s="309"/>
      <c r="AV305" s="311">
        <f t="shared" si="41"/>
        <v>623050</v>
      </c>
      <c r="AW305" s="311">
        <f t="shared" si="42"/>
        <v>81814.400000000009</v>
      </c>
      <c r="AX305" s="312">
        <f t="shared" si="43"/>
        <v>0</v>
      </c>
    </row>
    <row r="306" spans="1:51">
      <c r="A306" s="291" t="s">
        <v>494</v>
      </c>
      <c r="B306" s="291"/>
      <c r="C306" s="291"/>
      <c r="D306" s="291">
        <v>1160403001</v>
      </c>
      <c r="E306" s="291">
        <v>0</v>
      </c>
      <c r="F306" s="291">
        <v>45054</v>
      </c>
      <c r="G306" s="306">
        <v>43307</v>
      </c>
      <c r="H306" s="306">
        <v>45133</v>
      </c>
      <c r="I306" s="291">
        <v>156</v>
      </c>
      <c r="J306" s="307">
        <v>11000000</v>
      </c>
      <c r="K306" s="307">
        <v>745250</v>
      </c>
      <c r="L306" s="307">
        <v>187962500</v>
      </c>
      <c r="M306" s="291" t="s">
        <v>495</v>
      </c>
      <c r="N306" s="307">
        <v>0</v>
      </c>
      <c r="O306" s="307">
        <v>745250</v>
      </c>
      <c r="P306" s="307">
        <v>858000</v>
      </c>
      <c r="Q306" s="291">
        <v>2</v>
      </c>
      <c r="R306" s="291" t="s">
        <v>494</v>
      </c>
      <c r="S306" s="291">
        <v>100</v>
      </c>
      <c r="T306" s="307">
        <v>0</v>
      </c>
      <c r="U306" s="307">
        <v>745250</v>
      </c>
      <c r="V306" s="291">
        <v>100</v>
      </c>
      <c r="W306" s="307">
        <v>11241017</v>
      </c>
      <c r="X306" s="291">
        <v>2</v>
      </c>
      <c r="Y306" s="291">
        <v>1160902005</v>
      </c>
      <c r="Z306" s="291">
        <v>2023</v>
      </c>
      <c r="AA306" s="291">
        <v>12</v>
      </c>
      <c r="AB306" s="291">
        <v>5026003002</v>
      </c>
      <c r="AC306" s="291">
        <v>1160903003</v>
      </c>
      <c r="AD306" s="291">
        <v>0</v>
      </c>
      <c r="AE306" s="291">
        <v>0</v>
      </c>
      <c r="AF306" s="291">
        <v>1</v>
      </c>
      <c r="AG306" s="291">
        <v>1160603001</v>
      </c>
      <c r="AH306" s="291">
        <v>156</v>
      </c>
      <c r="AI306" s="291" t="s">
        <v>500</v>
      </c>
      <c r="AJ306" s="308">
        <v>0.3</v>
      </c>
      <c r="AK306" s="309">
        <f t="shared" si="44"/>
        <v>3300000</v>
      </c>
      <c r="AL306" s="309">
        <f t="shared" si="45"/>
        <v>3300000</v>
      </c>
      <c r="AM306" s="309">
        <f t="shared" si="45"/>
        <v>3300000</v>
      </c>
      <c r="AN306" s="309"/>
      <c r="AO306" s="309"/>
      <c r="AP306" s="309">
        <f t="shared" si="40"/>
        <v>111787.5</v>
      </c>
      <c r="AQ306" s="309">
        <f t="shared" si="48"/>
        <v>111787.5</v>
      </c>
      <c r="AR306" s="309">
        <f t="shared" si="48"/>
        <v>111787.5</v>
      </c>
      <c r="AS306" s="309"/>
      <c r="AT306" s="309"/>
      <c r="AV306" s="311">
        <f t="shared" si="41"/>
        <v>1100000</v>
      </c>
      <c r="AW306" s="311">
        <f t="shared" si="42"/>
        <v>409887.5</v>
      </c>
      <c r="AX306" s="312">
        <f t="shared" si="43"/>
        <v>11000000</v>
      </c>
      <c r="AY306" s="312">
        <f>+AX306-L306</f>
        <v>-176962500</v>
      </c>
    </row>
    <row r="307" spans="1:51">
      <c r="A307" s="291" t="s">
        <v>494</v>
      </c>
      <c r="B307" s="291"/>
      <c r="C307" s="291"/>
      <c r="D307" s="291">
        <v>1160403001</v>
      </c>
      <c r="E307" s="291">
        <v>0</v>
      </c>
      <c r="F307" s="291">
        <v>45056</v>
      </c>
      <c r="G307" s="306">
        <v>43307</v>
      </c>
      <c r="H307" s="306">
        <v>45133</v>
      </c>
      <c r="I307" s="291">
        <v>156</v>
      </c>
      <c r="J307" s="307">
        <v>3000000</v>
      </c>
      <c r="K307" s="307">
        <v>281250</v>
      </c>
      <c r="L307" s="307">
        <v>51262500</v>
      </c>
      <c r="M307" s="291" t="s">
        <v>495</v>
      </c>
      <c r="N307" s="307">
        <v>0</v>
      </c>
      <c r="O307" s="307">
        <v>281250</v>
      </c>
      <c r="P307" s="307">
        <v>234000</v>
      </c>
      <c r="Q307" s="291">
        <v>2</v>
      </c>
      <c r="R307" s="291" t="s">
        <v>494</v>
      </c>
      <c r="S307" s="291">
        <v>100</v>
      </c>
      <c r="T307" s="307">
        <v>0</v>
      </c>
      <c r="U307" s="307">
        <v>281250</v>
      </c>
      <c r="V307" s="291">
        <v>100</v>
      </c>
      <c r="W307" s="307">
        <v>11241017</v>
      </c>
      <c r="X307" s="291">
        <v>14</v>
      </c>
      <c r="Y307" s="291">
        <v>1160902005</v>
      </c>
      <c r="Z307" s="291">
        <v>2023</v>
      </c>
      <c r="AA307" s="291">
        <v>12</v>
      </c>
      <c r="AB307" s="291">
        <v>5026003002</v>
      </c>
      <c r="AC307" s="291">
        <v>1160903003</v>
      </c>
      <c r="AD307" s="291">
        <v>0</v>
      </c>
      <c r="AE307" s="291">
        <v>0</v>
      </c>
      <c r="AF307" s="291">
        <v>1</v>
      </c>
      <c r="AG307" s="291">
        <v>1160603001</v>
      </c>
      <c r="AH307" s="291">
        <v>156</v>
      </c>
      <c r="AI307" s="291" t="s">
        <v>500</v>
      </c>
      <c r="AJ307" s="308">
        <v>0.3</v>
      </c>
      <c r="AK307" s="309">
        <f t="shared" si="44"/>
        <v>900000</v>
      </c>
      <c r="AL307" s="309">
        <f t="shared" si="45"/>
        <v>900000</v>
      </c>
      <c r="AM307" s="309">
        <f t="shared" si="45"/>
        <v>900000</v>
      </c>
      <c r="AN307" s="309"/>
      <c r="AO307" s="309"/>
      <c r="AP307" s="309">
        <f t="shared" si="40"/>
        <v>42187.5</v>
      </c>
      <c r="AQ307" s="309">
        <f t="shared" si="48"/>
        <v>42187.5</v>
      </c>
      <c r="AR307" s="309">
        <f t="shared" si="48"/>
        <v>42187.5</v>
      </c>
      <c r="AS307" s="309"/>
      <c r="AT307" s="309"/>
      <c r="AV307" s="311">
        <f t="shared" si="41"/>
        <v>300000</v>
      </c>
      <c r="AW307" s="311">
        <f t="shared" si="42"/>
        <v>154687.5</v>
      </c>
      <c r="AX307" s="312">
        <f t="shared" si="43"/>
        <v>3000000</v>
      </c>
      <c r="AY307" s="312">
        <f>+AX307-L307</f>
        <v>-48262500</v>
      </c>
    </row>
    <row r="308" spans="1:51">
      <c r="A308" s="291" t="s">
        <v>494</v>
      </c>
      <c r="B308" s="291"/>
      <c r="C308" s="291"/>
      <c r="D308" s="291">
        <v>1160505001</v>
      </c>
      <c r="E308" s="291">
        <v>0</v>
      </c>
      <c r="F308" s="291">
        <v>38545</v>
      </c>
      <c r="G308" s="306">
        <v>42241</v>
      </c>
      <c r="H308" s="306">
        <v>42607</v>
      </c>
      <c r="I308" s="291">
        <v>2647</v>
      </c>
      <c r="J308" s="307">
        <v>12000000</v>
      </c>
      <c r="K308" s="307">
        <v>1080000</v>
      </c>
      <c r="L308" s="307">
        <v>0</v>
      </c>
      <c r="M308" s="291" t="s">
        <v>495</v>
      </c>
      <c r="N308" s="307">
        <v>12000000</v>
      </c>
      <c r="O308" s="307">
        <v>1080000</v>
      </c>
      <c r="P308" s="307">
        <v>15882000</v>
      </c>
      <c r="Q308" s="291">
        <v>1</v>
      </c>
      <c r="R308" s="291" t="s">
        <v>496</v>
      </c>
      <c r="S308" s="291">
        <v>100</v>
      </c>
      <c r="T308" s="307">
        <v>12000000</v>
      </c>
      <c r="U308" s="307">
        <v>1080000</v>
      </c>
      <c r="V308" s="291">
        <v>200</v>
      </c>
      <c r="W308" s="307">
        <v>6900097</v>
      </c>
      <c r="X308" s="291">
        <v>2</v>
      </c>
      <c r="Y308" s="291">
        <v>1160902010</v>
      </c>
      <c r="Z308" s="291">
        <v>2023</v>
      </c>
      <c r="AA308" s="291">
        <v>12</v>
      </c>
      <c r="AB308" s="291">
        <v>5026003002</v>
      </c>
      <c r="AC308" s="291">
        <v>1160903005</v>
      </c>
      <c r="AD308" s="291">
        <v>0</v>
      </c>
      <c r="AE308" s="291">
        <v>0</v>
      </c>
      <c r="AF308" s="291">
        <v>0</v>
      </c>
      <c r="AG308" s="291">
        <v>1160605001</v>
      </c>
      <c r="AH308" s="291">
        <v>2647</v>
      </c>
      <c r="AI308" s="291" t="s">
        <v>503</v>
      </c>
      <c r="AJ308" s="308">
        <v>0</v>
      </c>
      <c r="AK308" s="309">
        <f t="shared" si="44"/>
        <v>0</v>
      </c>
      <c r="AL308" s="309">
        <f t="shared" si="45"/>
        <v>0</v>
      </c>
      <c r="AM308" s="309">
        <f t="shared" si="45"/>
        <v>0</v>
      </c>
      <c r="AN308" s="309"/>
      <c r="AO308" s="309"/>
      <c r="AP308" s="309">
        <f t="shared" si="40"/>
        <v>0</v>
      </c>
      <c r="AQ308" s="309">
        <f t="shared" si="48"/>
        <v>0</v>
      </c>
      <c r="AR308" s="309">
        <f t="shared" si="48"/>
        <v>0</v>
      </c>
      <c r="AS308" s="309"/>
      <c r="AT308" s="309"/>
      <c r="AV308" s="311">
        <f t="shared" si="41"/>
        <v>12000000</v>
      </c>
      <c r="AW308" s="311">
        <f t="shared" si="42"/>
        <v>1080000</v>
      </c>
      <c r="AX308" s="312">
        <f t="shared" si="43"/>
        <v>0</v>
      </c>
    </row>
    <row r="309" spans="1:51">
      <c r="A309" s="291" t="s">
        <v>494</v>
      </c>
      <c r="B309" s="291"/>
      <c r="C309" s="291"/>
      <c r="D309" s="291">
        <v>1160505001</v>
      </c>
      <c r="E309" s="291">
        <v>0</v>
      </c>
      <c r="F309" s="291">
        <v>44615</v>
      </c>
      <c r="G309" s="306">
        <v>43251</v>
      </c>
      <c r="H309" s="306">
        <v>43982</v>
      </c>
      <c r="I309" s="291">
        <v>1292</v>
      </c>
      <c r="J309" s="307">
        <v>15000000</v>
      </c>
      <c r="K309" s="307">
        <v>120000</v>
      </c>
      <c r="L309" s="307">
        <v>0</v>
      </c>
      <c r="M309" s="291" t="s">
        <v>495</v>
      </c>
      <c r="N309" s="307">
        <v>15000000</v>
      </c>
      <c r="O309" s="307">
        <v>120000</v>
      </c>
      <c r="P309" s="307">
        <v>9690000</v>
      </c>
      <c r="Q309" s="291">
        <v>1</v>
      </c>
      <c r="R309" s="291" t="s">
        <v>496</v>
      </c>
      <c r="S309" s="291">
        <v>100</v>
      </c>
      <c r="T309" s="307">
        <v>15000000</v>
      </c>
      <c r="U309" s="307">
        <v>120000</v>
      </c>
      <c r="V309" s="291">
        <v>300</v>
      </c>
      <c r="W309" s="307">
        <v>10163557</v>
      </c>
      <c r="X309" s="291">
        <v>15</v>
      </c>
      <c r="Y309" s="291">
        <v>1160902010</v>
      </c>
      <c r="Z309" s="291">
        <v>2023</v>
      </c>
      <c r="AA309" s="291">
        <v>12</v>
      </c>
      <c r="AB309" s="291">
        <v>5026003002</v>
      </c>
      <c r="AC309" s="291">
        <v>1160903005</v>
      </c>
      <c r="AD309" s="291">
        <v>0</v>
      </c>
      <c r="AE309" s="291">
        <v>0</v>
      </c>
      <c r="AF309" s="291">
        <v>0</v>
      </c>
      <c r="AG309" s="291">
        <v>1160605001</v>
      </c>
      <c r="AH309" s="291">
        <v>1292</v>
      </c>
      <c r="AI309" s="291" t="s">
        <v>497</v>
      </c>
      <c r="AJ309" s="308">
        <v>0.01</v>
      </c>
      <c r="AK309" s="309">
        <f t="shared" si="44"/>
        <v>150000</v>
      </c>
      <c r="AL309" s="309">
        <f t="shared" si="45"/>
        <v>150000</v>
      </c>
      <c r="AM309" s="309">
        <f t="shared" si="45"/>
        <v>150000</v>
      </c>
      <c r="AN309" s="309"/>
      <c r="AO309" s="309"/>
      <c r="AP309" s="309">
        <f t="shared" si="40"/>
        <v>600</v>
      </c>
      <c r="AQ309" s="309">
        <f t="shared" si="48"/>
        <v>600</v>
      </c>
      <c r="AR309" s="309">
        <f t="shared" si="48"/>
        <v>600</v>
      </c>
      <c r="AS309" s="309"/>
      <c r="AT309" s="309"/>
      <c r="AV309" s="311">
        <f t="shared" si="41"/>
        <v>14550000</v>
      </c>
      <c r="AW309" s="311">
        <f t="shared" si="42"/>
        <v>118200</v>
      </c>
      <c r="AX309" s="312">
        <f t="shared" si="43"/>
        <v>0</v>
      </c>
    </row>
    <row r="310" spans="1:51">
      <c r="A310" s="291" t="s">
        <v>494</v>
      </c>
      <c r="B310" s="291"/>
      <c r="C310" s="291"/>
      <c r="D310" s="291">
        <v>1160505001</v>
      </c>
      <c r="E310" s="291">
        <v>0</v>
      </c>
      <c r="F310" s="291">
        <v>46723</v>
      </c>
      <c r="G310" s="306">
        <v>43601</v>
      </c>
      <c r="H310" s="306">
        <v>44332</v>
      </c>
      <c r="I310" s="291">
        <v>946</v>
      </c>
      <c r="J310" s="307">
        <v>5000000</v>
      </c>
      <c r="K310" s="307">
        <v>1500000</v>
      </c>
      <c r="L310" s="307">
        <v>0</v>
      </c>
      <c r="M310" s="291" t="s">
        <v>495</v>
      </c>
      <c r="N310" s="307">
        <v>5000000</v>
      </c>
      <c r="O310" s="307">
        <v>1500000</v>
      </c>
      <c r="P310" s="307">
        <v>2365000</v>
      </c>
      <c r="Q310" s="291">
        <v>1</v>
      </c>
      <c r="R310" s="291" t="s">
        <v>496</v>
      </c>
      <c r="S310" s="291">
        <v>100</v>
      </c>
      <c r="T310" s="307">
        <v>5000000</v>
      </c>
      <c r="U310" s="307">
        <v>1500000</v>
      </c>
      <c r="V310" s="291">
        <v>300</v>
      </c>
      <c r="W310" s="307">
        <v>10163557</v>
      </c>
      <c r="X310" s="291">
        <v>15</v>
      </c>
      <c r="Y310" s="291">
        <v>1160902010</v>
      </c>
      <c r="Z310" s="291">
        <v>2023</v>
      </c>
      <c r="AA310" s="291">
        <v>12</v>
      </c>
      <c r="AB310" s="291">
        <v>5026003002</v>
      </c>
      <c r="AC310" s="291">
        <v>1160903005</v>
      </c>
      <c r="AD310" s="291">
        <v>0</v>
      </c>
      <c r="AE310" s="291">
        <v>0</v>
      </c>
      <c r="AF310" s="291">
        <v>0</v>
      </c>
      <c r="AG310" s="291">
        <v>1160605001</v>
      </c>
      <c r="AH310" s="291">
        <v>1292</v>
      </c>
      <c r="AI310" s="291" t="s">
        <v>497</v>
      </c>
      <c r="AJ310" s="308">
        <v>0.01</v>
      </c>
      <c r="AK310" s="309">
        <f t="shared" si="44"/>
        <v>50000</v>
      </c>
      <c r="AL310" s="309">
        <f t="shared" si="45"/>
        <v>50000</v>
      </c>
      <c r="AM310" s="309">
        <f t="shared" si="45"/>
        <v>50000</v>
      </c>
      <c r="AN310" s="309"/>
      <c r="AO310" s="309"/>
      <c r="AP310" s="309">
        <f t="shared" si="40"/>
        <v>7500</v>
      </c>
      <c r="AQ310" s="309">
        <f t="shared" si="48"/>
        <v>7500</v>
      </c>
      <c r="AR310" s="309">
        <f t="shared" si="48"/>
        <v>7500</v>
      </c>
      <c r="AS310" s="309"/>
      <c r="AT310" s="309"/>
      <c r="AV310" s="311">
        <f t="shared" si="41"/>
        <v>4850000</v>
      </c>
      <c r="AW310" s="311">
        <f t="shared" si="42"/>
        <v>1477500</v>
      </c>
      <c r="AX310" s="312">
        <f t="shared" si="43"/>
        <v>0</v>
      </c>
    </row>
    <row r="311" spans="1:51">
      <c r="A311" s="291" t="s">
        <v>494</v>
      </c>
      <c r="B311" s="291"/>
      <c r="C311" s="291"/>
      <c r="D311" s="291">
        <v>1160505001</v>
      </c>
      <c r="E311" s="291">
        <v>0</v>
      </c>
      <c r="F311" s="291">
        <v>46934</v>
      </c>
      <c r="G311" s="306">
        <v>43633</v>
      </c>
      <c r="H311" s="306">
        <v>44364</v>
      </c>
      <c r="I311" s="291">
        <v>915</v>
      </c>
      <c r="J311" s="307">
        <v>629903</v>
      </c>
      <c r="K311" s="307">
        <v>0</v>
      </c>
      <c r="L311" s="307">
        <v>0</v>
      </c>
      <c r="M311" s="291" t="s">
        <v>495</v>
      </c>
      <c r="N311" s="307">
        <v>629903</v>
      </c>
      <c r="O311" s="307">
        <v>0</v>
      </c>
      <c r="P311" s="307">
        <v>288181</v>
      </c>
      <c r="Q311" s="291">
        <v>1</v>
      </c>
      <c r="R311" s="291" t="s">
        <v>496</v>
      </c>
      <c r="S311" s="291">
        <v>100</v>
      </c>
      <c r="T311" s="307">
        <v>629903</v>
      </c>
      <c r="U311" s="307">
        <v>0</v>
      </c>
      <c r="V311" s="291">
        <v>100</v>
      </c>
      <c r="W311" s="307">
        <v>2117867</v>
      </c>
      <c r="X311" s="291">
        <v>15</v>
      </c>
      <c r="Y311" s="291">
        <v>1160902010</v>
      </c>
      <c r="Z311" s="291">
        <v>2023</v>
      </c>
      <c r="AA311" s="291">
        <v>12</v>
      </c>
      <c r="AB311" s="291">
        <v>5026003002</v>
      </c>
      <c r="AC311" s="291">
        <v>1160903005</v>
      </c>
      <c r="AD311" s="291">
        <v>0</v>
      </c>
      <c r="AE311" s="291">
        <v>0</v>
      </c>
      <c r="AF311" s="291">
        <v>0</v>
      </c>
      <c r="AG311" s="291">
        <v>1160605001</v>
      </c>
      <c r="AH311" s="291">
        <v>915</v>
      </c>
      <c r="AI311" s="291" t="s">
        <v>499</v>
      </c>
      <c r="AJ311" s="308">
        <v>0.05</v>
      </c>
      <c r="AK311" s="309">
        <f t="shared" si="44"/>
        <v>31495.15</v>
      </c>
      <c r="AL311" s="309">
        <f t="shared" si="45"/>
        <v>31495.15</v>
      </c>
      <c r="AM311" s="309">
        <f t="shared" si="45"/>
        <v>31495.15</v>
      </c>
      <c r="AN311" s="309"/>
      <c r="AO311" s="309"/>
      <c r="AP311" s="309">
        <f t="shared" si="40"/>
        <v>0</v>
      </c>
      <c r="AQ311" s="309">
        <f t="shared" ref="AQ311:AR326" si="50">AP311</f>
        <v>0</v>
      </c>
      <c r="AR311" s="309">
        <f t="shared" si="50"/>
        <v>0</v>
      </c>
      <c r="AS311" s="309"/>
      <c r="AT311" s="309"/>
      <c r="AV311" s="311">
        <f t="shared" si="41"/>
        <v>535417.54999999993</v>
      </c>
      <c r="AW311" s="311">
        <f t="shared" si="42"/>
        <v>0</v>
      </c>
      <c r="AX311" s="312">
        <f t="shared" si="43"/>
        <v>0</v>
      </c>
    </row>
    <row r="312" spans="1:51">
      <c r="A312" s="291" t="s">
        <v>494</v>
      </c>
      <c r="B312" s="291"/>
      <c r="C312" s="291"/>
      <c r="D312" s="291">
        <v>1160505001</v>
      </c>
      <c r="E312" s="291">
        <v>0</v>
      </c>
      <c r="F312" s="291">
        <v>43476</v>
      </c>
      <c r="G312" s="306">
        <v>43129</v>
      </c>
      <c r="H312" s="306">
        <v>44225</v>
      </c>
      <c r="I312" s="291">
        <v>1053</v>
      </c>
      <c r="J312" s="307">
        <v>2747156</v>
      </c>
      <c r="K312" s="307">
        <v>16483</v>
      </c>
      <c r="L312" s="307">
        <v>0</v>
      </c>
      <c r="M312" s="291" t="s">
        <v>495</v>
      </c>
      <c r="N312" s="307">
        <v>2747156</v>
      </c>
      <c r="O312" s="307">
        <v>16483</v>
      </c>
      <c r="P312" s="307">
        <v>1446378</v>
      </c>
      <c r="Q312" s="291">
        <v>1</v>
      </c>
      <c r="R312" s="291" t="s">
        <v>496</v>
      </c>
      <c r="S312" s="291">
        <v>100</v>
      </c>
      <c r="T312" s="307">
        <v>2747156</v>
      </c>
      <c r="U312" s="307">
        <v>16483</v>
      </c>
      <c r="V312" s="291">
        <v>200</v>
      </c>
      <c r="W312" s="307">
        <v>3374036</v>
      </c>
      <c r="X312" s="291">
        <v>15</v>
      </c>
      <c r="Y312" s="291">
        <v>1160902010</v>
      </c>
      <c r="Z312" s="291">
        <v>2023</v>
      </c>
      <c r="AA312" s="291">
        <v>12</v>
      </c>
      <c r="AB312" s="291">
        <v>5026003002</v>
      </c>
      <c r="AC312" s="291">
        <v>1160903005</v>
      </c>
      <c r="AD312" s="291">
        <v>0</v>
      </c>
      <c r="AE312" s="291">
        <v>0</v>
      </c>
      <c r="AF312" s="291">
        <v>0</v>
      </c>
      <c r="AG312" s="291">
        <v>1160605001</v>
      </c>
      <c r="AH312" s="291">
        <v>1053</v>
      </c>
      <c r="AI312" s="291" t="s">
        <v>499</v>
      </c>
      <c r="AJ312" s="308">
        <v>0.05</v>
      </c>
      <c r="AK312" s="309">
        <f t="shared" si="44"/>
        <v>137357.80000000002</v>
      </c>
      <c r="AL312" s="309">
        <f t="shared" si="45"/>
        <v>137357.80000000002</v>
      </c>
      <c r="AM312" s="309">
        <f t="shared" si="45"/>
        <v>137357.80000000002</v>
      </c>
      <c r="AN312" s="309"/>
      <c r="AO312" s="309"/>
      <c r="AP312" s="309">
        <f t="shared" si="40"/>
        <v>412.07500000000005</v>
      </c>
      <c r="AQ312" s="309">
        <f t="shared" si="50"/>
        <v>412.07500000000005</v>
      </c>
      <c r="AR312" s="309">
        <f t="shared" si="50"/>
        <v>412.07500000000005</v>
      </c>
      <c r="AS312" s="309"/>
      <c r="AT312" s="309"/>
      <c r="AV312" s="311">
        <f t="shared" si="41"/>
        <v>2335082.6000000006</v>
      </c>
      <c r="AW312" s="311">
        <f t="shared" si="42"/>
        <v>15246.774999999998</v>
      </c>
      <c r="AX312" s="312">
        <f t="shared" si="43"/>
        <v>0</v>
      </c>
    </row>
    <row r="313" spans="1:51">
      <c r="A313" s="291" t="s">
        <v>494</v>
      </c>
      <c r="B313" s="291"/>
      <c r="C313" s="291"/>
      <c r="D313" s="291">
        <v>1160505001</v>
      </c>
      <c r="E313" s="291">
        <v>0</v>
      </c>
      <c r="F313" s="291">
        <v>45895</v>
      </c>
      <c r="G313" s="306">
        <v>43499</v>
      </c>
      <c r="H313" s="306">
        <v>44595</v>
      </c>
      <c r="I313" s="291">
        <v>689</v>
      </c>
      <c r="J313" s="307">
        <v>6000000</v>
      </c>
      <c r="K313" s="307">
        <v>1620000</v>
      </c>
      <c r="L313" s="307">
        <v>0</v>
      </c>
      <c r="M313" s="291" t="s">
        <v>495</v>
      </c>
      <c r="N313" s="307">
        <v>6000000</v>
      </c>
      <c r="O313" s="307">
        <v>1620000</v>
      </c>
      <c r="P313" s="307">
        <v>2067000</v>
      </c>
      <c r="Q313" s="291">
        <v>1</v>
      </c>
      <c r="R313" s="291" t="s">
        <v>496</v>
      </c>
      <c r="S313" s="291">
        <v>100</v>
      </c>
      <c r="T313" s="307">
        <v>6000000</v>
      </c>
      <c r="U313" s="307">
        <v>1620000</v>
      </c>
      <c r="V313" s="291">
        <v>100</v>
      </c>
      <c r="W313" s="307">
        <v>3374036</v>
      </c>
      <c r="X313" s="291">
        <v>15</v>
      </c>
      <c r="Y313" s="291">
        <v>1160902010</v>
      </c>
      <c r="Z313" s="291">
        <v>2023</v>
      </c>
      <c r="AA313" s="291">
        <v>12</v>
      </c>
      <c r="AB313" s="291">
        <v>5026003002</v>
      </c>
      <c r="AC313" s="291">
        <v>1160903005</v>
      </c>
      <c r="AD313" s="291">
        <v>0</v>
      </c>
      <c r="AE313" s="291">
        <v>0</v>
      </c>
      <c r="AF313" s="291">
        <v>0</v>
      </c>
      <c r="AG313" s="291">
        <v>1160605001</v>
      </c>
      <c r="AH313" s="291">
        <v>1053</v>
      </c>
      <c r="AI313" s="291" t="s">
        <v>499</v>
      </c>
      <c r="AJ313" s="308">
        <v>0.05</v>
      </c>
      <c r="AK313" s="309">
        <f t="shared" si="44"/>
        <v>300000</v>
      </c>
      <c r="AL313" s="309">
        <f t="shared" si="45"/>
        <v>300000</v>
      </c>
      <c r="AM313" s="309">
        <f t="shared" si="45"/>
        <v>300000</v>
      </c>
      <c r="AN313" s="309"/>
      <c r="AO313" s="309"/>
      <c r="AP313" s="309">
        <f t="shared" si="40"/>
        <v>40500</v>
      </c>
      <c r="AQ313" s="309">
        <f t="shared" si="50"/>
        <v>40500</v>
      </c>
      <c r="AR313" s="309">
        <f t="shared" si="50"/>
        <v>40500</v>
      </c>
      <c r="AS313" s="309"/>
      <c r="AT313" s="309"/>
      <c r="AV313" s="311">
        <f t="shared" si="41"/>
        <v>5100000</v>
      </c>
      <c r="AW313" s="311">
        <f t="shared" si="42"/>
        <v>1498500</v>
      </c>
      <c r="AX313" s="312">
        <f t="shared" si="43"/>
        <v>0</v>
      </c>
    </row>
    <row r="314" spans="1:51">
      <c r="A314" s="291" t="s">
        <v>494</v>
      </c>
      <c r="B314" s="291"/>
      <c r="C314" s="291"/>
      <c r="D314" s="291">
        <v>1160504001</v>
      </c>
      <c r="E314" s="291">
        <v>0</v>
      </c>
      <c r="F314" s="291">
        <v>44414</v>
      </c>
      <c r="G314" s="306">
        <v>43224</v>
      </c>
      <c r="H314" s="306">
        <v>45050</v>
      </c>
      <c r="I314" s="291">
        <v>238</v>
      </c>
      <c r="J314" s="307">
        <v>180009</v>
      </c>
      <c r="K314" s="307">
        <v>40500</v>
      </c>
      <c r="L314" s="307">
        <v>0</v>
      </c>
      <c r="M314" s="291" t="s">
        <v>495</v>
      </c>
      <c r="N314" s="307">
        <v>180009</v>
      </c>
      <c r="O314" s="307">
        <v>40500</v>
      </c>
      <c r="P314" s="307">
        <v>21421</v>
      </c>
      <c r="Q314" s="291">
        <v>1</v>
      </c>
      <c r="R314" s="291" t="s">
        <v>501</v>
      </c>
      <c r="S314" s="291">
        <v>100</v>
      </c>
      <c r="T314" s="307">
        <v>180009</v>
      </c>
      <c r="U314" s="307">
        <v>40500</v>
      </c>
      <c r="V314" s="291">
        <v>100</v>
      </c>
      <c r="W314" s="307">
        <v>6357324</v>
      </c>
      <c r="X314" s="291">
        <v>14</v>
      </c>
      <c r="Y314" s="291">
        <v>1160902008</v>
      </c>
      <c r="Z314" s="291">
        <v>2023</v>
      </c>
      <c r="AA314" s="291">
        <v>12</v>
      </c>
      <c r="AB314" s="291">
        <v>5026003002</v>
      </c>
      <c r="AC314" s="291">
        <v>1160903004</v>
      </c>
      <c r="AD314" s="291">
        <v>0</v>
      </c>
      <c r="AE314" s="291">
        <v>0</v>
      </c>
      <c r="AF314" s="291">
        <v>0</v>
      </c>
      <c r="AG314" s="291">
        <v>1160604001</v>
      </c>
      <c r="AH314" s="291">
        <v>238</v>
      </c>
      <c r="AI314" s="291" t="s">
        <v>500</v>
      </c>
      <c r="AJ314" s="308">
        <v>0.3</v>
      </c>
      <c r="AK314" s="309">
        <f t="shared" si="44"/>
        <v>54002.7</v>
      </c>
      <c r="AL314" s="309">
        <f t="shared" si="45"/>
        <v>54002.7</v>
      </c>
      <c r="AM314" s="309">
        <f t="shared" si="45"/>
        <v>54002.7</v>
      </c>
      <c r="AN314" s="309"/>
      <c r="AO314" s="309"/>
      <c r="AP314" s="309">
        <f t="shared" si="40"/>
        <v>6075</v>
      </c>
      <c r="AQ314" s="309">
        <f t="shared" si="50"/>
        <v>6075</v>
      </c>
      <c r="AR314" s="309">
        <f t="shared" si="50"/>
        <v>6075</v>
      </c>
      <c r="AS314" s="309"/>
      <c r="AT314" s="309"/>
      <c r="AV314" s="311">
        <f t="shared" si="41"/>
        <v>18000.900000000009</v>
      </c>
      <c r="AW314" s="311">
        <f t="shared" si="42"/>
        <v>22275</v>
      </c>
      <c r="AX314" s="312">
        <f t="shared" si="43"/>
        <v>0</v>
      </c>
    </row>
    <row r="315" spans="1:51">
      <c r="A315" s="291" t="s">
        <v>494</v>
      </c>
      <c r="B315" s="291"/>
      <c r="C315" s="291"/>
      <c r="D315" s="291">
        <v>1160504001</v>
      </c>
      <c r="E315" s="291">
        <v>0</v>
      </c>
      <c r="F315" s="291">
        <v>44524</v>
      </c>
      <c r="G315" s="306">
        <v>43240</v>
      </c>
      <c r="H315" s="306">
        <v>45066</v>
      </c>
      <c r="I315" s="291">
        <v>222</v>
      </c>
      <c r="J315" s="307">
        <v>3200000</v>
      </c>
      <c r="K315" s="307">
        <v>642667</v>
      </c>
      <c r="L315" s="307">
        <v>0</v>
      </c>
      <c r="M315" s="291" t="s">
        <v>495</v>
      </c>
      <c r="N315" s="307">
        <v>3200000</v>
      </c>
      <c r="O315" s="307">
        <v>642667</v>
      </c>
      <c r="P315" s="307">
        <v>355200</v>
      </c>
      <c r="Q315" s="291">
        <v>1</v>
      </c>
      <c r="R315" s="291" t="s">
        <v>501</v>
      </c>
      <c r="S315" s="291">
        <v>100</v>
      </c>
      <c r="T315" s="307">
        <v>3200000</v>
      </c>
      <c r="U315" s="307">
        <v>642667</v>
      </c>
      <c r="V315" s="291">
        <v>100</v>
      </c>
      <c r="W315" s="307">
        <v>7936463</v>
      </c>
      <c r="X315" s="291">
        <v>14</v>
      </c>
      <c r="Y315" s="291">
        <v>1160902008</v>
      </c>
      <c r="Z315" s="291">
        <v>2023</v>
      </c>
      <c r="AA315" s="291">
        <v>12</v>
      </c>
      <c r="AB315" s="291">
        <v>5026003002</v>
      </c>
      <c r="AC315" s="291">
        <v>1160903004</v>
      </c>
      <c r="AD315" s="291">
        <v>0</v>
      </c>
      <c r="AE315" s="291">
        <v>0</v>
      </c>
      <c r="AF315" s="291">
        <v>0</v>
      </c>
      <c r="AG315" s="291">
        <v>1160604001</v>
      </c>
      <c r="AH315" s="291">
        <v>222</v>
      </c>
      <c r="AI315" s="291" t="s">
        <v>500</v>
      </c>
      <c r="AJ315" s="308">
        <v>0.3</v>
      </c>
      <c r="AK315" s="309">
        <f t="shared" si="44"/>
        <v>960000</v>
      </c>
      <c r="AL315" s="309">
        <f t="shared" si="45"/>
        <v>960000</v>
      </c>
      <c r="AM315" s="309">
        <f t="shared" si="45"/>
        <v>960000</v>
      </c>
      <c r="AN315" s="309"/>
      <c r="AO315" s="309"/>
      <c r="AP315" s="309">
        <f t="shared" si="40"/>
        <v>96400.05</v>
      </c>
      <c r="AQ315" s="309">
        <f t="shared" si="50"/>
        <v>96400.05</v>
      </c>
      <c r="AR315" s="309">
        <f t="shared" si="50"/>
        <v>96400.05</v>
      </c>
      <c r="AS315" s="309"/>
      <c r="AT315" s="309"/>
      <c r="AV315" s="311">
        <f t="shared" si="41"/>
        <v>320000</v>
      </c>
      <c r="AW315" s="311">
        <f t="shared" si="42"/>
        <v>353466.85</v>
      </c>
      <c r="AX315" s="312">
        <f t="shared" si="43"/>
        <v>0</v>
      </c>
    </row>
    <row r="316" spans="1:51">
      <c r="A316" s="291" t="s">
        <v>494</v>
      </c>
      <c r="B316" s="291"/>
      <c r="C316" s="291"/>
      <c r="D316" s="291">
        <v>1160505001</v>
      </c>
      <c r="E316" s="291">
        <v>0</v>
      </c>
      <c r="F316" s="291">
        <v>42826</v>
      </c>
      <c r="G316" s="306">
        <v>42967</v>
      </c>
      <c r="H316" s="306">
        <v>44793</v>
      </c>
      <c r="I316" s="291">
        <v>492</v>
      </c>
      <c r="J316" s="307">
        <v>4000000</v>
      </c>
      <c r="K316" s="307">
        <v>1731876</v>
      </c>
      <c r="L316" s="307">
        <v>0</v>
      </c>
      <c r="M316" s="291" t="s">
        <v>495</v>
      </c>
      <c r="N316" s="307">
        <v>4000000</v>
      </c>
      <c r="O316" s="307">
        <v>1731876</v>
      </c>
      <c r="P316" s="307">
        <v>984000</v>
      </c>
      <c r="Q316" s="291">
        <v>1</v>
      </c>
      <c r="R316" s="291" t="s">
        <v>496</v>
      </c>
      <c r="S316" s="291">
        <v>100</v>
      </c>
      <c r="T316" s="307">
        <v>4000000</v>
      </c>
      <c r="U316" s="307">
        <v>1731876</v>
      </c>
      <c r="V316" s="291">
        <v>100</v>
      </c>
      <c r="W316" s="307">
        <v>1801961</v>
      </c>
      <c r="X316" s="291">
        <v>14</v>
      </c>
      <c r="Y316" s="291">
        <v>1160902010</v>
      </c>
      <c r="Z316" s="291">
        <v>2023</v>
      </c>
      <c r="AA316" s="291">
        <v>12</v>
      </c>
      <c r="AB316" s="291">
        <v>5026003002</v>
      </c>
      <c r="AC316" s="291">
        <v>1160903005</v>
      </c>
      <c r="AD316" s="291">
        <v>0</v>
      </c>
      <c r="AE316" s="291">
        <v>0</v>
      </c>
      <c r="AF316" s="291">
        <v>0</v>
      </c>
      <c r="AG316" s="291">
        <v>1160605001</v>
      </c>
      <c r="AH316" s="291">
        <v>492</v>
      </c>
      <c r="AI316" s="291" t="s">
        <v>498</v>
      </c>
      <c r="AJ316" s="308">
        <v>0.1</v>
      </c>
      <c r="AK316" s="309">
        <f t="shared" si="44"/>
        <v>400000</v>
      </c>
      <c r="AL316" s="309">
        <f t="shared" si="45"/>
        <v>400000</v>
      </c>
      <c r="AM316" s="309">
        <f t="shared" si="45"/>
        <v>400000</v>
      </c>
      <c r="AN316" s="309"/>
      <c r="AO316" s="309"/>
      <c r="AP316" s="309">
        <f t="shared" si="40"/>
        <v>86593.8</v>
      </c>
      <c r="AQ316" s="309">
        <f t="shared" si="50"/>
        <v>86593.8</v>
      </c>
      <c r="AR316" s="309">
        <f t="shared" si="50"/>
        <v>86593.8</v>
      </c>
      <c r="AS316" s="309"/>
      <c r="AT316" s="309"/>
      <c r="AV316" s="311">
        <f t="shared" si="41"/>
        <v>2800000</v>
      </c>
      <c r="AW316" s="311">
        <f t="shared" si="42"/>
        <v>1472094.5999999999</v>
      </c>
      <c r="AX316" s="312">
        <f t="shared" si="43"/>
        <v>0</v>
      </c>
    </row>
    <row r="317" spans="1:51">
      <c r="A317" s="291" t="s">
        <v>494</v>
      </c>
      <c r="B317" s="291"/>
      <c r="C317" s="291"/>
      <c r="D317" s="291">
        <v>1160505001</v>
      </c>
      <c r="E317" s="291">
        <v>0</v>
      </c>
      <c r="F317" s="291">
        <v>43762</v>
      </c>
      <c r="G317" s="306">
        <v>43153</v>
      </c>
      <c r="H317" s="306">
        <v>43883</v>
      </c>
      <c r="I317" s="291">
        <v>1390</v>
      </c>
      <c r="J317" s="307">
        <v>1500000</v>
      </c>
      <c r="K317" s="307">
        <v>231250</v>
      </c>
      <c r="L317" s="307">
        <v>0</v>
      </c>
      <c r="M317" s="291" t="s">
        <v>495</v>
      </c>
      <c r="N317" s="307">
        <v>1500000</v>
      </c>
      <c r="O317" s="307">
        <v>231250</v>
      </c>
      <c r="P317" s="307">
        <v>1042500</v>
      </c>
      <c r="Q317" s="291">
        <v>1</v>
      </c>
      <c r="R317" s="291" t="s">
        <v>496</v>
      </c>
      <c r="S317" s="291">
        <v>100</v>
      </c>
      <c r="T317" s="307">
        <v>1500000</v>
      </c>
      <c r="U317" s="307">
        <v>231250</v>
      </c>
      <c r="V317" s="291">
        <v>100</v>
      </c>
      <c r="W317" s="307">
        <v>2091231</v>
      </c>
      <c r="X317" s="291">
        <v>14</v>
      </c>
      <c r="Y317" s="291">
        <v>1160902010</v>
      </c>
      <c r="Z317" s="291">
        <v>2023</v>
      </c>
      <c r="AA317" s="291">
        <v>12</v>
      </c>
      <c r="AB317" s="291">
        <v>5026003002</v>
      </c>
      <c r="AC317" s="291">
        <v>1160903005</v>
      </c>
      <c r="AD317" s="291">
        <v>0</v>
      </c>
      <c r="AE317" s="291">
        <v>0</v>
      </c>
      <c r="AF317" s="291">
        <v>0</v>
      </c>
      <c r="AG317" s="291">
        <v>1160605001</v>
      </c>
      <c r="AH317" s="291">
        <v>1390</v>
      </c>
      <c r="AI317" s="291" t="s">
        <v>497</v>
      </c>
      <c r="AJ317" s="308">
        <v>0.01</v>
      </c>
      <c r="AK317" s="309">
        <f t="shared" si="44"/>
        <v>15000</v>
      </c>
      <c r="AL317" s="309">
        <f t="shared" si="45"/>
        <v>15000</v>
      </c>
      <c r="AM317" s="309">
        <f t="shared" si="45"/>
        <v>15000</v>
      </c>
      <c r="AN317" s="309"/>
      <c r="AO317" s="309"/>
      <c r="AP317" s="309">
        <f t="shared" si="40"/>
        <v>1156.25</v>
      </c>
      <c r="AQ317" s="309">
        <f t="shared" si="50"/>
        <v>1156.25</v>
      </c>
      <c r="AR317" s="309">
        <f t="shared" si="50"/>
        <v>1156.25</v>
      </c>
      <c r="AS317" s="309"/>
      <c r="AT317" s="309"/>
      <c r="AV317" s="311">
        <f t="shared" si="41"/>
        <v>1455000</v>
      </c>
      <c r="AW317" s="311">
        <f t="shared" si="42"/>
        <v>227781.25</v>
      </c>
      <c r="AX317" s="312">
        <f t="shared" si="43"/>
        <v>0</v>
      </c>
    </row>
    <row r="318" spans="1:51">
      <c r="A318" s="291" t="s">
        <v>494</v>
      </c>
      <c r="B318" s="291"/>
      <c r="C318" s="291"/>
      <c r="D318" s="291">
        <v>1160505001</v>
      </c>
      <c r="E318" s="291">
        <v>0</v>
      </c>
      <c r="F318" s="291">
        <v>44095</v>
      </c>
      <c r="G318" s="306">
        <v>43183</v>
      </c>
      <c r="H318" s="306">
        <v>43914</v>
      </c>
      <c r="I318" s="291">
        <v>1358</v>
      </c>
      <c r="J318" s="307">
        <v>400000</v>
      </c>
      <c r="K318" s="307">
        <v>67000</v>
      </c>
      <c r="L318" s="307">
        <v>0</v>
      </c>
      <c r="M318" s="291" t="s">
        <v>495</v>
      </c>
      <c r="N318" s="307">
        <v>400000</v>
      </c>
      <c r="O318" s="307">
        <v>67000</v>
      </c>
      <c r="P318" s="307">
        <v>271600</v>
      </c>
      <c r="Q318" s="291">
        <v>1</v>
      </c>
      <c r="R318" s="291" t="s">
        <v>496</v>
      </c>
      <c r="S318" s="291">
        <v>100</v>
      </c>
      <c r="T318" s="307">
        <v>400000</v>
      </c>
      <c r="U318" s="307">
        <v>67000</v>
      </c>
      <c r="V318" s="291">
        <v>100</v>
      </c>
      <c r="W318" s="307">
        <v>2091231</v>
      </c>
      <c r="X318" s="291">
        <v>15</v>
      </c>
      <c r="Y318" s="291">
        <v>1160902010</v>
      </c>
      <c r="Z318" s="291">
        <v>2023</v>
      </c>
      <c r="AA318" s="291">
        <v>12</v>
      </c>
      <c r="AB318" s="291">
        <v>5026003002</v>
      </c>
      <c r="AC318" s="291">
        <v>1160903005</v>
      </c>
      <c r="AD318" s="291">
        <v>0</v>
      </c>
      <c r="AE318" s="291">
        <v>0</v>
      </c>
      <c r="AF318" s="291">
        <v>0</v>
      </c>
      <c r="AG318" s="291">
        <v>1160605001</v>
      </c>
      <c r="AH318" s="291">
        <v>1390</v>
      </c>
      <c r="AI318" s="291" t="s">
        <v>497</v>
      </c>
      <c r="AJ318" s="308">
        <v>0.01</v>
      </c>
      <c r="AK318" s="309">
        <f t="shared" si="44"/>
        <v>4000</v>
      </c>
      <c r="AL318" s="309">
        <f t="shared" si="45"/>
        <v>4000</v>
      </c>
      <c r="AM318" s="309">
        <f t="shared" si="45"/>
        <v>4000</v>
      </c>
      <c r="AN318" s="309"/>
      <c r="AO318" s="309"/>
      <c r="AP318" s="309">
        <f t="shared" si="40"/>
        <v>335</v>
      </c>
      <c r="AQ318" s="309">
        <f t="shared" si="50"/>
        <v>335</v>
      </c>
      <c r="AR318" s="309">
        <f t="shared" si="50"/>
        <v>335</v>
      </c>
      <c r="AS318" s="309"/>
      <c r="AT318" s="309"/>
      <c r="AV318" s="311">
        <f t="shared" si="41"/>
        <v>388000</v>
      </c>
      <c r="AW318" s="311">
        <f t="shared" si="42"/>
        <v>65995</v>
      </c>
      <c r="AX318" s="312">
        <f t="shared" si="43"/>
        <v>0</v>
      </c>
    </row>
    <row r="319" spans="1:51">
      <c r="A319" s="291" t="s">
        <v>494</v>
      </c>
      <c r="B319" s="291"/>
      <c r="C319" s="291"/>
      <c r="D319" s="291">
        <v>1160505001</v>
      </c>
      <c r="E319" s="291">
        <v>0</v>
      </c>
      <c r="F319" s="291">
        <v>45860</v>
      </c>
      <c r="G319" s="306">
        <v>43493</v>
      </c>
      <c r="H319" s="306">
        <v>44589</v>
      </c>
      <c r="I319" s="291">
        <v>694</v>
      </c>
      <c r="J319" s="307">
        <v>8000000</v>
      </c>
      <c r="K319" s="307">
        <v>2160000</v>
      </c>
      <c r="L319" s="307">
        <v>0</v>
      </c>
      <c r="M319" s="291" t="s">
        <v>495</v>
      </c>
      <c r="N319" s="307">
        <v>8000000</v>
      </c>
      <c r="O319" s="307">
        <v>2160000</v>
      </c>
      <c r="P319" s="307">
        <v>2776000</v>
      </c>
      <c r="Q319" s="291">
        <v>1</v>
      </c>
      <c r="R319" s="291" t="s">
        <v>496</v>
      </c>
      <c r="S319" s="291">
        <v>100</v>
      </c>
      <c r="T319" s="307">
        <v>8000000</v>
      </c>
      <c r="U319" s="307">
        <v>2160000</v>
      </c>
      <c r="V319" s="291">
        <v>100</v>
      </c>
      <c r="W319" s="307">
        <v>602446</v>
      </c>
      <c r="X319" s="291">
        <v>15</v>
      </c>
      <c r="Y319" s="291">
        <v>1160902010</v>
      </c>
      <c r="Z319" s="291">
        <v>2023</v>
      </c>
      <c r="AA319" s="291">
        <v>12</v>
      </c>
      <c r="AB319" s="291">
        <v>5026003002</v>
      </c>
      <c r="AC319" s="291">
        <v>1160903005</v>
      </c>
      <c r="AD319" s="291">
        <v>0</v>
      </c>
      <c r="AE319" s="291">
        <v>0</v>
      </c>
      <c r="AF319" s="291">
        <v>0</v>
      </c>
      <c r="AG319" s="291">
        <v>1160605001</v>
      </c>
      <c r="AH319" s="291">
        <v>694</v>
      </c>
      <c r="AI319" s="291" t="s">
        <v>498</v>
      </c>
      <c r="AJ319" s="308">
        <v>0.1</v>
      </c>
      <c r="AK319" s="309">
        <f t="shared" si="44"/>
        <v>800000</v>
      </c>
      <c r="AL319" s="309">
        <f t="shared" si="45"/>
        <v>800000</v>
      </c>
      <c r="AM319" s="309">
        <f t="shared" si="45"/>
        <v>800000</v>
      </c>
      <c r="AN319" s="309"/>
      <c r="AO319" s="309"/>
      <c r="AP319" s="309">
        <f t="shared" si="40"/>
        <v>108000</v>
      </c>
      <c r="AQ319" s="309">
        <f t="shared" si="50"/>
        <v>108000</v>
      </c>
      <c r="AR319" s="309">
        <f t="shared" si="50"/>
        <v>108000</v>
      </c>
      <c r="AS319" s="309"/>
      <c r="AT319" s="309"/>
      <c r="AV319" s="311">
        <f t="shared" si="41"/>
        <v>5600000</v>
      </c>
      <c r="AW319" s="311">
        <f t="shared" si="42"/>
        <v>1836000</v>
      </c>
      <c r="AX319" s="312">
        <f t="shared" si="43"/>
        <v>0</v>
      </c>
    </row>
    <row r="320" spans="1:51">
      <c r="A320" s="291" t="s">
        <v>494</v>
      </c>
      <c r="B320" s="291"/>
      <c r="C320" s="291"/>
      <c r="D320" s="291">
        <v>1160505001</v>
      </c>
      <c r="E320" s="291">
        <v>0</v>
      </c>
      <c r="F320" s="291">
        <v>43394</v>
      </c>
      <c r="G320" s="306">
        <v>43122</v>
      </c>
      <c r="H320" s="306">
        <v>44218</v>
      </c>
      <c r="I320" s="291">
        <v>1060</v>
      </c>
      <c r="J320" s="307">
        <v>6000000</v>
      </c>
      <c r="K320" s="307">
        <v>1717860</v>
      </c>
      <c r="L320" s="307">
        <v>0</v>
      </c>
      <c r="M320" s="291" t="s">
        <v>495</v>
      </c>
      <c r="N320" s="307">
        <v>6000000</v>
      </c>
      <c r="O320" s="307">
        <v>1717860</v>
      </c>
      <c r="P320" s="307">
        <v>3180000</v>
      </c>
      <c r="Q320" s="291">
        <v>1</v>
      </c>
      <c r="R320" s="291" t="s">
        <v>496</v>
      </c>
      <c r="S320" s="291">
        <v>100</v>
      </c>
      <c r="T320" s="307">
        <v>6000000</v>
      </c>
      <c r="U320" s="307">
        <v>1717860</v>
      </c>
      <c r="V320" s="291">
        <v>100</v>
      </c>
      <c r="W320" s="307">
        <v>2309297</v>
      </c>
      <c r="X320" s="291">
        <v>14</v>
      </c>
      <c r="Y320" s="291">
        <v>1160902010</v>
      </c>
      <c r="Z320" s="291">
        <v>2023</v>
      </c>
      <c r="AA320" s="291">
        <v>12</v>
      </c>
      <c r="AB320" s="291">
        <v>5026003002</v>
      </c>
      <c r="AC320" s="291">
        <v>1160903005</v>
      </c>
      <c r="AD320" s="291">
        <v>0</v>
      </c>
      <c r="AE320" s="291">
        <v>0</v>
      </c>
      <c r="AF320" s="291">
        <v>0</v>
      </c>
      <c r="AG320" s="291">
        <v>1160605001</v>
      </c>
      <c r="AH320" s="291">
        <v>1060</v>
      </c>
      <c r="AI320" s="291" t="s">
        <v>499</v>
      </c>
      <c r="AJ320" s="308">
        <v>0.05</v>
      </c>
      <c r="AK320" s="309">
        <f t="shared" si="44"/>
        <v>300000</v>
      </c>
      <c r="AL320" s="309">
        <f t="shared" si="45"/>
        <v>300000</v>
      </c>
      <c r="AM320" s="309">
        <f t="shared" si="45"/>
        <v>300000</v>
      </c>
      <c r="AN320" s="309"/>
      <c r="AO320" s="309"/>
      <c r="AP320" s="309">
        <f t="shared" si="40"/>
        <v>42946.5</v>
      </c>
      <c r="AQ320" s="309">
        <f t="shared" si="50"/>
        <v>42946.5</v>
      </c>
      <c r="AR320" s="309">
        <f t="shared" si="50"/>
        <v>42946.5</v>
      </c>
      <c r="AS320" s="309"/>
      <c r="AT320" s="309"/>
      <c r="AV320" s="311">
        <f t="shared" si="41"/>
        <v>5100000</v>
      </c>
      <c r="AW320" s="311">
        <f t="shared" si="42"/>
        <v>1589020.5</v>
      </c>
      <c r="AX320" s="312">
        <f t="shared" si="43"/>
        <v>0</v>
      </c>
    </row>
    <row r="321" spans="1:51">
      <c r="A321" s="291" t="s">
        <v>494</v>
      </c>
      <c r="B321" s="291"/>
      <c r="C321" s="291"/>
      <c r="D321" s="291">
        <v>1160505004</v>
      </c>
      <c r="E321" s="291">
        <v>31867</v>
      </c>
      <c r="F321" s="291">
        <v>36121</v>
      </c>
      <c r="G321" s="306">
        <v>41840</v>
      </c>
      <c r="H321" s="306">
        <v>42936</v>
      </c>
      <c r="I321" s="291">
        <v>2322</v>
      </c>
      <c r="J321" s="307">
        <v>90491</v>
      </c>
      <c r="K321" s="307">
        <v>0</v>
      </c>
      <c r="L321" s="307">
        <v>0</v>
      </c>
      <c r="M321" s="291" t="s">
        <v>495</v>
      </c>
      <c r="N321" s="307">
        <v>90491</v>
      </c>
      <c r="O321" s="307">
        <v>0</v>
      </c>
      <c r="P321" s="307">
        <v>105060</v>
      </c>
      <c r="Q321" s="291">
        <v>1</v>
      </c>
      <c r="R321" s="291" t="s">
        <v>496</v>
      </c>
      <c r="S321" s="291">
        <v>100</v>
      </c>
      <c r="T321" s="307">
        <v>90491</v>
      </c>
      <c r="U321" s="307">
        <v>0</v>
      </c>
      <c r="V321" s="291">
        <v>100</v>
      </c>
      <c r="W321" s="307">
        <v>0</v>
      </c>
      <c r="X321" s="291">
        <v>5</v>
      </c>
      <c r="Y321" s="291">
        <v>1160902010</v>
      </c>
      <c r="Z321" s="291">
        <v>2023</v>
      </c>
      <c r="AA321" s="291">
        <v>12</v>
      </c>
      <c r="AB321" s="291">
        <v>5026003002</v>
      </c>
      <c r="AC321" s="291">
        <v>1160903005</v>
      </c>
      <c r="AD321" s="291">
        <v>0</v>
      </c>
      <c r="AE321" s="291">
        <v>0</v>
      </c>
      <c r="AF321" s="291">
        <v>0</v>
      </c>
      <c r="AG321" s="291">
        <v>1160605001</v>
      </c>
      <c r="AH321" s="291">
        <v>2322</v>
      </c>
      <c r="AI321" s="291" t="s">
        <v>497</v>
      </c>
      <c r="AJ321" s="308">
        <v>0.01</v>
      </c>
      <c r="AK321" s="309">
        <f t="shared" si="44"/>
        <v>904.91</v>
      </c>
      <c r="AL321" s="309">
        <f t="shared" si="45"/>
        <v>904.91</v>
      </c>
      <c r="AM321" s="309">
        <f t="shared" si="45"/>
        <v>904.91</v>
      </c>
      <c r="AN321" s="309"/>
      <c r="AO321" s="309"/>
      <c r="AP321" s="309">
        <f t="shared" si="40"/>
        <v>0</v>
      </c>
      <c r="AQ321" s="309">
        <f t="shared" si="50"/>
        <v>0</v>
      </c>
      <c r="AR321" s="309">
        <f t="shared" si="50"/>
        <v>0</v>
      </c>
      <c r="AS321" s="309"/>
      <c r="AT321" s="309"/>
      <c r="AV321" s="311">
        <f t="shared" si="41"/>
        <v>87776.26999999999</v>
      </c>
      <c r="AW321" s="311">
        <f t="shared" si="42"/>
        <v>0</v>
      </c>
      <c r="AX321" s="312">
        <f t="shared" si="43"/>
        <v>0</v>
      </c>
    </row>
    <row r="322" spans="1:51">
      <c r="A322" s="291" t="s">
        <v>494</v>
      </c>
      <c r="B322" s="291"/>
      <c r="C322" s="291"/>
      <c r="D322" s="291">
        <v>1160504001</v>
      </c>
      <c r="E322" s="291">
        <v>0</v>
      </c>
      <c r="F322" s="291">
        <v>44602</v>
      </c>
      <c r="G322" s="306">
        <v>43248</v>
      </c>
      <c r="H322" s="306">
        <v>45074</v>
      </c>
      <c r="I322" s="291">
        <v>214</v>
      </c>
      <c r="J322" s="307">
        <v>920000</v>
      </c>
      <c r="K322" s="307">
        <v>125350</v>
      </c>
      <c r="L322" s="307">
        <v>0</v>
      </c>
      <c r="M322" s="291" t="s">
        <v>495</v>
      </c>
      <c r="N322" s="307">
        <v>920000</v>
      </c>
      <c r="O322" s="307">
        <v>125350</v>
      </c>
      <c r="P322" s="307">
        <v>98440</v>
      </c>
      <c r="Q322" s="291">
        <v>1</v>
      </c>
      <c r="R322" s="291" t="s">
        <v>501</v>
      </c>
      <c r="S322" s="291">
        <v>100</v>
      </c>
      <c r="T322" s="307">
        <v>920000</v>
      </c>
      <c r="U322" s="307">
        <v>125350</v>
      </c>
      <c r="V322" s="291">
        <v>100</v>
      </c>
      <c r="W322" s="307">
        <v>991932</v>
      </c>
      <c r="X322" s="291">
        <v>14</v>
      </c>
      <c r="Y322" s="291">
        <v>1160902008</v>
      </c>
      <c r="Z322" s="291">
        <v>2023</v>
      </c>
      <c r="AA322" s="291">
        <v>12</v>
      </c>
      <c r="AB322" s="291">
        <v>5026003002</v>
      </c>
      <c r="AC322" s="291">
        <v>1160903004</v>
      </c>
      <c r="AD322" s="291">
        <v>0</v>
      </c>
      <c r="AE322" s="291">
        <v>0</v>
      </c>
      <c r="AF322" s="291">
        <v>0</v>
      </c>
      <c r="AG322" s="291">
        <v>1160604001</v>
      </c>
      <c r="AH322" s="291">
        <v>214</v>
      </c>
      <c r="AI322" s="291" t="s">
        <v>500</v>
      </c>
      <c r="AJ322" s="308">
        <v>0.3</v>
      </c>
      <c r="AK322" s="309">
        <f t="shared" si="44"/>
        <v>276000</v>
      </c>
      <c r="AL322" s="309">
        <f t="shared" si="45"/>
        <v>276000</v>
      </c>
      <c r="AM322" s="309">
        <f t="shared" si="45"/>
        <v>276000</v>
      </c>
      <c r="AN322" s="309"/>
      <c r="AO322" s="309"/>
      <c r="AP322" s="309">
        <f t="shared" si="40"/>
        <v>18802.5</v>
      </c>
      <c r="AQ322" s="309">
        <f t="shared" si="50"/>
        <v>18802.5</v>
      </c>
      <c r="AR322" s="309">
        <f t="shared" si="50"/>
        <v>18802.5</v>
      </c>
      <c r="AS322" s="309"/>
      <c r="AT322" s="309"/>
      <c r="AV322" s="311">
        <f t="shared" si="41"/>
        <v>92000</v>
      </c>
      <c r="AW322" s="311">
        <f t="shared" si="42"/>
        <v>68942.5</v>
      </c>
      <c r="AX322" s="312">
        <f t="shared" si="43"/>
        <v>0</v>
      </c>
    </row>
    <row r="323" spans="1:51">
      <c r="A323" s="291" t="s">
        <v>494</v>
      </c>
      <c r="B323" s="291"/>
      <c r="C323" s="291"/>
      <c r="D323" s="291">
        <v>1160405004</v>
      </c>
      <c r="E323" s="291">
        <v>46508</v>
      </c>
      <c r="F323" s="291">
        <v>46514</v>
      </c>
      <c r="G323" s="306">
        <v>43555</v>
      </c>
      <c r="H323" s="306">
        <v>44651</v>
      </c>
      <c r="I323" s="291">
        <v>632</v>
      </c>
      <c r="J323" s="307">
        <v>108920424</v>
      </c>
      <c r="K323" s="307">
        <v>33148109</v>
      </c>
      <c r="L323" s="307">
        <v>216355000</v>
      </c>
      <c r="M323" s="291" t="s">
        <v>495</v>
      </c>
      <c r="N323" s="307">
        <v>0</v>
      </c>
      <c r="O323" s="307">
        <v>33148109</v>
      </c>
      <c r="P323" s="307">
        <v>34418854</v>
      </c>
      <c r="Q323" s="291">
        <v>2</v>
      </c>
      <c r="R323" s="291" t="s">
        <v>496</v>
      </c>
      <c r="S323" s="291">
        <v>100</v>
      </c>
      <c r="T323" s="307">
        <v>0</v>
      </c>
      <c r="U323" s="307">
        <v>33148109</v>
      </c>
      <c r="V323" s="291">
        <v>100</v>
      </c>
      <c r="W323" s="307">
        <v>15052598</v>
      </c>
      <c r="X323" s="291">
        <v>5</v>
      </c>
      <c r="Y323" s="291">
        <v>1160902009</v>
      </c>
      <c r="Z323" s="291">
        <v>2023</v>
      </c>
      <c r="AA323" s="291">
        <v>12</v>
      </c>
      <c r="AB323" s="291">
        <v>5026003002</v>
      </c>
      <c r="AC323" s="291">
        <v>1160903005</v>
      </c>
      <c r="AD323" s="291">
        <v>0</v>
      </c>
      <c r="AE323" s="291">
        <v>0</v>
      </c>
      <c r="AF323" s="291">
        <v>1</v>
      </c>
      <c r="AG323" s="291">
        <v>1160605001</v>
      </c>
      <c r="AH323" s="291">
        <v>632</v>
      </c>
      <c r="AI323" s="291" t="s">
        <v>498</v>
      </c>
      <c r="AJ323" s="308">
        <v>0.1</v>
      </c>
      <c r="AK323" s="309">
        <f t="shared" si="44"/>
        <v>10892042.4</v>
      </c>
      <c r="AL323" s="309">
        <f t="shared" si="45"/>
        <v>10892042.4</v>
      </c>
      <c r="AM323" s="309">
        <f t="shared" si="45"/>
        <v>10892042.4</v>
      </c>
      <c r="AN323" s="309"/>
      <c r="AO323" s="309"/>
      <c r="AP323" s="309">
        <f t="shared" si="40"/>
        <v>1657405.4500000002</v>
      </c>
      <c r="AQ323" s="309">
        <f t="shared" si="50"/>
        <v>1657405.4500000002</v>
      </c>
      <c r="AR323" s="309">
        <f t="shared" si="50"/>
        <v>1657405.4500000002</v>
      </c>
      <c r="AS323" s="309"/>
      <c r="AT323" s="309"/>
      <c r="AV323" s="311">
        <f t="shared" si="41"/>
        <v>76244296.799999982</v>
      </c>
      <c r="AW323" s="311">
        <f t="shared" si="42"/>
        <v>28175892.650000002</v>
      </c>
      <c r="AX323" s="312">
        <f t="shared" si="43"/>
        <v>108920424</v>
      </c>
      <c r="AY323" s="312">
        <f>+AX323-L323</f>
        <v>-107434576</v>
      </c>
    </row>
    <row r="324" spans="1:51">
      <c r="A324" s="291" t="s">
        <v>494</v>
      </c>
      <c r="B324" s="291"/>
      <c r="C324" s="291"/>
      <c r="D324" s="291">
        <v>1160405004</v>
      </c>
      <c r="E324" s="291">
        <v>0</v>
      </c>
      <c r="F324" s="291">
        <v>43269</v>
      </c>
      <c r="G324" s="306">
        <v>43555</v>
      </c>
      <c r="H324" s="306">
        <v>44651</v>
      </c>
      <c r="I324" s="291">
        <v>632</v>
      </c>
      <c r="J324" s="307">
        <v>0</v>
      </c>
      <c r="K324" s="307">
        <v>18595423</v>
      </c>
      <c r="L324" s="307">
        <v>0</v>
      </c>
      <c r="M324" s="291" t="s">
        <v>495</v>
      </c>
      <c r="N324" s="307">
        <v>0</v>
      </c>
      <c r="O324" s="307">
        <v>18595423</v>
      </c>
      <c r="P324" s="307">
        <v>0</v>
      </c>
      <c r="Q324" s="291">
        <v>2</v>
      </c>
      <c r="R324" s="291" t="s">
        <v>496</v>
      </c>
      <c r="S324" s="291">
        <v>100</v>
      </c>
      <c r="T324" s="307">
        <v>0</v>
      </c>
      <c r="U324" s="307">
        <v>18595423</v>
      </c>
      <c r="V324" s="291">
        <v>100</v>
      </c>
      <c r="W324" s="307">
        <v>15052598</v>
      </c>
      <c r="X324" s="291">
        <v>5</v>
      </c>
      <c r="Y324" s="291">
        <v>1160902009</v>
      </c>
      <c r="Z324" s="291">
        <v>2023</v>
      </c>
      <c r="AA324" s="291">
        <v>12</v>
      </c>
      <c r="AB324" s="291">
        <v>5026003002</v>
      </c>
      <c r="AC324" s="291">
        <v>1160903005</v>
      </c>
      <c r="AD324" s="291">
        <v>0</v>
      </c>
      <c r="AE324" s="291">
        <v>0</v>
      </c>
      <c r="AF324" s="291">
        <v>1</v>
      </c>
      <c r="AG324" s="291">
        <v>1160605001</v>
      </c>
      <c r="AH324" s="291">
        <v>632</v>
      </c>
      <c r="AI324" s="291" t="s">
        <v>498</v>
      </c>
      <c r="AJ324" s="308">
        <v>0.1</v>
      </c>
      <c r="AK324" s="309">
        <f t="shared" si="44"/>
        <v>0</v>
      </c>
      <c r="AL324" s="309">
        <f t="shared" si="45"/>
        <v>0</v>
      </c>
      <c r="AM324" s="309">
        <f t="shared" si="45"/>
        <v>0</v>
      </c>
      <c r="AN324" s="309"/>
      <c r="AO324" s="309"/>
      <c r="AP324" s="309">
        <f t="shared" si="40"/>
        <v>929771.15</v>
      </c>
      <c r="AQ324" s="309">
        <f t="shared" si="50"/>
        <v>929771.15</v>
      </c>
      <c r="AR324" s="309">
        <f t="shared" si="50"/>
        <v>929771.15</v>
      </c>
      <c r="AS324" s="309"/>
      <c r="AT324" s="309"/>
      <c r="AV324" s="311">
        <f t="shared" si="41"/>
        <v>0</v>
      </c>
      <c r="AW324" s="311">
        <f t="shared" si="42"/>
        <v>15806109.550000001</v>
      </c>
      <c r="AX324" s="312">
        <f t="shared" si="43"/>
        <v>0</v>
      </c>
    </row>
    <row r="325" spans="1:51">
      <c r="A325" s="291" t="s">
        <v>494</v>
      </c>
      <c r="B325" s="291"/>
      <c r="C325" s="291"/>
      <c r="D325" s="291">
        <v>1160505001</v>
      </c>
      <c r="E325" s="291">
        <v>0</v>
      </c>
      <c r="F325" s="291">
        <v>45566</v>
      </c>
      <c r="G325" s="306">
        <v>43451</v>
      </c>
      <c r="H325" s="306">
        <v>43816</v>
      </c>
      <c r="I325" s="291">
        <v>1455</v>
      </c>
      <c r="J325" s="307">
        <v>20000000</v>
      </c>
      <c r="K325" s="307">
        <v>2400000</v>
      </c>
      <c r="L325" s="307">
        <v>0</v>
      </c>
      <c r="M325" s="291" t="s">
        <v>495</v>
      </c>
      <c r="N325" s="307">
        <v>20000000</v>
      </c>
      <c r="O325" s="307">
        <v>2400000</v>
      </c>
      <c r="P325" s="307">
        <v>14550000</v>
      </c>
      <c r="Q325" s="291">
        <v>1</v>
      </c>
      <c r="R325" s="291" t="s">
        <v>496</v>
      </c>
      <c r="S325" s="291">
        <v>100</v>
      </c>
      <c r="T325" s="307">
        <v>20000000</v>
      </c>
      <c r="U325" s="307">
        <v>2400000</v>
      </c>
      <c r="V325" s="291">
        <v>100</v>
      </c>
      <c r="W325" s="307">
        <v>5072636</v>
      </c>
      <c r="X325" s="291">
        <v>15</v>
      </c>
      <c r="Y325" s="291">
        <v>1160902010</v>
      </c>
      <c r="Z325" s="291">
        <v>2023</v>
      </c>
      <c r="AA325" s="291">
        <v>12</v>
      </c>
      <c r="AB325" s="291">
        <v>5026003002</v>
      </c>
      <c r="AC325" s="291">
        <v>1160903005</v>
      </c>
      <c r="AD325" s="291">
        <v>0</v>
      </c>
      <c r="AE325" s="291">
        <v>0</v>
      </c>
      <c r="AF325" s="291">
        <v>0</v>
      </c>
      <c r="AG325" s="291">
        <v>1160605001</v>
      </c>
      <c r="AH325" s="291">
        <v>1455</v>
      </c>
      <c r="AI325" s="291" t="s">
        <v>497</v>
      </c>
      <c r="AJ325" s="308">
        <v>0.01</v>
      </c>
      <c r="AK325" s="309">
        <f t="shared" si="44"/>
        <v>200000</v>
      </c>
      <c r="AL325" s="309">
        <f t="shared" si="45"/>
        <v>200000</v>
      </c>
      <c r="AM325" s="309">
        <f t="shared" si="45"/>
        <v>200000</v>
      </c>
      <c r="AN325" s="309"/>
      <c r="AO325" s="309"/>
      <c r="AP325" s="309">
        <f t="shared" si="40"/>
        <v>12000</v>
      </c>
      <c r="AQ325" s="309">
        <f t="shared" si="50"/>
        <v>12000</v>
      </c>
      <c r="AR325" s="309">
        <f t="shared" si="50"/>
        <v>12000</v>
      </c>
      <c r="AS325" s="309"/>
      <c r="AT325" s="309"/>
      <c r="AV325" s="311">
        <f t="shared" si="41"/>
        <v>19400000</v>
      </c>
      <c r="AW325" s="311">
        <f t="shared" si="42"/>
        <v>2364000</v>
      </c>
      <c r="AX325" s="312">
        <f t="shared" si="43"/>
        <v>0</v>
      </c>
    </row>
    <row r="326" spans="1:51">
      <c r="A326" s="291" t="s">
        <v>494</v>
      </c>
      <c r="B326" s="291"/>
      <c r="C326" s="291"/>
      <c r="D326" s="291">
        <v>1160505001</v>
      </c>
      <c r="E326" s="291">
        <v>0</v>
      </c>
      <c r="F326" s="291">
        <v>45970</v>
      </c>
      <c r="G326" s="306">
        <v>43503</v>
      </c>
      <c r="H326" s="306">
        <v>43868</v>
      </c>
      <c r="I326" s="291">
        <v>1405</v>
      </c>
      <c r="J326" s="307">
        <v>3000000</v>
      </c>
      <c r="K326" s="307">
        <v>270000</v>
      </c>
      <c r="L326" s="307">
        <v>0</v>
      </c>
      <c r="M326" s="291" t="s">
        <v>495</v>
      </c>
      <c r="N326" s="307">
        <v>3000000</v>
      </c>
      <c r="O326" s="307">
        <v>270000</v>
      </c>
      <c r="P326" s="307">
        <v>2107500</v>
      </c>
      <c r="Q326" s="291">
        <v>1</v>
      </c>
      <c r="R326" s="291" t="s">
        <v>496</v>
      </c>
      <c r="S326" s="291">
        <v>100</v>
      </c>
      <c r="T326" s="307">
        <v>3000000</v>
      </c>
      <c r="U326" s="307">
        <v>270000</v>
      </c>
      <c r="V326" s="291">
        <v>100</v>
      </c>
      <c r="W326" s="307">
        <v>1222492</v>
      </c>
      <c r="X326" s="291">
        <v>2</v>
      </c>
      <c r="Y326" s="291">
        <v>1160902010</v>
      </c>
      <c r="Z326" s="291">
        <v>2023</v>
      </c>
      <c r="AA326" s="291">
        <v>12</v>
      </c>
      <c r="AB326" s="291">
        <v>5026003002</v>
      </c>
      <c r="AC326" s="291">
        <v>1160903005</v>
      </c>
      <c r="AD326" s="291">
        <v>0</v>
      </c>
      <c r="AE326" s="291">
        <v>0</v>
      </c>
      <c r="AF326" s="291">
        <v>0</v>
      </c>
      <c r="AG326" s="291">
        <v>1160605001</v>
      </c>
      <c r="AH326" s="291">
        <v>1405</v>
      </c>
      <c r="AI326" s="291" t="s">
        <v>497</v>
      </c>
      <c r="AJ326" s="308">
        <v>0.01</v>
      </c>
      <c r="AK326" s="309">
        <f t="shared" si="44"/>
        <v>30000</v>
      </c>
      <c r="AL326" s="309">
        <f t="shared" si="45"/>
        <v>30000</v>
      </c>
      <c r="AM326" s="309">
        <f t="shared" si="45"/>
        <v>30000</v>
      </c>
      <c r="AN326" s="309"/>
      <c r="AO326" s="309"/>
      <c r="AP326" s="309">
        <f t="shared" ref="AP326:AP389" si="51">+K326*(AJ326/2)</f>
        <v>1350</v>
      </c>
      <c r="AQ326" s="309">
        <f t="shared" si="50"/>
        <v>1350</v>
      </c>
      <c r="AR326" s="309">
        <f t="shared" si="50"/>
        <v>1350</v>
      </c>
      <c r="AS326" s="309"/>
      <c r="AT326" s="309"/>
      <c r="AV326" s="311">
        <f t="shared" ref="AV326:AV389" si="52">J326-AK326-AL326-AM326</f>
        <v>2910000</v>
      </c>
      <c r="AW326" s="311">
        <f t="shared" ref="AW326:AW389" si="53">+K326-AP326-AQ326-AR326</f>
        <v>265950</v>
      </c>
      <c r="AX326" s="312">
        <f t="shared" ref="AX326:AX389" si="54">+J326-N326</f>
        <v>0</v>
      </c>
    </row>
    <row r="327" spans="1:51">
      <c r="A327" s="291" t="s">
        <v>494</v>
      </c>
      <c r="B327" s="291"/>
      <c r="C327" s="291"/>
      <c r="D327" s="291">
        <v>1160505002</v>
      </c>
      <c r="E327" s="291">
        <v>0</v>
      </c>
      <c r="F327" s="291">
        <v>46220</v>
      </c>
      <c r="G327" s="306">
        <v>43521</v>
      </c>
      <c r="H327" s="306">
        <v>43886</v>
      </c>
      <c r="I327" s="291">
        <v>1387</v>
      </c>
      <c r="J327" s="307">
        <v>989400</v>
      </c>
      <c r="K327" s="307">
        <v>89052</v>
      </c>
      <c r="L327" s="307">
        <v>0</v>
      </c>
      <c r="M327" s="291" t="s">
        <v>495</v>
      </c>
      <c r="N327" s="307">
        <v>989400</v>
      </c>
      <c r="O327" s="307">
        <v>89052</v>
      </c>
      <c r="P327" s="307">
        <v>686149</v>
      </c>
      <c r="Q327" s="291">
        <v>1</v>
      </c>
      <c r="R327" s="291" t="s">
        <v>496</v>
      </c>
      <c r="S327" s="291">
        <v>100</v>
      </c>
      <c r="T327" s="307">
        <v>989400</v>
      </c>
      <c r="U327" s="307">
        <v>89052</v>
      </c>
      <c r="V327" s="291">
        <v>100</v>
      </c>
      <c r="W327" s="307">
        <v>1222492</v>
      </c>
      <c r="X327" s="291">
        <v>6</v>
      </c>
      <c r="Y327" s="291">
        <v>1160902010</v>
      </c>
      <c r="Z327" s="291">
        <v>2023</v>
      </c>
      <c r="AA327" s="291">
        <v>12</v>
      </c>
      <c r="AB327" s="291">
        <v>5026003002</v>
      </c>
      <c r="AC327" s="291">
        <v>1160903005</v>
      </c>
      <c r="AD327" s="291">
        <v>0</v>
      </c>
      <c r="AE327" s="291">
        <v>0</v>
      </c>
      <c r="AF327" s="291">
        <v>0</v>
      </c>
      <c r="AG327" s="291">
        <v>1160605001</v>
      </c>
      <c r="AH327" s="291">
        <v>1405</v>
      </c>
      <c r="AI327" s="291" t="s">
        <v>497</v>
      </c>
      <c r="AJ327" s="308">
        <v>0.01</v>
      </c>
      <c r="AK327" s="309">
        <f t="shared" ref="AK327:AK390" si="55">+$J327*$AJ327</f>
        <v>9894</v>
      </c>
      <c r="AL327" s="309">
        <f t="shared" ref="AL327:AM390" si="56">IF(($J327-$AK327)&gt;0,$J327*$AJ327,0)</f>
        <v>9894</v>
      </c>
      <c r="AM327" s="309">
        <f t="shared" si="56"/>
        <v>9894</v>
      </c>
      <c r="AN327" s="309"/>
      <c r="AO327" s="309"/>
      <c r="AP327" s="309">
        <f t="shared" si="51"/>
        <v>445.26</v>
      </c>
      <c r="AQ327" s="309">
        <f t="shared" ref="AQ327:AR342" si="57">AP327</f>
        <v>445.26</v>
      </c>
      <c r="AR327" s="309">
        <f t="shared" si="57"/>
        <v>445.26</v>
      </c>
      <c r="AS327" s="309"/>
      <c r="AT327" s="309"/>
      <c r="AV327" s="311">
        <f t="shared" si="52"/>
        <v>959718</v>
      </c>
      <c r="AW327" s="311">
        <f t="shared" si="53"/>
        <v>87716.220000000016</v>
      </c>
      <c r="AX327" s="312">
        <f t="shared" si="54"/>
        <v>0</v>
      </c>
    </row>
    <row r="328" spans="1:51">
      <c r="A328" s="291" t="s">
        <v>494</v>
      </c>
      <c r="B328" s="291"/>
      <c r="C328" s="291"/>
      <c r="D328" s="291">
        <v>1160505001</v>
      </c>
      <c r="E328" s="291">
        <v>0</v>
      </c>
      <c r="F328" s="291">
        <v>47085</v>
      </c>
      <c r="G328" s="306">
        <v>43658</v>
      </c>
      <c r="H328" s="306">
        <v>44573</v>
      </c>
      <c r="I328" s="291">
        <v>710</v>
      </c>
      <c r="J328" s="307">
        <v>1179610</v>
      </c>
      <c r="K328" s="307">
        <v>98792</v>
      </c>
      <c r="L328" s="307">
        <v>0</v>
      </c>
      <c r="M328" s="291" t="s">
        <v>495</v>
      </c>
      <c r="N328" s="307">
        <v>1179610</v>
      </c>
      <c r="O328" s="307">
        <v>98792</v>
      </c>
      <c r="P328" s="307">
        <v>418762</v>
      </c>
      <c r="Q328" s="291">
        <v>1</v>
      </c>
      <c r="R328" s="291" t="s">
        <v>496</v>
      </c>
      <c r="S328" s="291">
        <v>100</v>
      </c>
      <c r="T328" s="307">
        <v>1179610</v>
      </c>
      <c r="U328" s="307">
        <v>98792</v>
      </c>
      <c r="V328" s="291">
        <v>100</v>
      </c>
      <c r="W328" s="307">
        <v>5887706</v>
      </c>
      <c r="X328" s="291">
        <v>14</v>
      </c>
      <c r="Y328" s="291">
        <v>1160902010</v>
      </c>
      <c r="Z328" s="291">
        <v>2023</v>
      </c>
      <c r="AA328" s="291">
        <v>12</v>
      </c>
      <c r="AB328" s="291">
        <v>5026003002</v>
      </c>
      <c r="AC328" s="291">
        <v>1160903005</v>
      </c>
      <c r="AD328" s="291">
        <v>0</v>
      </c>
      <c r="AE328" s="291">
        <v>0</v>
      </c>
      <c r="AF328" s="291">
        <v>0</v>
      </c>
      <c r="AG328" s="291">
        <v>1160605001</v>
      </c>
      <c r="AH328" s="291">
        <v>710</v>
      </c>
      <c r="AI328" s="291" t="s">
        <v>498</v>
      </c>
      <c r="AJ328" s="308">
        <v>0.1</v>
      </c>
      <c r="AK328" s="309">
        <f t="shared" si="55"/>
        <v>117961</v>
      </c>
      <c r="AL328" s="309">
        <f t="shared" si="56"/>
        <v>117961</v>
      </c>
      <c r="AM328" s="309">
        <f t="shared" si="56"/>
        <v>117961</v>
      </c>
      <c r="AN328" s="309"/>
      <c r="AO328" s="309"/>
      <c r="AP328" s="309">
        <f t="shared" si="51"/>
        <v>4939.6000000000004</v>
      </c>
      <c r="AQ328" s="309">
        <f t="shared" si="57"/>
        <v>4939.6000000000004</v>
      </c>
      <c r="AR328" s="309">
        <f t="shared" si="57"/>
        <v>4939.6000000000004</v>
      </c>
      <c r="AS328" s="309"/>
      <c r="AT328" s="309"/>
      <c r="AV328" s="311">
        <f t="shared" si="52"/>
        <v>825727</v>
      </c>
      <c r="AW328" s="311">
        <f t="shared" si="53"/>
        <v>83973.199999999983</v>
      </c>
      <c r="AX328" s="312">
        <f t="shared" si="54"/>
        <v>0</v>
      </c>
    </row>
    <row r="329" spans="1:51">
      <c r="A329" s="291" t="s">
        <v>494</v>
      </c>
      <c r="B329" s="291"/>
      <c r="C329" s="291"/>
      <c r="D329" s="291">
        <v>1160505001</v>
      </c>
      <c r="E329" s="291">
        <v>0</v>
      </c>
      <c r="F329" s="291">
        <v>44922</v>
      </c>
      <c r="G329" s="306">
        <v>43289</v>
      </c>
      <c r="H329" s="306">
        <v>44750</v>
      </c>
      <c r="I329" s="291">
        <v>534</v>
      </c>
      <c r="J329" s="307">
        <v>250000</v>
      </c>
      <c r="K329" s="307">
        <v>0</v>
      </c>
      <c r="L329" s="307">
        <v>0</v>
      </c>
      <c r="M329" s="291" t="s">
        <v>495</v>
      </c>
      <c r="N329" s="307">
        <v>250000</v>
      </c>
      <c r="O329" s="307">
        <v>0</v>
      </c>
      <c r="P329" s="307">
        <v>66750</v>
      </c>
      <c r="Q329" s="291">
        <v>1</v>
      </c>
      <c r="R329" s="291" t="s">
        <v>496</v>
      </c>
      <c r="S329" s="291">
        <v>100</v>
      </c>
      <c r="T329" s="307">
        <v>250000</v>
      </c>
      <c r="U329" s="307">
        <v>0</v>
      </c>
      <c r="V329" s="291">
        <v>100</v>
      </c>
      <c r="W329" s="307">
        <v>5408757</v>
      </c>
      <c r="X329" s="291">
        <v>14</v>
      </c>
      <c r="Y329" s="291">
        <v>1160902010</v>
      </c>
      <c r="Z329" s="291">
        <v>2023</v>
      </c>
      <c r="AA329" s="291">
        <v>12</v>
      </c>
      <c r="AB329" s="291">
        <v>5026003002</v>
      </c>
      <c r="AC329" s="291">
        <v>1160903005</v>
      </c>
      <c r="AD329" s="291">
        <v>0</v>
      </c>
      <c r="AE329" s="291">
        <v>0</v>
      </c>
      <c r="AF329" s="291">
        <v>0</v>
      </c>
      <c r="AG329" s="291">
        <v>1160605001</v>
      </c>
      <c r="AH329" s="291">
        <v>534</v>
      </c>
      <c r="AI329" s="291" t="s">
        <v>498</v>
      </c>
      <c r="AJ329" s="308">
        <v>0.1</v>
      </c>
      <c r="AK329" s="309">
        <f t="shared" si="55"/>
        <v>25000</v>
      </c>
      <c r="AL329" s="309">
        <f t="shared" si="56"/>
        <v>25000</v>
      </c>
      <c r="AM329" s="309">
        <f t="shared" si="56"/>
        <v>25000</v>
      </c>
      <c r="AN329" s="309"/>
      <c r="AO329" s="309"/>
      <c r="AP329" s="309">
        <f t="shared" si="51"/>
        <v>0</v>
      </c>
      <c r="AQ329" s="309">
        <f t="shared" si="57"/>
        <v>0</v>
      </c>
      <c r="AR329" s="309">
        <f t="shared" si="57"/>
        <v>0</v>
      </c>
      <c r="AS329" s="309"/>
      <c r="AT329" s="309"/>
      <c r="AV329" s="311">
        <f t="shared" si="52"/>
        <v>175000</v>
      </c>
      <c r="AW329" s="311">
        <f t="shared" si="53"/>
        <v>0</v>
      </c>
      <c r="AX329" s="312">
        <f t="shared" si="54"/>
        <v>0</v>
      </c>
    </row>
    <row r="330" spans="1:51">
      <c r="A330" s="291" t="s">
        <v>494</v>
      </c>
      <c r="B330" s="291"/>
      <c r="C330" s="291"/>
      <c r="D330" s="291">
        <v>1160505001</v>
      </c>
      <c r="E330" s="291">
        <v>0</v>
      </c>
      <c r="F330" s="291">
        <v>42214</v>
      </c>
      <c r="G330" s="306">
        <v>42875</v>
      </c>
      <c r="H330" s="306">
        <v>44701</v>
      </c>
      <c r="I330" s="291">
        <v>582</v>
      </c>
      <c r="J330" s="307">
        <v>1194052</v>
      </c>
      <c r="K330" s="307">
        <v>73304</v>
      </c>
      <c r="L330" s="307">
        <v>0</v>
      </c>
      <c r="M330" s="291" t="s">
        <v>495</v>
      </c>
      <c r="N330" s="307">
        <v>1194052</v>
      </c>
      <c r="O330" s="307">
        <v>73304</v>
      </c>
      <c r="P330" s="307">
        <v>347469</v>
      </c>
      <c r="Q330" s="291">
        <v>1</v>
      </c>
      <c r="R330" s="291" t="s">
        <v>496</v>
      </c>
      <c r="S330" s="291">
        <v>100</v>
      </c>
      <c r="T330" s="307">
        <v>1194052</v>
      </c>
      <c r="U330" s="307">
        <v>73304</v>
      </c>
      <c r="V330" s="291">
        <v>100</v>
      </c>
      <c r="W330" s="307">
        <v>5962521</v>
      </c>
      <c r="X330" s="291">
        <v>14</v>
      </c>
      <c r="Y330" s="291">
        <v>1160902010</v>
      </c>
      <c r="Z330" s="291">
        <v>2023</v>
      </c>
      <c r="AA330" s="291">
        <v>12</v>
      </c>
      <c r="AB330" s="291">
        <v>5026003002</v>
      </c>
      <c r="AC330" s="291">
        <v>1160903005</v>
      </c>
      <c r="AD330" s="291">
        <v>0</v>
      </c>
      <c r="AE330" s="291">
        <v>0</v>
      </c>
      <c r="AF330" s="291">
        <v>0</v>
      </c>
      <c r="AG330" s="291">
        <v>1160605001</v>
      </c>
      <c r="AH330" s="291">
        <v>582</v>
      </c>
      <c r="AI330" s="291" t="s">
        <v>498</v>
      </c>
      <c r="AJ330" s="308">
        <v>0.1</v>
      </c>
      <c r="AK330" s="309">
        <f t="shared" si="55"/>
        <v>119405.20000000001</v>
      </c>
      <c r="AL330" s="309">
        <f t="shared" si="56"/>
        <v>119405.20000000001</v>
      </c>
      <c r="AM330" s="309">
        <f t="shared" si="56"/>
        <v>119405.20000000001</v>
      </c>
      <c r="AN330" s="309"/>
      <c r="AO330" s="309"/>
      <c r="AP330" s="309">
        <f t="shared" si="51"/>
        <v>3665.2000000000003</v>
      </c>
      <c r="AQ330" s="309">
        <f t="shared" si="57"/>
        <v>3665.2000000000003</v>
      </c>
      <c r="AR330" s="309">
        <f t="shared" si="57"/>
        <v>3665.2000000000003</v>
      </c>
      <c r="AS330" s="309"/>
      <c r="AT330" s="309"/>
      <c r="AV330" s="311">
        <f t="shared" si="52"/>
        <v>835836.40000000014</v>
      </c>
      <c r="AW330" s="311">
        <f t="shared" si="53"/>
        <v>62308.400000000009</v>
      </c>
      <c r="AX330" s="312">
        <f t="shared" si="54"/>
        <v>0</v>
      </c>
    </row>
    <row r="331" spans="1:51">
      <c r="A331" s="291" t="s">
        <v>494</v>
      </c>
      <c r="B331" s="291"/>
      <c r="C331" s="291"/>
      <c r="D331" s="291">
        <v>1160505004</v>
      </c>
      <c r="E331" s="291">
        <v>46671</v>
      </c>
      <c r="F331" s="291">
        <v>46672</v>
      </c>
      <c r="G331" s="306">
        <v>43589</v>
      </c>
      <c r="H331" s="306">
        <v>44685</v>
      </c>
      <c r="I331" s="291">
        <v>598</v>
      </c>
      <c r="J331" s="307">
        <v>2158450</v>
      </c>
      <c r="K331" s="307">
        <v>0</v>
      </c>
      <c r="L331" s="307">
        <v>0</v>
      </c>
      <c r="M331" s="291" t="s">
        <v>495</v>
      </c>
      <c r="N331" s="307">
        <v>2158450</v>
      </c>
      <c r="O331" s="307">
        <v>0</v>
      </c>
      <c r="P331" s="307">
        <v>645377</v>
      </c>
      <c r="Q331" s="291">
        <v>1</v>
      </c>
      <c r="R331" s="291" t="s">
        <v>496</v>
      </c>
      <c r="S331" s="291">
        <v>100</v>
      </c>
      <c r="T331" s="307">
        <v>2158450</v>
      </c>
      <c r="U331" s="307">
        <v>0</v>
      </c>
      <c r="V331" s="291">
        <v>100</v>
      </c>
      <c r="W331" s="307">
        <v>5495165</v>
      </c>
      <c r="X331" s="291">
        <v>5</v>
      </c>
      <c r="Y331" s="291">
        <v>1160902010</v>
      </c>
      <c r="Z331" s="291">
        <v>2023</v>
      </c>
      <c r="AA331" s="291">
        <v>12</v>
      </c>
      <c r="AB331" s="291">
        <v>5026003002</v>
      </c>
      <c r="AC331" s="291">
        <v>1160903005</v>
      </c>
      <c r="AD331" s="291">
        <v>0</v>
      </c>
      <c r="AE331" s="291">
        <v>0</v>
      </c>
      <c r="AF331" s="291">
        <v>0</v>
      </c>
      <c r="AG331" s="291">
        <v>1160605001</v>
      </c>
      <c r="AH331" s="291">
        <v>598</v>
      </c>
      <c r="AI331" s="291" t="s">
        <v>498</v>
      </c>
      <c r="AJ331" s="308">
        <v>0.1</v>
      </c>
      <c r="AK331" s="309">
        <f t="shared" si="55"/>
        <v>215845</v>
      </c>
      <c r="AL331" s="309">
        <f t="shared" si="56"/>
        <v>215845</v>
      </c>
      <c r="AM331" s="309">
        <f t="shared" si="56"/>
        <v>215845</v>
      </c>
      <c r="AN331" s="309"/>
      <c r="AO331" s="309"/>
      <c r="AP331" s="309">
        <f t="shared" si="51"/>
        <v>0</v>
      </c>
      <c r="AQ331" s="309">
        <f t="shared" si="57"/>
        <v>0</v>
      </c>
      <c r="AR331" s="309">
        <f t="shared" si="57"/>
        <v>0</v>
      </c>
      <c r="AS331" s="309"/>
      <c r="AT331" s="309"/>
      <c r="AV331" s="311">
        <f t="shared" si="52"/>
        <v>1510915</v>
      </c>
      <c r="AW331" s="311">
        <f t="shared" si="53"/>
        <v>0</v>
      </c>
      <c r="AX331" s="312">
        <f t="shared" si="54"/>
        <v>0</v>
      </c>
    </row>
    <row r="332" spans="1:51">
      <c r="A332" s="291" t="s">
        <v>494</v>
      </c>
      <c r="B332" s="291"/>
      <c r="C332" s="291"/>
      <c r="D332" s="291">
        <v>1160505004</v>
      </c>
      <c r="E332" s="291">
        <v>0</v>
      </c>
      <c r="F332" s="291">
        <v>42611</v>
      </c>
      <c r="G332" s="306">
        <v>43589</v>
      </c>
      <c r="H332" s="306">
        <v>44685</v>
      </c>
      <c r="I332" s="291">
        <v>598</v>
      </c>
      <c r="J332" s="307">
        <v>0</v>
      </c>
      <c r="K332" s="307">
        <v>1059453</v>
      </c>
      <c r="L332" s="307">
        <v>0</v>
      </c>
      <c r="M332" s="291" t="s">
        <v>495</v>
      </c>
      <c r="N332" s="307">
        <v>0</v>
      </c>
      <c r="O332" s="307">
        <v>1059453</v>
      </c>
      <c r="P332" s="307">
        <v>0</v>
      </c>
      <c r="Q332" s="291">
        <v>1</v>
      </c>
      <c r="R332" s="291" t="s">
        <v>496</v>
      </c>
      <c r="S332" s="291">
        <v>100</v>
      </c>
      <c r="T332" s="307">
        <v>0</v>
      </c>
      <c r="U332" s="307">
        <v>1059453</v>
      </c>
      <c r="V332" s="291">
        <v>100</v>
      </c>
      <c r="W332" s="307">
        <v>5495165</v>
      </c>
      <c r="X332" s="291">
        <v>5</v>
      </c>
      <c r="Y332" s="291">
        <v>1160902010</v>
      </c>
      <c r="Z332" s="291">
        <v>2023</v>
      </c>
      <c r="AA332" s="291">
        <v>12</v>
      </c>
      <c r="AB332" s="291">
        <v>5026003002</v>
      </c>
      <c r="AC332" s="291">
        <v>1160903005</v>
      </c>
      <c r="AD332" s="291">
        <v>0</v>
      </c>
      <c r="AE332" s="291">
        <v>0</v>
      </c>
      <c r="AF332" s="291">
        <v>0</v>
      </c>
      <c r="AG332" s="291">
        <v>1160605001</v>
      </c>
      <c r="AH332" s="291">
        <v>598</v>
      </c>
      <c r="AI332" s="291" t="s">
        <v>498</v>
      </c>
      <c r="AJ332" s="308">
        <v>0.1</v>
      </c>
      <c r="AK332" s="309">
        <f t="shared" si="55"/>
        <v>0</v>
      </c>
      <c r="AL332" s="309">
        <f t="shared" si="56"/>
        <v>0</v>
      </c>
      <c r="AM332" s="309">
        <f t="shared" si="56"/>
        <v>0</v>
      </c>
      <c r="AN332" s="309"/>
      <c r="AO332" s="309"/>
      <c r="AP332" s="309">
        <f t="shared" si="51"/>
        <v>52972.65</v>
      </c>
      <c r="AQ332" s="309">
        <f t="shared" si="57"/>
        <v>52972.65</v>
      </c>
      <c r="AR332" s="309">
        <f t="shared" si="57"/>
        <v>52972.65</v>
      </c>
      <c r="AS332" s="309"/>
      <c r="AT332" s="309"/>
      <c r="AV332" s="311">
        <f t="shared" si="52"/>
        <v>0</v>
      </c>
      <c r="AW332" s="311">
        <f t="shared" si="53"/>
        <v>900535.04999999993</v>
      </c>
      <c r="AX332" s="312">
        <f t="shared" si="54"/>
        <v>0</v>
      </c>
    </row>
    <row r="333" spans="1:51">
      <c r="A333" s="291" t="s">
        <v>494</v>
      </c>
      <c r="B333" s="291"/>
      <c r="C333" s="291"/>
      <c r="D333" s="291">
        <v>1160505001</v>
      </c>
      <c r="E333" s="291">
        <v>0</v>
      </c>
      <c r="F333" s="291">
        <v>46044</v>
      </c>
      <c r="G333" s="306">
        <v>43507</v>
      </c>
      <c r="H333" s="306">
        <v>44603</v>
      </c>
      <c r="I333" s="291">
        <v>681</v>
      </c>
      <c r="J333" s="307">
        <v>7024999</v>
      </c>
      <c r="K333" s="307">
        <v>28100</v>
      </c>
      <c r="L333" s="307">
        <v>0</v>
      </c>
      <c r="M333" s="291" t="s">
        <v>495</v>
      </c>
      <c r="N333" s="307">
        <v>7024999</v>
      </c>
      <c r="O333" s="307">
        <v>28100</v>
      </c>
      <c r="P333" s="307">
        <v>2392012</v>
      </c>
      <c r="Q333" s="291">
        <v>1</v>
      </c>
      <c r="R333" s="291" t="s">
        <v>496</v>
      </c>
      <c r="S333" s="291">
        <v>100</v>
      </c>
      <c r="T333" s="307">
        <v>7024999</v>
      </c>
      <c r="U333" s="307">
        <v>28100</v>
      </c>
      <c r="V333" s="291">
        <v>100</v>
      </c>
      <c r="W333" s="307">
        <v>7720777</v>
      </c>
      <c r="X333" s="291">
        <v>14</v>
      </c>
      <c r="Y333" s="291">
        <v>1160902010</v>
      </c>
      <c r="Z333" s="291">
        <v>2023</v>
      </c>
      <c r="AA333" s="291">
        <v>12</v>
      </c>
      <c r="AB333" s="291">
        <v>5026003002</v>
      </c>
      <c r="AC333" s="291">
        <v>1160903005</v>
      </c>
      <c r="AD333" s="291">
        <v>0</v>
      </c>
      <c r="AE333" s="291">
        <v>0</v>
      </c>
      <c r="AF333" s="291">
        <v>0</v>
      </c>
      <c r="AG333" s="291">
        <v>1160605001</v>
      </c>
      <c r="AH333" s="291">
        <v>681</v>
      </c>
      <c r="AI333" s="291" t="s">
        <v>498</v>
      </c>
      <c r="AJ333" s="308">
        <v>0.1</v>
      </c>
      <c r="AK333" s="309">
        <f t="shared" si="55"/>
        <v>702499.9</v>
      </c>
      <c r="AL333" s="309">
        <f t="shared" si="56"/>
        <v>702499.9</v>
      </c>
      <c r="AM333" s="309">
        <f t="shared" si="56"/>
        <v>702499.9</v>
      </c>
      <c r="AN333" s="309"/>
      <c r="AO333" s="309"/>
      <c r="AP333" s="309">
        <f t="shared" si="51"/>
        <v>1405</v>
      </c>
      <c r="AQ333" s="309">
        <f t="shared" si="57"/>
        <v>1405</v>
      </c>
      <c r="AR333" s="309">
        <f t="shared" si="57"/>
        <v>1405</v>
      </c>
      <c r="AS333" s="309"/>
      <c r="AT333" s="309"/>
      <c r="AV333" s="311">
        <f t="shared" si="52"/>
        <v>4917499.2999999989</v>
      </c>
      <c r="AW333" s="311">
        <f t="shared" si="53"/>
        <v>23885</v>
      </c>
      <c r="AX333" s="312">
        <f t="shared" si="54"/>
        <v>0</v>
      </c>
    </row>
    <row r="334" spans="1:51">
      <c r="A334" s="291" t="s">
        <v>494</v>
      </c>
      <c r="B334" s="291"/>
      <c r="C334" s="291"/>
      <c r="D334" s="291">
        <v>1160505001</v>
      </c>
      <c r="E334" s="291">
        <v>0</v>
      </c>
      <c r="F334" s="291">
        <v>46045</v>
      </c>
      <c r="G334" s="306">
        <v>43507</v>
      </c>
      <c r="H334" s="306">
        <v>44603</v>
      </c>
      <c r="I334" s="291">
        <v>681</v>
      </c>
      <c r="J334" s="307">
        <v>5000000</v>
      </c>
      <c r="K334" s="307">
        <v>292500</v>
      </c>
      <c r="L334" s="307">
        <v>0</v>
      </c>
      <c r="M334" s="291" t="s">
        <v>495</v>
      </c>
      <c r="N334" s="307">
        <v>5000000</v>
      </c>
      <c r="O334" s="307">
        <v>292500</v>
      </c>
      <c r="P334" s="307">
        <v>1702500</v>
      </c>
      <c r="Q334" s="291">
        <v>1</v>
      </c>
      <c r="R334" s="291" t="s">
        <v>496</v>
      </c>
      <c r="S334" s="291">
        <v>100</v>
      </c>
      <c r="T334" s="307">
        <v>5000000</v>
      </c>
      <c r="U334" s="307">
        <v>292500</v>
      </c>
      <c r="V334" s="291">
        <v>100</v>
      </c>
      <c r="W334" s="307">
        <v>7720777</v>
      </c>
      <c r="X334" s="291">
        <v>15</v>
      </c>
      <c r="Y334" s="291">
        <v>1160902010</v>
      </c>
      <c r="Z334" s="291">
        <v>2023</v>
      </c>
      <c r="AA334" s="291">
        <v>12</v>
      </c>
      <c r="AB334" s="291">
        <v>5026003002</v>
      </c>
      <c r="AC334" s="291">
        <v>1160903005</v>
      </c>
      <c r="AD334" s="291">
        <v>0</v>
      </c>
      <c r="AE334" s="291">
        <v>0</v>
      </c>
      <c r="AF334" s="291">
        <v>0</v>
      </c>
      <c r="AG334" s="291">
        <v>1160605001</v>
      </c>
      <c r="AH334" s="291">
        <v>681</v>
      </c>
      <c r="AI334" s="291" t="s">
        <v>498</v>
      </c>
      <c r="AJ334" s="308">
        <v>0.1</v>
      </c>
      <c r="AK334" s="309">
        <f t="shared" si="55"/>
        <v>500000</v>
      </c>
      <c r="AL334" s="309">
        <f t="shared" si="56"/>
        <v>500000</v>
      </c>
      <c r="AM334" s="309">
        <f t="shared" si="56"/>
        <v>500000</v>
      </c>
      <c r="AN334" s="309"/>
      <c r="AO334" s="309"/>
      <c r="AP334" s="309">
        <f t="shared" si="51"/>
        <v>14625</v>
      </c>
      <c r="AQ334" s="309">
        <f t="shared" si="57"/>
        <v>14625</v>
      </c>
      <c r="AR334" s="309">
        <f t="shared" si="57"/>
        <v>14625</v>
      </c>
      <c r="AS334" s="309"/>
      <c r="AT334" s="309"/>
      <c r="AV334" s="311">
        <f t="shared" si="52"/>
        <v>3500000</v>
      </c>
      <c r="AW334" s="311">
        <f t="shared" si="53"/>
        <v>248625</v>
      </c>
      <c r="AX334" s="312">
        <f t="shared" si="54"/>
        <v>0</v>
      </c>
    </row>
    <row r="335" spans="1:51">
      <c r="A335" s="291" t="s">
        <v>494</v>
      </c>
      <c r="B335" s="291"/>
      <c r="C335" s="291"/>
      <c r="D335" s="291">
        <v>1160505001</v>
      </c>
      <c r="E335" s="291">
        <v>0</v>
      </c>
      <c r="F335" s="291">
        <v>45010</v>
      </c>
      <c r="G335" s="306">
        <v>43300</v>
      </c>
      <c r="H335" s="306">
        <v>43665</v>
      </c>
      <c r="I335" s="291">
        <v>1603</v>
      </c>
      <c r="J335" s="307">
        <v>8000000</v>
      </c>
      <c r="K335" s="307">
        <v>960000</v>
      </c>
      <c r="L335" s="307">
        <v>0</v>
      </c>
      <c r="M335" s="291" t="s">
        <v>495</v>
      </c>
      <c r="N335" s="307">
        <v>8000000</v>
      </c>
      <c r="O335" s="307">
        <v>960000</v>
      </c>
      <c r="P335" s="307">
        <v>6412000</v>
      </c>
      <c r="Q335" s="291">
        <v>1</v>
      </c>
      <c r="R335" s="291" t="s">
        <v>496</v>
      </c>
      <c r="S335" s="291">
        <v>100</v>
      </c>
      <c r="T335" s="307">
        <v>8000000</v>
      </c>
      <c r="U335" s="307">
        <v>960000</v>
      </c>
      <c r="V335" s="291">
        <v>300</v>
      </c>
      <c r="W335" s="307">
        <v>2657956</v>
      </c>
      <c r="X335" s="291">
        <v>15</v>
      </c>
      <c r="Y335" s="291">
        <v>1160902010</v>
      </c>
      <c r="Z335" s="291">
        <v>2023</v>
      </c>
      <c r="AA335" s="291">
        <v>12</v>
      </c>
      <c r="AB335" s="291">
        <v>5026003002</v>
      </c>
      <c r="AC335" s="291">
        <v>1160903005</v>
      </c>
      <c r="AD335" s="291">
        <v>0</v>
      </c>
      <c r="AE335" s="291">
        <v>0</v>
      </c>
      <c r="AF335" s="291">
        <v>0</v>
      </c>
      <c r="AG335" s="291">
        <v>1160605001</v>
      </c>
      <c r="AH335" s="291">
        <v>1766</v>
      </c>
      <c r="AI335" s="291" t="s">
        <v>497</v>
      </c>
      <c r="AJ335" s="308">
        <v>0.01</v>
      </c>
      <c r="AK335" s="309">
        <f t="shared" si="55"/>
        <v>80000</v>
      </c>
      <c r="AL335" s="309">
        <f t="shared" si="56"/>
        <v>80000</v>
      </c>
      <c r="AM335" s="309">
        <f t="shared" si="56"/>
        <v>80000</v>
      </c>
      <c r="AN335" s="309"/>
      <c r="AO335" s="309"/>
      <c r="AP335" s="309">
        <f t="shared" si="51"/>
        <v>4800</v>
      </c>
      <c r="AQ335" s="309">
        <f t="shared" si="57"/>
        <v>4800</v>
      </c>
      <c r="AR335" s="309">
        <f t="shared" si="57"/>
        <v>4800</v>
      </c>
      <c r="AS335" s="309"/>
      <c r="AT335" s="309"/>
      <c r="AV335" s="311">
        <f t="shared" si="52"/>
        <v>7760000</v>
      </c>
      <c r="AW335" s="311">
        <f t="shared" si="53"/>
        <v>945600</v>
      </c>
      <c r="AX335" s="312">
        <f t="shared" si="54"/>
        <v>0</v>
      </c>
    </row>
    <row r="336" spans="1:51">
      <c r="A336" s="291" t="s">
        <v>494</v>
      </c>
      <c r="B336" s="291"/>
      <c r="C336" s="291"/>
      <c r="D336" s="291">
        <v>1160505002</v>
      </c>
      <c r="E336" s="291">
        <v>0</v>
      </c>
      <c r="F336" s="291">
        <v>43578</v>
      </c>
      <c r="G336" s="306">
        <v>43137</v>
      </c>
      <c r="H336" s="306">
        <v>43502</v>
      </c>
      <c r="I336" s="291">
        <v>1766</v>
      </c>
      <c r="J336" s="307">
        <v>4340000</v>
      </c>
      <c r="K336" s="307">
        <v>520800</v>
      </c>
      <c r="L336" s="307">
        <v>0</v>
      </c>
      <c r="M336" s="291" t="s">
        <v>495</v>
      </c>
      <c r="N336" s="307">
        <v>4340000</v>
      </c>
      <c r="O336" s="307">
        <v>520800</v>
      </c>
      <c r="P336" s="307">
        <v>3832220</v>
      </c>
      <c r="Q336" s="291">
        <v>1</v>
      </c>
      <c r="R336" s="291" t="s">
        <v>496</v>
      </c>
      <c r="S336" s="291">
        <v>100</v>
      </c>
      <c r="T336" s="307">
        <v>4340000</v>
      </c>
      <c r="U336" s="307">
        <v>520800</v>
      </c>
      <c r="V336" s="291">
        <v>300</v>
      </c>
      <c r="W336" s="307">
        <v>2657956</v>
      </c>
      <c r="X336" s="291">
        <v>17</v>
      </c>
      <c r="Y336" s="291">
        <v>1160902010</v>
      </c>
      <c r="Z336" s="291">
        <v>2023</v>
      </c>
      <c r="AA336" s="291">
        <v>12</v>
      </c>
      <c r="AB336" s="291">
        <v>5026003002</v>
      </c>
      <c r="AC336" s="291">
        <v>1160903005</v>
      </c>
      <c r="AD336" s="291">
        <v>0</v>
      </c>
      <c r="AE336" s="291">
        <v>0</v>
      </c>
      <c r="AF336" s="291">
        <v>0</v>
      </c>
      <c r="AG336" s="291">
        <v>1160605001</v>
      </c>
      <c r="AH336" s="291">
        <v>1766</v>
      </c>
      <c r="AI336" s="291" t="s">
        <v>497</v>
      </c>
      <c r="AJ336" s="308">
        <v>0.01</v>
      </c>
      <c r="AK336" s="309">
        <f t="shared" si="55"/>
        <v>43400</v>
      </c>
      <c r="AL336" s="309">
        <f t="shared" si="56"/>
        <v>43400</v>
      </c>
      <c r="AM336" s="309">
        <f t="shared" si="56"/>
        <v>43400</v>
      </c>
      <c r="AN336" s="309"/>
      <c r="AO336" s="309"/>
      <c r="AP336" s="309">
        <f t="shared" si="51"/>
        <v>2604</v>
      </c>
      <c r="AQ336" s="309">
        <f t="shared" si="57"/>
        <v>2604</v>
      </c>
      <c r="AR336" s="309">
        <f t="shared" si="57"/>
        <v>2604</v>
      </c>
      <c r="AS336" s="309"/>
      <c r="AT336" s="309"/>
      <c r="AV336" s="311">
        <f t="shared" si="52"/>
        <v>4209800</v>
      </c>
      <c r="AW336" s="311">
        <f t="shared" si="53"/>
        <v>512988</v>
      </c>
      <c r="AX336" s="312">
        <f t="shared" si="54"/>
        <v>0</v>
      </c>
    </row>
    <row r="337" spans="1:51">
      <c r="A337" s="291" t="s">
        <v>494</v>
      </c>
      <c r="B337" s="291"/>
      <c r="C337" s="291"/>
      <c r="D337" s="291">
        <v>1160505001</v>
      </c>
      <c r="E337" s="291">
        <v>0</v>
      </c>
      <c r="F337" s="291">
        <v>47156</v>
      </c>
      <c r="G337" s="306">
        <v>43672</v>
      </c>
      <c r="H337" s="306">
        <v>44543</v>
      </c>
      <c r="I337" s="291">
        <v>739</v>
      </c>
      <c r="J337" s="307">
        <v>41000000</v>
      </c>
      <c r="K337" s="307">
        <v>8784250</v>
      </c>
      <c r="L337" s="307">
        <v>0</v>
      </c>
      <c r="M337" s="291" t="s">
        <v>495</v>
      </c>
      <c r="N337" s="307">
        <v>41000000</v>
      </c>
      <c r="O337" s="307">
        <v>8784250</v>
      </c>
      <c r="P337" s="307">
        <v>15149500</v>
      </c>
      <c r="Q337" s="291">
        <v>1</v>
      </c>
      <c r="R337" s="291" t="s">
        <v>496</v>
      </c>
      <c r="S337" s="291">
        <v>100</v>
      </c>
      <c r="T337" s="307">
        <v>41000000</v>
      </c>
      <c r="U337" s="307">
        <v>8784250</v>
      </c>
      <c r="V337" s="291">
        <v>300</v>
      </c>
      <c r="W337" s="307">
        <v>44385435</v>
      </c>
      <c r="X337" s="291">
        <v>15</v>
      </c>
      <c r="Y337" s="291">
        <v>1160902010</v>
      </c>
      <c r="Z337" s="291">
        <v>2023</v>
      </c>
      <c r="AA337" s="291">
        <v>12</v>
      </c>
      <c r="AB337" s="291">
        <v>5026003002</v>
      </c>
      <c r="AC337" s="291">
        <v>1160903005</v>
      </c>
      <c r="AD337" s="291">
        <v>0</v>
      </c>
      <c r="AE337" s="291">
        <v>0</v>
      </c>
      <c r="AF337" s="291">
        <v>0</v>
      </c>
      <c r="AG337" s="291">
        <v>1160605001</v>
      </c>
      <c r="AH337" s="291">
        <v>739</v>
      </c>
      <c r="AI337" s="291" t="s">
        <v>499</v>
      </c>
      <c r="AJ337" s="308">
        <v>0.05</v>
      </c>
      <c r="AK337" s="309">
        <f t="shared" si="55"/>
        <v>2050000</v>
      </c>
      <c r="AL337" s="309">
        <f t="shared" si="56"/>
        <v>2050000</v>
      </c>
      <c r="AM337" s="309">
        <f t="shared" si="56"/>
        <v>2050000</v>
      </c>
      <c r="AN337" s="309"/>
      <c r="AO337" s="309"/>
      <c r="AP337" s="309">
        <f t="shared" si="51"/>
        <v>219606.25</v>
      </c>
      <c r="AQ337" s="309">
        <f t="shared" si="57"/>
        <v>219606.25</v>
      </c>
      <c r="AR337" s="309">
        <f t="shared" si="57"/>
        <v>219606.25</v>
      </c>
      <c r="AS337" s="309"/>
      <c r="AT337" s="309"/>
      <c r="AV337" s="311">
        <f t="shared" si="52"/>
        <v>34850000</v>
      </c>
      <c r="AW337" s="311">
        <f t="shared" si="53"/>
        <v>8125431.25</v>
      </c>
      <c r="AX337" s="312">
        <f t="shared" si="54"/>
        <v>0</v>
      </c>
    </row>
    <row r="338" spans="1:51">
      <c r="A338" s="291" t="s">
        <v>494</v>
      </c>
      <c r="B338" s="291"/>
      <c r="C338" s="291"/>
      <c r="D338" s="291">
        <v>1160505001</v>
      </c>
      <c r="E338" s="291">
        <v>0</v>
      </c>
      <c r="F338" s="291">
        <v>46814</v>
      </c>
      <c r="G338" s="306">
        <v>43617</v>
      </c>
      <c r="H338" s="306">
        <v>44713</v>
      </c>
      <c r="I338" s="291">
        <v>571</v>
      </c>
      <c r="J338" s="307">
        <v>2666667</v>
      </c>
      <c r="K338" s="307">
        <v>214000</v>
      </c>
      <c r="L338" s="307">
        <v>0</v>
      </c>
      <c r="M338" s="291" t="s">
        <v>495</v>
      </c>
      <c r="N338" s="307">
        <v>2666667</v>
      </c>
      <c r="O338" s="307">
        <v>214000</v>
      </c>
      <c r="P338" s="307">
        <v>761333</v>
      </c>
      <c r="Q338" s="291">
        <v>1</v>
      </c>
      <c r="R338" s="291" t="s">
        <v>496</v>
      </c>
      <c r="S338" s="291">
        <v>100</v>
      </c>
      <c r="T338" s="307">
        <v>2666667</v>
      </c>
      <c r="U338" s="307">
        <v>214000</v>
      </c>
      <c r="V338" s="291">
        <v>300</v>
      </c>
      <c r="W338" s="307">
        <v>5664989</v>
      </c>
      <c r="X338" s="291">
        <v>15</v>
      </c>
      <c r="Y338" s="291">
        <v>1160902010</v>
      </c>
      <c r="Z338" s="291">
        <v>2023</v>
      </c>
      <c r="AA338" s="291">
        <v>12</v>
      </c>
      <c r="AB338" s="291">
        <v>5026003002</v>
      </c>
      <c r="AC338" s="291">
        <v>1160903005</v>
      </c>
      <c r="AD338" s="291">
        <v>0</v>
      </c>
      <c r="AE338" s="291">
        <v>0</v>
      </c>
      <c r="AF338" s="291">
        <v>0</v>
      </c>
      <c r="AG338" s="291">
        <v>1160605001</v>
      </c>
      <c r="AH338" s="291">
        <v>571</v>
      </c>
      <c r="AI338" s="291" t="s">
        <v>498</v>
      </c>
      <c r="AJ338" s="308">
        <v>0.1</v>
      </c>
      <c r="AK338" s="309">
        <f t="shared" si="55"/>
        <v>266666.7</v>
      </c>
      <c r="AL338" s="309">
        <f t="shared" si="56"/>
        <v>266666.7</v>
      </c>
      <c r="AM338" s="309">
        <f t="shared" si="56"/>
        <v>266666.7</v>
      </c>
      <c r="AN338" s="309"/>
      <c r="AO338" s="309"/>
      <c r="AP338" s="309">
        <f t="shared" si="51"/>
        <v>10700</v>
      </c>
      <c r="AQ338" s="309">
        <f t="shared" si="57"/>
        <v>10700</v>
      </c>
      <c r="AR338" s="309">
        <f t="shared" si="57"/>
        <v>10700</v>
      </c>
      <c r="AS338" s="309"/>
      <c r="AT338" s="309"/>
      <c r="AV338" s="311">
        <f t="shared" si="52"/>
        <v>1866666.8999999997</v>
      </c>
      <c r="AW338" s="311">
        <f t="shared" si="53"/>
        <v>181900</v>
      </c>
      <c r="AX338" s="312">
        <f t="shared" si="54"/>
        <v>0</v>
      </c>
    </row>
    <row r="339" spans="1:51">
      <c r="A339" s="291" t="s">
        <v>494</v>
      </c>
      <c r="B339" s="291"/>
      <c r="C339" s="291"/>
      <c r="D339" s="291">
        <v>1160504001</v>
      </c>
      <c r="E339" s="291">
        <v>0</v>
      </c>
      <c r="F339" s="291">
        <v>44250</v>
      </c>
      <c r="G339" s="306">
        <v>43204</v>
      </c>
      <c r="H339" s="306">
        <v>45030</v>
      </c>
      <c r="I339" s="291">
        <v>258</v>
      </c>
      <c r="J339" s="307">
        <v>2400000</v>
      </c>
      <c r="K339" s="307">
        <v>396800</v>
      </c>
      <c r="L339" s="307">
        <v>0</v>
      </c>
      <c r="M339" s="291" t="s">
        <v>495</v>
      </c>
      <c r="N339" s="307">
        <v>2400000</v>
      </c>
      <c r="O339" s="307">
        <v>396800</v>
      </c>
      <c r="P339" s="307">
        <v>309600</v>
      </c>
      <c r="Q339" s="291">
        <v>1</v>
      </c>
      <c r="R339" s="291" t="s">
        <v>501</v>
      </c>
      <c r="S339" s="291">
        <v>100</v>
      </c>
      <c r="T339" s="307">
        <v>2400000</v>
      </c>
      <c r="U339" s="307">
        <v>396800</v>
      </c>
      <c r="V339" s="291">
        <v>100</v>
      </c>
      <c r="W339" s="307">
        <v>5136822</v>
      </c>
      <c r="X339" s="291">
        <v>14</v>
      </c>
      <c r="Y339" s="291">
        <v>1160902008</v>
      </c>
      <c r="Z339" s="291">
        <v>2023</v>
      </c>
      <c r="AA339" s="291">
        <v>12</v>
      </c>
      <c r="AB339" s="291">
        <v>5026003002</v>
      </c>
      <c r="AC339" s="291">
        <v>1160903004</v>
      </c>
      <c r="AD339" s="291">
        <v>0</v>
      </c>
      <c r="AE339" s="291">
        <v>0</v>
      </c>
      <c r="AF339" s="291">
        <v>0</v>
      </c>
      <c r="AG339" s="291">
        <v>1160604001</v>
      </c>
      <c r="AH339" s="291">
        <v>258</v>
      </c>
      <c r="AI339" s="291" t="s">
        <v>500</v>
      </c>
      <c r="AJ339" s="308">
        <v>0.3</v>
      </c>
      <c r="AK339" s="309">
        <f t="shared" si="55"/>
        <v>720000</v>
      </c>
      <c r="AL339" s="309">
        <f t="shared" si="56"/>
        <v>720000</v>
      </c>
      <c r="AM339" s="309">
        <f t="shared" si="56"/>
        <v>720000</v>
      </c>
      <c r="AN339" s="309"/>
      <c r="AO339" s="309"/>
      <c r="AP339" s="309">
        <f t="shared" si="51"/>
        <v>59520</v>
      </c>
      <c r="AQ339" s="309">
        <f t="shared" si="57"/>
        <v>59520</v>
      </c>
      <c r="AR339" s="309">
        <f t="shared" si="57"/>
        <v>59520</v>
      </c>
      <c r="AS339" s="309"/>
      <c r="AT339" s="309"/>
      <c r="AV339" s="311">
        <f t="shared" si="52"/>
        <v>240000</v>
      </c>
      <c r="AW339" s="311">
        <f t="shared" si="53"/>
        <v>218240</v>
      </c>
      <c r="AX339" s="312">
        <f t="shared" si="54"/>
        <v>0</v>
      </c>
    </row>
    <row r="340" spans="1:51">
      <c r="A340" s="291" t="s">
        <v>494</v>
      </c>
      <c r="B340" s="291"/>
      <c r="C340" s="291"/>
      <c r="D340" s="291">
        <v>1160505001</v>
      </c>
      <c r="E340" s="291">
        <v>0</v>
      </c>
      <c r="F340" s="291">
        <v>46952</v>
      </c>
      <c r="G340" s="306">
        <v>43637</v>
      </c>
      <c r="H340" s="306">
        <v>44003</v>
      </c>
      <c r="I340" s="291">
        <v>1271</v>
      </c>
      <c r="J340" s="307">
        <v>11740640</v>
      </c>
      <c r="K340" s="307">
        <v>0</v>
      </c>
      <c r="L340" s="307">
        <v>0</v>
      </c>
      <c r="M340" s="291" t="s">
        <v>495</v>
      </c>
      <c r="N340" s="307">
        <v>11740640</v>
      </c>
      <c r="O340" s="307">
        <v>0</v>
      </c>
      <c r="P340" s="307">
        <v>7461177</v>
      </c>
      <c r="Q340" s="291">
        <v>1</v>
      </c>
      <c r="R340" s="291" t="s">
        <v>496</v>
      </c>
      <c r="S340" s="291">
        <v>100</v>
      </c>
      <c r="T340" s="307">
        <v>11740640</v>
      </c>
      <c r="U340" s="307">
        <v>0</v>
      </c>
      <c r="V340" s="291">
        <v>500</v>
      </c>
      <c r="W340" s="307">
        <v>7672657</v>
      </c>
      <c r="X340" s="291">
        <v>15</v>
      </c>
      <c r="Y340" s="291">
        <v>1160902010</v>
      </c>
      <c r="Z340" s="291">
        <v>2023</v>
      </c>
      <c r="AA340" s="291">
        <v>12</v>
      </c>
      <c r="AB340" s="291">
        <v>5026003002</v>
      </c>
      <c r="AC340" s="291">
        <v>1160903005</v>
      </c>
      <c r="AD340" s="291">
        <v>0</v>
      </c>
      <c r="AE340" s="291">
        <v>0</v>
      </c>
      <c r="AF340" s="291">
        <v>0</v>
      </c>
      <c r="AG340" s="291">
        <v>1160605001</v>
      </c>
      <c r="AH340" s="291">
        <v>1271</v>
      </c>
      <c r="AI340" s="291" t="s">
        <v>497</v>
      </c>
      <c r="AJ340" s="308">
        <v>0.01</v>
      </c>
      <c r="AK340" s="309">
        <f t="shared" si="55"/>
        <v>117406.40000000001</v>
      </c>
      <c r="AL340" s="309">
        <f t="shared" si="56"/>
        <v>117406.40000000001</v>
      </c>
      <c r="AM340" s="309">
        <f t="shared" si="56"/>
        <v>117406.40000000001</v>
      </c>
      <c r="AN340" s="309"/>
      <c r="AO340" s="309"/>
      <c r="AP340" s="309">
        <f t="shared" si="51"/>
        <v>0</v>
      </c>
      <c r="AQ340" s="309">
        <f t="shared" si="57"/>
        <v>0</v>
      </c>
      <c r="AR340" s="309">
        <f t="shared" si="57"/>
        <v>0</v>
      </c>
      <c r="AS340" s="309"/>
      <c r="AT340" s="309"/>
      <c r="AV340" s="311">
        <f t="shared" si="52"/>
        <v>11388420.799999999</v>
      </c>
      <c r="AW340" s="311">
        <f t="shared" si="53"/>
        <v>0</v>
      </c>
      <c r="AX340" s="312">
        <f t="shared" si="54"/>
        <v>0</v>
      </c>
    </row>
    <row r="341" spans="1:51">
      <c r="A341" s="291" t="s">
        <v>494</v>
      </c>
      <c r="B341" s="291"/>
      <c r="C341" s="291"/>
      <c r="D341" s="291">
        <v>1160505001</v>
      </c>
      <c r="E341" s="291">
        <v>0</v>
      </c>
      <c r="F341" s="291">
        <v>46112</v>
      </c>
      <c r="G341" s="306">
        <v>43513</v>
      </c>
      <c r="H341" s="306">
        <v>44609</v>
      </c>
      <c r="I341" s="291">
        <v>675</v>
      </c>
      <c r="J341" s="307">
        <v>2279500</v>
      </c>
      <c r="K341" s="307">
        <v>0</v>
      </c>
      <c r="L341" s="307">
        <v>0</v>
      </c>
      <c r="M341" s="291" t="s">
        <v>495</v>
      </c>
      <c r="N341" s="307">
        <v>2279500</v>
      </c>
      <c r="O341" s="307">
        <v>0</v>
      </c>
      <c r="P341" s="307">
        <v>769331</v>
      </c>
      <c r="Q341" s="291">
        <v>1</v>
      </c>
      <c r="R341" s="291" t="s">
        <v>496</v>
      </c>
      <c r="S341" s="291">
        <v>100</v>
      </c>
      <c r="T341" s="307">
        <v>2279500</v>
      </c>
      <c r="U341" s="307">
        <v>0</v>
      </c>
      <c r="V341" s="291">
        <v>100</v>
      </c>
      <c r="W341" s="307">
        <v>4543060</v>
      </c>
      <c r="X341" s="291">
        <v>2</v>
      </c>
      <c r="Y341" s="291">
        <v>1160902010</v>
      </c>
      <c r="Z341" s="291">
        <v>2023</v>
      </c>
      <c r="AA341" s="291">
        <v>12</v>
      </c>
      <c r="AB341" s="291">
        <v>5026003002</v>
      </c>
      <c r="AC341" s="291">
        <v>1160903005</v>
      </c>
      <c r="AD341" s="291">
        <v>0</v>
      </c>
      <c r="AE341" s="291">
        <v>0</v>
      </c>
      <c r="AF341" s="291">
        <v>0</v>
      </c>
      <c r="AG341" s="291">
        <v>1160605001</v>
      </c>
      <c r="AH341" s="291">
        <v>675</v>
      </c>
      <c r="AI341" s="291" t="s">
        <v>498</v>
      </c>
      <c r="AJ341" s="308">
        <v>0.1</v>
      </c>
      <c r="AK341" s="309">
        <f t="shared" si="55"/>
        <v>227950</v>
      </c>
      <c r="AL341" s="309">
        <f t="shared" si="56"/>
        <v>227950</v>
      </c>
      <c r="AM341" s="309">
        <f t="shared" si="56"/>
        <v>227950</v>
      </c>
      <c r="AN341" s="309"/>
      <c r="AO341" s="309"/>
      <c r="AP341" s="309">
        <f t="shared" si="51"/>
        <v>0</v>
      </c>
      <c r="AQ341" s="309">
        <f t="shared" si="57"/>
        <v>0</v>
      </c>
      <c r="AR341" s="309">
        <f t="shared" si="57"/>
        <v>0</v>
      </c>
      <c r="AS341" s="309"/>
      <c r="AT341" s="309"/>
      <c r="AV341" s="311">
        <f t="shared" si="52"/>
        <v>1595650</v>
      </c>
      <c r="AW341" s="311">
        <f t="shared" si="53"/>
        <v>0</v>
      </c>
      <c r="AX341" s="312">
        <f t="shared" si="54"/>
        <v>0</v>
      </c>
    </row>
    <row r="342" spans="1:51">
      <c r="A342" s="291" t="s">
        <v>494</v>
      </c>
      <c r="B342" s="291"/>
      <c r="C342" s="291"/>
      <c r="D342" s="291">
        <v>1160505001</v>
      </c>
      <c r="E342" s="291">
        <v>0</v>
      </c>
      <c r="F342" s="291">
        <v>46757</v>
      </c>
      <c r="G342" s="306">
        <v>43604</v>
      </c>
      <c r="H342" s="306">
        <v>44700</v>
      </c>
      <c r="I342" s="291">
        <v>583</v>
      </c>
      <c r="J342" s="307">
        <v>500000</v>
      </c>
      <c r="K342" s="307">
        <v>0</v>
      </c>
      <c r="L342" s="307">
        <v>0</v>
      </c>
      <c r="M342" s="291" t="s">
        <v>495</v>
      </c>
      <c r="N342" s="307">
        <v>500000</v>
      </c>
      <c r="O342" s="307">
        <v>0</v>
      </c>
      <c r="P342" s="307">
        <v>145750</v>
      </c>
      <c r="Q342" s="291">
        <v>1</v>
      </c>
      <c r="R342" s="291" t="s">
        <v>496</v>
      </c>
      <c r="S342" s="291">
        <v>100</v>
      </c>
      <c r="T342" s="307">
        <v>500000</v>
      </c>
      <c r="U342" s="307">
        <v>0</v>
      </c>
      <c r="V342" s="291">
        <v>100</v>
      </c>
      <c r="W342" s="307">
        <v>7388842</v>
      </c>
      <c r="X342" s="291">
        <v>14</v>
      </c>
      <c r="Y342" s="291">
        <v>1160902010</v>
      </c>
      <c r="Z342" s="291">
        <v>2023</v>
      </c>
      <c r="AA342" s="291">
        <v>12</v>
      </c>
      <c r="AB342" s="291">
        <v>5026003002</v>
      </c>
      <c r="AC342" s="291">
        <v>1160903005</v>
      </c>
      <c r="AD342" s="291">
        <v>0</v>
      </c>
      <c r="AE342" s="291">
        <v>0</v>
      </c>
      <c r="AF342" s="291">
        <v>0</v>
      </c>
      <c r="AG342" s="291">
        <v>1160605001</v>
      </c>
      <c r="AH342" s="291">
        <v>583</v>
      </c>
      <c r="AI342" s="291" t="s">
        <v>498</v>
      </c>
      <c r="AJ342" s="308">
        <v>0.1</v>
      </c>
      <c r="AK342" s="309">
        <f t="shared" si="55"/>
        <v>50000</v>
      </c>
      <c r="AL342" s="309">
        <f t="shared" si="56"/>
        <v>50000</v>
      </c>
      <c r="AM342" s="309">
        <f t="shared" si="56"/>
        <v>50000</v>
      </c>
      <c r="AN342" s="309"/>
      <c r="AO342" s="309"/>
      <c r="AP342" s="309">
        <f t="shared" si="51"/>
        <v>0</v>
      </c>
      <c r="AQ342" s="309">
        <f t="shared" si="57"/>
        <v>0</v>
      </c>
      <c r="AR342" s="309">
        <f t="shared" si="57"/>
        <v>0</v>
      </c>
      <c r="AS342" s="309"/>
      <c r="AT342" s="309"/>
      <c r="AV342" s="311">
        <f t="shared" si="52"/>
        <v>350000</v>
      </c>
      <c r="AW342" s="311">
        <f t="shared" si="53"/>
        <v>0</v>
      </c>
      <c r="AX342" s="312">
        <f t="shared" si="54"/>
        <v>0</v>
      </c>
    </row>
    <row r="343" spans="1:51">
      <c r="A343" s="291" t="s">
        <v>494</v>
      </c>
      <c r="B343" s="291"/>
      <c r="C343" s="291"/>
      <c r="D343" s="291">
        <v>1160505001</v>
      </c>
      <c r="E343" s="291">
        <v>0</v>
      </c>
      <c r="F343" s="291">
        <v>44444</v>
      </c>
      <c r="G343" s="306">
        <v>43227</v>
      </c>
      <c r="H343" s="306">
        <v>43958</v>
      </c>
      <c r="I343" s="291">
        <v>1315</v>
      </c>
      <c r="J343" s="307">
        <v>8000000</v>
      </c>
      <c r="K343" s="307">
        <v>933334</v>
      </c>
      <c r="L343" s="307">
        <v>0</v>
      </c>
      <c r="M343" s="291" t="s">
        <v>495</v>
      </c>
      <c r="N343" s="307">
        <v>8000000</v>
      </c>
      <c r="O343" s="307">
        <v>933334</v>
      </c>
      <c r="P343" s="307">
        <v>5260000</v>
      </c>
      <c r="Q343" s="291">
        <v>1</v>
      </c>
      <c r="R343" s="291" t="s">
        <v>496</v>
      </c>
      <c r="S343" s="291">
        <v>100</v>
      </c>
      <c r="T343" s="307">
        <v>8000000</v>
      </c>
      <c r="U343" s="307">
        <v>933334</v>
      </c>
      <c r="V343" s="291">
        <v>100</v>
      </c>
      <c r="W343" s="307">
        <v>8820177</v>
      </c>
      <c r="X343" s="291">
        <v>2</v>
      </c>
      <c r="Y343" s="291">
        <v>1160902010</v>
      </c>
      <c r="Z343" s="291">
        <v>2023</v>
      </c>
      <c r="AA343" s="291">
        <v>12</v>
      </c>
      <c r="AB343" s="291">
        <v>5026003002</v>
      </c>
      <c r="AC343" s="291">
        <v>1160903005</v>
      </c>
      <c r="AD343" s="291">
        <v>0</v>
      </c>
      <c r="AE343" s="291">
        <v>0</v>
      </c>
      <c r="AF343" s="291">
        <v>0</v>
      </c>
      <c r="AG343" s="291">
        <v>1160605001</v>
      </c>
      <c r="AH343" s="291">
        <v>1315</v>
      </c>
      <c r="AI343" s="291" t="s">
        <v>497</v>
      </c>
      <c r="AJ343" s="308">
        <v>0.01</v>
      </c>
      <c r="AK343" s="309">
        <f t="shared" si="55"/>
        <v>80000</v>
      </c>
      <c r="AL343" s="309">
        <f t="shared" si="56"/>
        <v>80000</v>
      </c>
      <c r="AM343" s="309">
        <f t="shared" si="56"/>
        <v>80000</v>
      </c>
      <c r="AN343" s="309"/>
      <c r="AO343" s="309"/>
      <c r="AP343" s="309">
        <f t="shared" si="51"/>
        <v>4666.67</v>
      </c>
      <c r="AQ343" s="309">
        <f t="shared" ref="AQ343:AR358" si="58">AP343</f>
        <v>4666.67</v>
      </c>
      <c r="AR343" s="309">
        <f t="shared" si="58"/>
        <v>4666.67</v>
      </c>
      <c r="AS343" s="309"/>
      <c r="AT343" s="309"/>
      <c r="AV343" s="311">
        <f t="shared" si="52"/>
        <v>7760000</v>
      </c>
      <c r="AW343" s="311">
        <f t="shared" si="53"/>
        <v>919333.98999999987</v>
      </c>
      <c r="AX343" s="312">
        <f t="shared" si="54"/>
        <v>0</v>
      </c>
    </row>
    <row r="344" spans="1:51">
      <c r="A344" s="291" t="s">
        <v>494</v>
      </c>
      <c r="B344" s="291"/>
      <c r="C344" s="291"/>
      <c r="D344" s="291">
        <v>1160505001</v>
      </c>
      <c r="E344" s="291">
        <v>0</v>
      </c>
      <c r="F344" s="291">
        <v>44508</v>
      </c>
      <c r="G344" s="306">
        <v>43238</v>
      </c>
      <c r="H344" s="306">
        <v>44699</v>
      </c>
      <c r="I344" s="291">
        <v>584</v>
      </c>
      <c r="J344" s="307">
        <v>10000000</v>
      </c>
      <c r="K344" s="307">
        <v>4800000</v>
      </c>
      <c r="L344" s="307">
        <v>0</v>
      </c>
      <c r="M344" s="291" t="s">
        <v>495</v>
      </c>
      <c r="N344" s="307">
        <v>10000000</v>
      </c>
      <c r="O344" s="307">
        <v>4800000</v>
      </c>
      <c r="P344" s="307">
        <v>2920000</v>
      </c>
      <c r="Q344" s="291">
        <v>1</v>
      </c>
      <c r="R344" s="291" t="s">
        <v>496</v>
      </c>
      <c r="S344" s="291">
        <v>100</v>
      </c>
      <c r="T344" s="307">
        <v>10000000</v>
      </c>
      <c r="U344" s="307">
        <v>4800000</v>
      </c>
      <c r="V344" s="291">
        <v>100</v>
      </c>
      <c r="W344" s="307">
        <v>8820177</v>
      </c>
      <c r="X344" s="291">
        <v>14</v>
      </c>
      <c r="Y344" s="291">
        <v>1160902010</v>
      </c>
      <c r="Z344" s="291">
        <v>2023</v>
      </c>
      <c r="AA344" s="291">
        <v>12</v>
      </c>
      <c r="AB344" s="291">
        <v>5026003002</v>
      </c>
      <c r="AC344" s="291">
        <v>1160903005</v>
      </c>
      <c r="AD344" s="291">
        <v>0</v>
      </c>
      <c r="AE344" s="291">
        <v>0</v>
      </c>
      <c r="AF344" s="291">
        <v>0</v>
      </c>
      <c r="AG344" s="291">
        <v>1160605001</v>
      </c>
      <c r="AH344" s="291">
        <v>1315</v>
      </c>
      <c r="AI344" s="291" t="s">
        <v>497</v>
      </c>
      <c r="AJ344" s="308">
        <v>0.01</v>
      </c>
      <c r="AK344" s="309">
        <f t="shared" si="55"/>
        <v>100000</v>
      </c>
      <c r="AL344" s="309">
        <f t="shared" si="56"/>
        <v>100000</v>
      </c>
      <c r="AM344" s="309">
        <f t="shared" si="56"/>
        <v>100000</v>
      </c>
      <c r="AN344" s="309"/>
      <c r="AO344" s="309"/>
      <c r="AP344" s="309">
        <f t="shared" si="51"/>
        <v>24000</v>
      </c>
      <c r="AQ344" s="309">
        <f t="shared" si="58"/>
        <v>24000</v>
      </c>
      <c r="AR344" s="309">
        <f t="shared" si="58"/>
        <v>24000</v>
      </c>
      <c r="AS344" s="309"/>
      <c r="AT344" s="309"/>
      <c r="AV344" s="311">
        <f t="shared" si="52"/>
        <v>9700000</v>
      </c>
      <c r="AW344" s="311">
        <f t="shared" si="53"/>
        <v>4728000</v>
      </c>
      <c r="AX344" s="312">
        <f t="shared" si="54"/>
        <v>0</v>
      </c>
    </row>
    <row r="345" spans="1:51">
      <c r="A345" s="291" t="s">
        <v>494</v>
      </c>
      <c r="B345" s="291"/>
      <c r="C345" s="291"/>
      <c r="D345" s="291">
        <v>1160505002</v>
      </c>
      <c r="E345" s="291">
        <v>0</v>
      </c>
      <c r="F345" s="291">
        <v>45319</v>
      </c>
      <c r="G345" s="306">
        <v>43359</v>
      </c>
      <c r="H345" s="306">
        <v>43724</v>
      </c>
      <c r="I345" s="291">
        <v>1546</v>
      </c>
      <c r="J345" s="307">
        <v>1030526</v>
      </c>
      <c r="K345" s="307">
        <v>92748</v>
      </c>
      <c r="L345" s="307">
        <v>0</v>
      </c>
      <c r="M345" s="291" t="s">
        <v>495</v>
      </c>
      <c r="N345" s="307">
        <v>1030526</v>
      </c>
      <c r="O345" s="307">
        <v>92748</v>
      </c>
      <c r="P345" s="307">
        <v>796597</v>
      </c>
      <c r="Q345" s="291">
        <v>1</v>
      </c>
      <c r="R345" s="291" t="s">
        <v>496</v>
      </c>
      <c r="S345" s="291">
        <v>100</v>
      </c>
      <c r="T345" s="307">
        <v>1030526</v>
      </c>
      <c r="U345" s="307">
        <v>92748</v>
      </c>
      <c r="V345" s="291">
        <v>100</v>
      </c>
      <c r="W345" s="307">
        <v>1833830</v>
      </c>
      <c r="X345" s="291">
        <v>6</v>
      </c>
      <c r="Y345" s="291">
        <v>1160902010</v>
      </c>
      <c r="Z345" s="291">
        <v>2023</v>
      </c>
      <c r="AA345" s="291">
        <v>12</v>
      </c>
      <c r="AB345" s="291">
        <v>5026003002</v>
      </c>
      <c r="AC345" s="291">
        <v>1160903005</v>
      </c>
      <c r="AD345" s="291">
        <v>0</v>
      </c>
      <c r="AE345" s="291">
        <v>0</v>
      </c>
      <c r="AF345" s="291">
        <v>0</v>
      </c>
      <c r="AG345" s="291">
        <v>1160605001</v>
      </c>
      <c r="AH345" s="291">
        <v>1546</v>
      </c>
      <c r="AI345" s="291" t="s">
        <v>497</v>
      </c>
      <c r="AJ345" s="308">
        <v>0.01</v>
      </c>
      <c r="AK345" s="309">
        <f t="shared" si="55"/>
        <v>10305.26</v>
      </c>
      <c r="AL345" s="309">
        <f t="shared" si="56"/>
        <v>10305.26</v>
      </c>
      <c r="AM345" s="309">
        <f t="shared" si="56"/>
        <v>10305.26</v>
      </c>
      <c r="AN345" s="309"/>
      <c r="AO345" s="309"/>
      <c r="AP345" s="309">
        <f t="shared" si="51"/>
        <v>463.74</v>
      </c>
      <c r="AQ345" s="309">
        <f t="shared" si="58"/>
        <v>463.74</v>
      </c>
      <c r="AR345" s="309">
        <f t="shared" si="58"/>
        <v>463.74</v>
      </c>
      <c r="AS345" s="309"/>
      <c r="AT345" s="309"/>
      <c r="AV345" s="311">
        <f t="shared" si="52"/>
        <v>999610.22</v>
      </c>
      <c r="AW345" s="311">
        <f t="shared" si="53"/>
        <v>91356.779999999984</v>
      </c>
      <c r="AX345" s="312">
        <f t="shared" si="54"/>
        <v>0</v>
      </c>
    </row>
    <row r="346" spans="1:51">
      <c r="A346" s="291" t="s">
        <v>494</v>
      </c>
      <c r="B346" s="291"/>
      <c r="C346" s="291"/>
      <c r="D346" s="291">
        <v>1160505001</v>
      </c>
      <c r="E346" s="291">
        <v>0</v>
      </c>
      <c r="F346" s="291">
        <v>47023</v>
      </c>
      <c r="G346" s="306">
        <v>43648</v>
      </c>
      <c r="H346" s="306">
        <v>44744</v>
      </c>
      <c r="I346" s="291">
        <v>540</v>
      </c>
      <c r="J346" s="307">
        <v>1000000</v>
      </c>
      <c r="K346" s="307">
        <v>122000</v>
      </c>
      <c r="L346" s="307">
        <v>0</v>
      </c>
      <c r="M346" s="291" t="s">
        <v>495</v>
      </c>
      <c r="N346" s="307">
        <v>1000000</v>
      </c>
      <c r="O346" s="307">
        <v>122000</v>
      </c>
      <c r="P346" s="307">
        <v>270000</v>
      </c>
      <c r="Q346" s="291">
        <v>1</v>
      </c>
      <c r="R346" s="291" t="s">
        <v>496</v>
      </c>
      <c r="S346" s="291">
        <v>100</v>
      </c>
      <c r="T346" s="307">
        <v>1000000</v>
      </c>
      <c r="U346" s="307">
        <v>122000</v>
      </c>
      <c r="V346" s="291">
        <v>400</v>
      </c>
      <c r="W346" s="307">
        <v>5600461</v>
      </c>
      <c r="X346" s="291">
        <v>2</v>
      </c>
      <c r="Y346" s="291">
        <v>1160902010</v>
      </c>
      <c r="Z346" s="291">
        <v>2023</v>
      </c>
      <c r="AA346" s="291">
        <v>12</v>
      </c>
      <c r="AB346" s="291">
        <v>5026003002</v>
      </c>
      <c r="AC346" s="291">
        <v>1160903005</v>
      </c>
      <c r="AD346" s="291">
        <v>0</v>
      </c>
      <c r="AE346" s="291">
        <v>0</v>
      </c>
      <c r="AF346" s="291">
        <v>0</v>
      </c>
      <c r="AG346" s="291">
        <v>1160605001</v>
      </c>
      <c r="AH346" s="291">
        <v>540</v>
      </c>
      <c r="AI346" s="291" t="s">
        <v>498</v>
      </c>
      <c r="AJ346" s="308">
        <v>0.1</v>
      </c>
      <c r="AK346" s="309">
        <f t="shared" si="55"/>
        <v>100000</v>
      </c>
      <c r="AL346" s="309">
        <f t="shared" si="56"/>
        <v>100000</v>
      </c>
      <c r="AM346" s="309">
        <f t="shared" si="56"/>
        <v>100000</v>
      </c>
      <c r="AN346" s="309"/>
      <c r="AO346" s="309"/>
      <c r="AP346" s="309">
        <f t="shared" si="51"/>
        <v>6100</v>
      </c>
      <c r="AQ346" s="309">
        <f t="shared" si="58"/>
        <v>6100</v>
      </c>
      <c r="AR346" s="309">
        <f t="shared" si="58"/>
        <v>6100</v>
      </c>
      <c r="AS346" s="309"/>
      <c r="AT346" s="309"/>
      <c r="AV346" s="311">
        <f t="shared" si="52"/>
        <v>700000</v>
      </c>
      <c r="AW346" s="311">
        <f t="shared" si="53"/>
        <v>103700</v>
      </c>
      <c r="AX346" s="312">
        <f t="shared" si="54"/>
        <v>0</v>
      </c>
    </row>
    <row r="347" spans="1:51">
      <c r="A347" s="291" t="s">
        <v>494</v>
      </c>
      <c r="B347" s="291"/>
      <c r="C347" s="291"/>
      <c r="D347" s="291">
        <v>1160505001</v>
      </c>
      <c r="E347" s="291">
        <v>0</v>
      </c>
      <c r="F347" s="291">
        <v>45447</v>
      </c>
      <c r="G347" s="306">
        <v>43419</v>
      </c>
      <c r="H347" s="306">
        <v>44150</v>
      </c>
      <c r="I347" s="291">
        <v>1127</v>
      </c>
      <c r="J347" s="307">
        <v>2880000</v>
      </c>
      <c r="K347" s="307">
        <v>1036800</v>
      </c>
      <c r="L347" s="307">
        <v>0</v>
      </c>
      <c r="M347" s="291" t="s">
        <v>495</v>
      </c>
      <c r="N347" s="307">
        <v>2880000</v>
      </c>
      <c r="O347" s="307">
        <v>1036800</v>
      </c>
      <c r="P347" s="307">
        <v>1622880</v>
      </c>
      <c r="Q347" s="291">
        <v>1</v>
      </c>
      <c r="R347" s="291" t="s">
        <v>496</v>
      </c>
      <c r="S347" s="291">
        <v>100</v>
      </c>
      <c r="T347" s="307">
        <v>2880000</v>
      </c>
      <c r="U347" s="307">
        <v>1036800</v>
      </c>
      <c r="V347" s="291">
        <v>200</v>
      </c>
      <c r="W347" s="307">
        <v>2989839</v>
      </c>
      <c r="X347" s="291">
        <v>2</v>
      </c>
      <c r="Y347" s="291">
        <v>1160902010</v>
      </c>
      <c r="Z347" s="291">
        <v>2023</v>
      </c>
      <c r="AA347" s="291">
        <v>12</v>
      </c>
      <c r="AB347" s="291">
        <v>5026003002</v>
      </c>
      <c r="AC347" s="291">
        <v>1160903005</v>
      </c>
      <c r="AD347" s="291">
        <v>0</v>
      </c>
      <c r="AE347" s="291">
        <v>0</v>
      </c>
      <c r="AF347" s="291">
        <v>0</v>
      </c>
      <c r="AG347" s="291">
        <v>1160605001</v>
      </c>
      <c r="AH347" s="291">
        <v>1127</v>
      </c>
      <c r="AI347" s="291" t="s">
        <v>497</v>
      </c>
      <c r="AJ347" s="308">
        <v>0.01</v>
      </c>
      <c r="AK347" s="309">
        <f t="shared" si="55"/>
        <v>28800</v>
      </c>
      <c r="AL347" s="309">
        <f t="shared" si="56"/>
        <v>28800</v>
      </c>
      <c r="AM347" s="309">
        <f t="shared" si="56"/>
        <v>28800</v>
      </c>
      <c r="AN347" s="309"/>
      <c r="AO347" s="309"/>
      <c r="AP347" s="309">
        <f t="shared" si="51"/>
        <v>5184</v>
      </c>
      <c r="AQ347" s="309">
        <f t="shared" si="58"/>
        <v>5184</v>
      </c>
      <c r="AR347" s="309">
        <f t="shared" si="58"/>
        <v>5184</v>
      </c>
      <c r="AS347" s="309"/>
      <c r="AT347" s="309"/>
      <c r="AV347" s="311">
        <f t="shared" si="52"/>
        <v>2793600</v>
      </c>
      <c r="AW347" s="311">
        <f t="shared" si="53"/>
        <v>1021248</v>
      </c>
      <c r="AX347" s="312">
        <f t="shared" si="54"/>
        <v>0</v>
      </c>
    </row>
    <row r="348" spans="1:51">
      <c r="A348" s="291" t="s">
        <v>494</v>
      </c>
      <c r="B348" s="291"/>
      <c r="C348" s="291"/>
      <c r="D348" s="291">
        <v>1160405004</v>
      </c>
      <c r="E348" s="291">
        <v>40785</v>
      </c>
      <c r="F348" s="291">
        <v>47341</v>
      </c>
      <c r="G348" s="306">
        <v>43759</v>
      </c>
      <c r="H348" s="306">
        <v>44855</v>
      </c>
      <c r="I348" s="291">
        <v>431</v>
      </c>
      <c r="J348" s="307">
        <v>196879359</v>
      </c>
      <c r="K348" s="307">
        <v>106314840</v>
      </c>
      <c r="L348" s="307">
        <v>1175531000</v>
      </c>
      <c r="M348" s="291" t="s">
        <v>495</v>
      </c>
      <c r="N348" s="307">
        <v>0</v>
      </c>
      <c r="O348" s="307">
        <v>106314840</v>
      </c>
      <c r="P348" s="307">
        <v>42427502</v>
      </c>
      <c r="Q348" s="291">
        <v>2</v>
      </c>
      <c r="R348" s="291" t="s">
        <v>496</v>
      </c>
      <c r="S348" s="291">
        <v>100</v>
      </c>
      <c r="T348" s="307">
        <v>0</v>
      </c>
      <c r="U348" s="307">
        <v>106314840</v>
      </c>
      <c r="V348" s="291">
        <v>300</v>
      </c>
      <c r="W348" s="307">
        <v>64896961</v>
      </c>
      <c r="X348" s="291">
        <v>5</v>
      </c>
      <c r="Y348" s="291">
        <v>1160902008</v>
      </c>
      <c r="Z348" s="291">
        <v>2023</v>
      </c>
      <c r="AA348" s="291">
        <v>12</v>
      </c>
      <c r="AB348" s="291">
        <v>5026003002</v>
      </c>
      <c r="AC348" s="291">
        <v>1160903005</v>
      </c>
      <c r="AD348" s="291">
        <v>0</v>
      </c>
      <c r="AE348" s="291">
        <v>0</v>
      </c>
      <c r="AF348" s="291">
        <v>1</v>
      </c>
      <c r="AG348" s="291">
        <v>1160605001</v>
      </c>
      <c r="AH348" s="291">
        <v>431</v>
      </c>
      <c r="AI348" s="291" t="s">
        <v>498</v>
      </c>
      <c r="AJ348" s="308">
        <v>0.1</v>
      </c>
      <c r="AK348" s="309">
        <f t="shared" si="55"/>
        <v>19687935.900000002</v>
      </c>
      <c r="AL348" s="309">
        <f t="shared" si="56"/>
        <v>19687935.900000002</v>
      </c>
      <c r="AM348" s="309">
        <f t="shared" si="56"/>
        <v>19687935.900000002</v>
      </c>
      <c r="AN348" s="309"/>
      <c r="AO348" s="309"/>
      <c r="AP348" s="309">
        <f t="shared" si="51"/>
        <v>5315742</v>
      </c>
      <c r="AQ348" s="309">
        <f t="shared" si="58"/>
        <v>5315742</v>
      </c>
      <c r="AR348" s="309">
        <f t="shared" si="58"/>
        <v>5315742</v>
      </c>
      <c r="AS348" s="309"/>
      <c r="AT348" s="309"/>
      <c r="AV348" s="311">
        <f t="shared" si="52"/>
        <v>137815551.29999998</v>
      </c>
      <c r="AW348" s="311">
        <f t="shared" si="53"/>
        <v>90367614</v>
      </c>
      <c r="AX348" s="312">
        <f t="shared" si="54"/>
        <v>196879359</v>
      </c>
      <c r="AY348" s="312">
        <f>+AX348-L348</f>
        <v>-978651641</v>
      </c>
    </row>
    <row r="349" spans="1:51">
      <c r="A349" s="291" t="s">
        <v>494</v>
      </c>
      <c r="B349" s="291"/>
      <c r="C349" s="291"/>
      <c r="D349" s="291">
        <v>1160505001</v>
      </c>
      <c r="E349" s="291">
        <v>0</v>
      </c>
      <c r="F349" s="291">
        <v>43943</v>
      </c>
      <c r="G349" s="306">
        <v>43167</v>
      </c>
      <c r="H349" s="306">
        <v>44263</v>
      </c>
      <c r="I349" s="291">
        <v>1014</v>
      </c>
      <c r="J349" s="307">
        <v>4472026</v>
      </c>
      <c r="K349" s="307">
        <v>0</v>
      </c>
      <c r="L349" s="307">
        <v>0</v>
      </c>
      <c r="M349" s="291" t="s">
        <v>495</v>
      </c>
      <c r="N349" s="307">
        <v>4472026</v>
      </c>
      <c r="O349" s="307">
        <v>0</v>
      </c>
      <c r="P349" s="307">
        <v>2267317</v>
      </c>
      <c r="Q349" s="291">
        <v>1</v>
      </c>
      <c r="R349" s="291" t="s">
        <v>496</v>
      </c>
      <c r="S349" s="291">
        <v>100</v>
      </c>
      <c r="T349" s="307">
        <v>4472026</v>
      </c>
      <c r="U349" s="307">
        <v>0</v>
      </c>
      <c r="V349" s="291">
        <v>300</v>
      </c>
      <c r="W349" s="307">
        <v>26981416</v>
      </c>
      <c r="X349" s="291">
        <v>14</v>
      </c>
      <c r="Y349" s="291">
        <v>1160902010</v>
      </c>
      <c r="Z349" s="291">
        <v>2023</v>
      </c>
      <c r="AA349" s="291">
        <v>12</v>
      </c>
      <c r="AB349" s="291">
        <v>5026003002</v>
      </c>
      <c r="AC349" s="291">
        <v>1160903005</v>
      </c>
      <c r="AD349" s="291">
        <v>0</v>
      </c>
      <c r="AE349" s="291">
        <v>0</v>
      </c>
      <c r="AF349" s="291">
        <v>0</v>
      </c>
      <c r="AG349" s="291">
        <v>1160605001</v>
      </c>
      <c r="AH349" s="291">
        <v>1014</v>
      </c>
      <c r="AI349" s="291" t="s">
        <v>499</v>
      </c>
      <c r="AJ349" s="308">
        <v>0.05</v>
      </c>
      <c r="AK349" s="309">
        <f t="shared" si="55"/>
        <v>223601.30000000002</v>
      </c>
      <c r="AL349" s="309">
        <f t="shared" si="56"/>
        <v>223601.30000000002</v>
      </c>
      <c r="AM349" s="309">
        <f t="shared" si="56"/>
        <v>223601.30000000002</v>
      </c>
      <c r="AN349" s="309"/>
      <c r="AO349" s="309"/>
      <c r="AP349" s="309">
        <f t="shared" si="51"/>
        <v>0</v>
      </c>
      <c r="AQ349" s="309">
        <f t="shared" si="58"/>
        <v>0</v>
      </c>
      <c r="AR349" s="309">
        <f t="shared" si="58"/>
        <v>0</v>
      </c>
      <c r="AS349" s="309"/>
      <c r="AT349" s="309"/>
      <c r="AV349" s="311">
        <f t="shared" si="52"/>
        <v>3801222.1000000006</v>
      </c>
      <c r="AW349" s="311">
        <f t="shared" si="53"/>
        <v>0</v>
      </c>
      <c r="AX349" s="312">
        <f t="shared" si="54"/>
        <v>0</v>
      </c>
    </row>
    <row r="350" spans="1:51">
      <c r="A350" s="291" t="s">
        <v>494</v>
      </c>
      <c r="B350" s="291"/>
      <c r="C350" s="291"/>
      <c r="D350" s="291">
        <v>1160505004</v>
      </c>
      <c r="E350" s="291">
        <v>30484</v>
      </c>
      <c r="F350" s="291">
        <v>35091</v>
      </c>
      <c r="G350" s="306">
        <v>41719</v>
      </c>
      <c r="H350" s="306">
        <v>42815</v>
      </c>
      <c r="I350" s="291">
        <v>2441</v>
      </c>
      <c r="J350" s="307">
        <v>10049500</v>
      </c>
      <c r="K350" s="307">
        <v>3288684</v>
      </c>
      <c r="L350" s="307">
        <v>0</v>
      </c>
      <c r="M350" s="291" t="s">
        <v>495</v>
      </c>
      <c r="N350" s="307">
        <v>10049500</v>
      </c>
      <c r="O350" s="307">
        <v>3288684</v>
      </c>
      <c r="P350" s="307">
        <v>12265415</v>
      </c>
      <c r="Q350" s="291">
        <v>1</v>
      </c>
      <c r="R350" s="291" t="s">
        <v>496</v>
      </c>
      <c r="S350" s="291">
        <v>100</v>
      </c>
      <c r="T350" s="307">
        <v>10049500</v>
      </c>
      <c r="U350" s="307">
        <v>3288684</v>
      </c>
      <c r="V350" s="291">
        <v>300</v>
      </c>
      <c r="W350" s="307">
        <v>6279229</v>
      </c>
      <c r="X350" s="291">
        <v>5</v>
      </c>
      <c r="Y350" s="291">
        <v>1160902010</v>
      </c>
      <c r="Z350" s="291">
        <v>2023</v>
      </c>
      <c r="AA350" s="291">
        <v>12</v>
      </c>
      <c r="AB350" s="291">
        <v>5026003002</v>
      </c>
      <c r="AC350" s="291">
        <v>1160903005</v>
      </c>
      <c r="AD350" s="291">
        <v>0</v>
      </c>
      <c r="AE350" s="291">
        <v>0</v>
      </c>
      <c r="AF350" s="291">
        <v>0</v>
      </c>
      <c r="AG350" s="291">
        <v>1160605001</v>
      </c>
      <c r="AH350" s="291">
        <v>3242</v>
      </c>
      <c r="AI350" s="291" t="s">
        <v>497</v>
      </c>
      <c r="AJ350" s="308">
        <v>0.01</v>
      </c>
      <c r="AK350" s="309">
        <f t="shared" si="55"/>
        <v>100495</v>
      </c>
      <c r="AL350" s="309">
        <f t="shared" si="56"/>
        <v>100495</v>
      </c>
      <c r="AM350" s="309">
        <f t="shared" si="56"/>
        <v>100495</v>
      </c>
      <c r="AN350" s="309"/>
      <c r="AO350" s="309"/>
      <c r="AP350" s="309">
        <f t="shared" si="51"/>
        <v>16443.420000000002</v>
      </c>
      <c r="AQ350" s="309">
        <f t="shared" si="58"/>
        <v>16443.420000000002</v>
      </c>
      <c r="AR350" s="309">
        <f t="shared" si="58"/>
        <v>16443.420000000002</v>
      </c>
      <c r="AS350" s="309"/>
      <c r="AT350" s="309"/>
      <c r="AV350" s="311">
        <f t="shared" si="52"/>
        <v>9748015</v>
      </c>
      <c r="AW350" s="311">
        <f t="shared" si="53"/>
        <v>3239353.74</v>
      </c>
      <c r="AX350" s="312">
        <f t="shared" si="54"/>
        <v>0</v>
      </c>
    </row>
    <row r="351" spans="1:51">
      <c r="A351" s="291" t="s">
        <v>494</v>
      </c>
      <c r="B351" s="291"/>
      <c r="C351" s="291"/>
      <c r="D351" s="291">
        <v>1160505005</v>
      </c>
      <c r="E351" s="291">
        <v>0</v>
      </c>
      <c r="F351" s="291">
        <v>35296</v>
      </c>
      <c r="G351" s="306">
        <v>41739</v>
      </c>
      <c r="H351" s="306">
        <v>42003</v>
      </c>
      <c r="I351" s="291">
        <v>3242</v>
      </c>
      <c r="J351" s="307">
        <v>3771337</v>
      </c>
      <c r="K351" s="307">
        <v>0</v>
      </c>
      <c r="L351" s="307">
        <v>0</v>
      </c>
      <c r="M351" s="291" t="s">
        <v>495</v>
      </c>
      <c r="N351" s="307">
        <v>3771337</v>
      </c>
      <c r="O351" s="307">
        <v>0</v>
      </c>
      <c r="P351" s="307">
        <v>6113337</v>
      </c>
      <c r="Q351" s="291">
        <v>1</v>
      </c>
      <c r="R351" s="291" t="s">
        <v>496</v>
      </c>
      <c r="S351" s="291">
        <v>100</v>
      </c>
      <c r="T351" s="307">
        <v>3771337</v>
      </c>
      <c r="U351" s="307">
        <v>0</v>
      </c>
      <c r="V351" s="291">
        <v>300</v>
      </c>
      <c r="W351" s="307">
        <v>6279229</v>
      </c>
      <c r="X351" s="291">
        <v>13</v>
      </c>
      <c r="Y351" s="291">
        <v>1160902010</v>
      </c>
      <c r="Z351" s="291">
        <v>2023</v>
      </c>
      <c r="AA351" s="291">
        <v>12</v>
      </c>
      <c r="AB351" s="291">
        <v>5026003002</v>
      </c>
      <c r="AC351" s="291">
        <v>1160903005</v>
      </c>
      <c r="AD351" s="291">
        <v>0</v>
      </c>
      <c r="AE351" s="291">
        <v>0</v>
      </c>
      <c r="AF351" s="291">
        <v>0</v>
      </c>
      <c r="AG351" s="291">
        <v>1160605001</v>
      </c>
      <c r="AH351" s="291">
        <v>3242</v>
      </c>
      <c r="AI351" s="291" t="s">
        <v>497</v>
      </c>
      <c r="AJ351" s="308">
        <v>0.01</v>
      </c>
      <c r="AK351" s="309">
        <f t="shared" si="55"/>
        <v>37713.370000000003</v>
      </c>
      <c r="AL351" s="309">
        <f t="shared" si="56"/>
        <v>37713.370000000003</v>
      </c>
      <c r="AM351" s="309">
        <f t="shared" si="56"/>
        <v>37713.370000000003</v>
      </c>
      <c r="AN351" s="309"/>
      <c r="AO351" s="309"/>
      <c r="AP351" s="309">
        <f t="shared" si="51"/>
        <v>0</v>
      </c>
      <c r="AQ351" s="309">
        <f t="shared" si="58"/>
        <v>0</v>
      </c>
      <c r="AR351" s="309">
        <f t="shared" si="58"/>
        <v>0</v>
      </c>
      <c r="AS351" s="309"/>
      <c r="AT351" s="309"/>
      <c r="AV351" s="311">
        <f t="shared" si="52"/>
        <v>3658196.8899999997</v>
      </c>
      <c r="AW351" s="311">
        <f t="shared" si="53"/>
        <v>0</v>
      </c>
      <c r="AX351" s="312">
        <f t="shared" si="54"/>
        <v>0</v>
      </c>
    </row>
    <row r="352" spans="1:51">
      <c r="A352" s="291" t="s">
        <v>494</v>
      </c>
      <c r="B352" s="291"/>
      <c r="C352" s="291"/>
      <c r="D352" s="291">
        <v>1160505001</v>
      </c>
      <c r="E352" s="291">
        <v>0</v>
      </c>
      <c r="F352" s="291">
        <v>45880</v>
      </c>
      <c r="G352" s="306">
        <v>43498</v>
      </c>
      <c r="H352" s="306">
        <v>44594</v>
      </c>
      <c r="I352" s="291">
        <v>690</v>
      </c>
      <c r="J352" s="307">
        <v>4200000</v>
      </c>
      <c r="K352" s="307">
        <v>1134000</v>
      </c>
      <c r="L352" s="307">
        <v>0</v>
      </c>
      <c r="M352" s="291" t="s">
        <v>495</v>
      </c>
      <c r="N352" s="307">
        <v>4200000</v>
      </c>
      <c r="O352" s="307">
        <v>1134000</v>
      </c>
      <c r="P352" s="307">
        <v>1449000</v>
      </c>
      <c r="Q352" s="291">
        <v>1</v>
      </c>
      <c r="R352" s="291" t="s">
        <v>496</v>
      </c>
      <c r="S352" s="291">
        <v>100</v>
      </c>
      <c r="T352" s="307">
        <v>4200000</v>
      </c>
      <c r="U352" s="307">
        <v>1134000</v>
      </c>
      <c r="V352" s="291">
        <v>100</v>
      </c>
      <c r="W352" s="307">
        <v>7447589</v>
      </c>
      <c r="X352" s="291">
        <v>2</v>
      </c>
      <c r="Y352" s="291">
        <v>1160902010</v>
      </c>
      <c r="Z352" s="291">
        <v>2023</v>
      </c>
      <c r="AA352" s="291">
        <v>12</v>
      </c>
      <c r="AB352" s="291">
        <v>5026003002</v>
      </c>
      <c r="AC352" s="291">
        <v>1160903005</v>
      </c>
      <c r="AD352" s="291">
        <v>0</v>
      </c>
      <c r="AE352" s="291">
        <v>0</v>
      </c>
      <c r="AF352" s="291">
        <v>0</v>
      </c>
      <c r="AG352" s="291">
        <v>1160605001</v>
      </c>
      <c r="AH352" s="291">
        <v>690</v>
      </c>
      <c r="AI352" s="291" t="s">
        <v>498</v>
      </c>
      <c r="AJ352" s="308">
        <v>0.1</v>
      </c>
      <c r="AK352" s="309">
        <f t="shared" si="55"/>
        <v>420000</v>
      </c>
      <c r="AL352" s="309">
        <f t="shared" si="56"/>
        <v>420000</v>
      </c>
      <c r="AM352" s="309">
        <f t="shared" si="56"/>
        <v>420000</v>
      </c>
      <c r="AN352" s="309"/>
      <c r="AO352" s="309"/>
      <c r="AP352" s="309">
        <f t="shared" si="51"/>
        <v>56700</v>
      </c>
      <c r="AQ352" s="309">
        <f t="shared" si="58"/>
        <v>56700</v>
      </c>
      <c r="AR352" s="309">
        <f t="shared" si="58"/>
        <v>56700</v>
      </c>
      <c r="AS352" s="309"/>
      <c r="AT352" s="309"/>
      <c r="AV352" s="311">
        <f t="shared" si="52"/>
        <v>2940000</v>
      </c>
      <c r="AW352" s="311">
        <f t="shared" si="53"/>
        <v>963900</v>
      </c>
      <c r="AX352" s="312">
        <f t="shared" si="54"/>
        <v>0</v>
      </c>
    </row>
    <row r="353" spans="1:50">
      <c r="A353" s="291" t="s">
        <v>494</v>
      </c>
      <c r="B353" s="291"/>
      <c r="C353" s="291"/>
      <c r="D353" s="291">
        <v>1160405001</v>
      </c>
      <c r="E353" s="291">
        <v>0</v>
      </c>
      <c r="F353" s="291">
        <v>39211</v>
      </c>
      <c r="G353" s="306">
        <v>42415</v>
      </c>
      <c r="H353" s="306">
        <v>43876</v>
      </c>
      <c r="I353" s="291">
        <v>1397</v>
      </c>
      <c r="J353" s="307">
        <v>20994687</v>
      </c>
      <c r="K353" s="307">
        <v>1716314</v>
      </c>
      <c r="L353" s="307">
        <v>0</v>
      </c>
      <c r="M353" s="291" t="s">
        <v>495</v>
      </c>
      <c r="N353" s="307">
        <v>20994687</v>
      </c>
      <c r="O353" s="307">
        <v>1716314</v>
      </c>
      <c r="P353" s="307">
        <v>14664789</v>
      </c>
      <c r="Q353" s="291">
        <v>2</v>
      </c>
      <c r="R353" s="291" t="s">
        <v>496</v>
      </c>
      <c r="S353" s="291">
        <v>100</v>
      </c>
      <c r="T353" s="307">
        <v>20994687</v>
      </c>
      <c r="U353" s="307">
        <v>1716314</v>
      </c>
      <c r="V353" s="291">
        <v>100</v>
      </c>
      <c r="W353" s="307">
        <v>94587852</v>
      </c>
      <c r="X353" s="291">
        <v>2</v>
      </c>
      <c r="Y353" s="291">
        <v>1160902009</v>
      </c>
      <c r="Z353" s="291">
        <v>2023</v>
      </c>
      <c r="AA353" s="291">
        <v>12</v>
      </c>
      <c r="AB353" s="291">
        <v>5026003002</v>
      </c>
      <c r="AC353" s="291">
        <v>1160903005</v>
      </c>
      <c r="AD353" s="291">
        <v>0</v>
      </c>
      <c r="AE353" s="291">
        <v>0</v>
      </c>
      <c r="AF353" s="291">
        <v>1</v>
      </c>
      <c r="AG353" s="291">
        <v>1160605001</v>
      </c>
      <c r="AH353" s="291">
        <v>1400</v>
      </c>
      <c r="AI353" s="291" t="s">
        <v>497</v>
      </c>
      <c r="AJ353" s="308">
        <v>0.01</v>
      </c>
      <c r="AK353" s="309">
        <f t="shared" si="55"/>
        <v>209946.87</v>
      </c>
      <c r="AL353" s="309">
        <f t="shared" si="56"/>
        <v>209946.87</v>
      </c>
      <c r="AM353" s="309">
        <f t="shared" si="56"/>
        <v>209946.87</v>
      </c>
      <c r="AN353" s="309"/>
      <c r="AO353" s="309"/>
      <c r="AP353" s="309">
        <f t="shared" si="51"/>
        <v>8581.57</v>
      </c>
      <c r="AQ353" s="309">
        <f t="shared" si="58"/>
        <v>8581.57</v>
      </c>
      <c r="AR353" s="309">
        <f t="shared" si="58"/>
        <v>8581.57</v>
      </c>
      <c r="AS353" s="309"/>
      <c r="AT353" s="309"/>
      <c r="AV353" s="311">
        <f t="shared" si="52"/>
        <v>20364846.389999997</v>
      </c>
      <c r="AW353" s="311">
        <f t="shared" si="53"/>
        <v>1690569.2899999998</v>
      </c>
      <c r="AX353" s="312">
        <f t="shared" si="54"/>
        <v>0</v>
      </c>
    </row>
    <row r="354" spans="1:50">
      <c r="A354" s="291" t="s">
        <v>494</v>
      </c>
      <c r="B354" s="291"/>
      <c r="C354" s="291"/>
      <c r="D354" s="291">
        <v>1160405001</v>
      </c>
      <c r="E354" s="291">
        <v>0</v>
      </c>
      <c r="F354" s="291">
        <v>43662</v>
      </c>
      <c r="G354" s="306">
        <v>43143</v>
      </c>
      <c r="H354" s="306">
        <v>43873</v>
      </c>
      <c r="I354" s="291">
        <v>1400</v>
      </c>
      <c r="J354" s="307">
        <v>150000000</v>
      </c>
      <c r="K354" s="307">
        <v>17100000</v>
      </c>
      <c r="L354" s="307">
        <v>0</v>
      </c>
      <c r="M354" s="291" t="s">
        <v>495</v>
      </c>
      <c r="N354" s="307">
        <v>150000000</v>
      </c>
      <c r="O354" s="307">
        <v>17100000</v>
      </c>
      <c r="P354" s="307">
        <v>105000000</v>
      </c>
      <c r="Q354" s="291">
        <v>2</v>
      </c>
      <c r="R354" s="291" t="s">
        <v>496</v>
      </c>
      <c r="S354" s="291">
        <v>100</v>
      </c>
      <c r="T354" s="307">
        <v>150000000</v>
      </c>
      <c r="U354" s="307">
        <v>17100000</v>
      </c>
      <c r="V354" s="291">
        <v>300</v>
      </c>
      <c r="W354" s="307">
        <v>94587852</v>
      </c>
      <c r="X354" s="291">
        <v>2</v>
      </c>
      <c r="Y354" s="291">
        <v>1160902009</v>
      </c>
      <c r="Z354" s="291">
        <v>2023</v>
      </c>
      <c r="AA354" s="291">
        <v>12</v>
      </c>
      <c r="AB354" s="291">
        <v>5026003002</v>
      </c>
      <c r="AC354" s="291">
        <v>1160903005</v>
      </c>
      <c r="AD354" s="291">
        <v>0</v>
      </c>
      <c r="AE354" s="291">
        <v>0</v>
      </c>
      <c r="AF354" s="291">
        <v>1</v>
      </c>
      <c r="AG354" s="291">
        <v>1160605001</v>
      </c>
      <c r="AH354" s="291">
        <v>1400</v>
      </c>
      <c r="AI354" s="291" t="s">
        <v>497</v>
      </c>
      <c r="AJ354" s="308">
        <v>0.01</v>
      </c>
      <c r="AK354" s="309">
        <f t="shared" si="55"/>
        <v>1500000</v>
      </c>
      <c r="AL354" s="309">
        <f t="shared" si="56"/>
        <v>1500000</v>
      </c>
      <c r="AM354" s="309">
        <f t="shared" si="56"/>
        <v>1500000</v>
      </c>
      <c r="AN354" s="309"/>
      <c r="AO354" s="309"/>
      <c r="AP354" s="309">
        <f t="shared" si="51"/>
        <v>85500</v>
      </c>
      <c r="AQ354" s="309">
        <f t="shared" si="58"/>
        <v>85500</v>
      </c>
      <c r="AR354" s="309">
        <f t="shared" si="58"/>
        <v>85500</v>
      </c>
      <c r="AS354" s="309"/>
      <c r="AT354" s="309"/>
      <c r="AV354" s="311">
        <f t="shared" si="52"/>
        <v>145500000</v>
      </c>
      <c r="AW354" s="311">
        <f t="shared" si="53"/>
        <v>16843500</v>
      </c>
      <c r="AX354" s="312">
        <f t="shared" si="54"/>
        <v>0</v>
      </c>
    </row>
    <row r="355" spans="1:50">
      <c r="A355" s="291" t="s">
        <v>494</v>
      </c>
      <c r="B355" s="291"/>
      <c r="C355" s="291"/>
      <c r="D355" s="291">
        <v>1160405001</v>
      </c>
      <c r="E355" s="291">
        <v>0</v>
      </c>
      <c r="F355" s="291">
        <v>45922</v>
      </c>
      <c r="G355" s="306">
        <v>43499</v>
      </c>
      <c r="H355" s="306">
        <v>44595</v>
      </c>
      <c r="I355" s="291">
        <v>689</v>
      </c>
      <c r="J355" s="307">
        <v>120000000</v>
      </c>
      <c r="K355" s="307">
        <v>43200000</v>
      </c>
      <c r="L355" s="307">
        <v>0</v>
      </c>
      <c r="M355" s="291" t="s">
        <v>495</v>
      </c>
      <c r="N355" s="307">
        <v>120000000</v>
      </c>
      <c r="O355" s="307">
        <v>43200000</v>
      </c>
      <c r="P355" s="307">
        <v>41340000</v>
      </c>
      <c r="Q355" s="291">
        <v>2</v>
      </c>
      <c r="R355" s="291" t="s">
        <v>496</v>
      </c>
      <c r="S355" s="291">
        <v>100</v>
      </c>
      <c r="T355" s="307">
        <v>120000000</v>
      </c>
      <c r="U355" s="307">
        <v>43200000</v>
      </c>
      <c r="V355" s="291">
        <v>300</v>
      </c>
      <c r="W355" s="307">
        <v>94587852</v>
      </c>
      <c r="X355" s="291">
        <v>2</v>
      </c>
      <c r="Y355" s="291">
        <v>1160902009</v>
      </c>
      <c r="Z355" s="291">
        <v>2023</v>
      </c>
      <c r="AA355" s="291">
        <v>12</v>
      </c>
      <c r="AB355" s="291">
        <v>5026003002</v>
      </c>
      <c r="AC355" s="291">
        <v>1160903005</v>
      </c>
      <c r="AD355" s="291">
        <v>0</v>
      </c>
      <c r="AE355" s="291">
        <v>0</v>
      </c>
      <c r="AF355" s="291">
        <v>1</v>
      </c>
      <c r="AG355" s="291">
        <v>1160605001</v>
      </c>
      <c r="AH355" s="291">
        <v>1400</v>
      </c>
      <c r="AI355" s="291" t="s">
        <v>497</v>
      </c>
      <c r="AJ355" s="308">
        <v>0.01</v>
      </c>
      <c r="AK355" s="309">
        <f t="shared" si="55"/>
        <v>1200000</v>
      </c>
      <c r="AL355" s="309">
        <f t="shared" si="56"/>
        <v>1200000</v>
      </c>
      <c r="AM355" s="309">
        <f t="shared" si="56"/>
        <v>1200000</v>
      </c>
      <c r="AN355" s="309"/>
      <c r="AO355" s="309"/>
      <c r="AP355" s="309">
        <f t="shared" si="51"/>
        <v>216000</v>
      </c>
      <c r="AQ355" s="309">
        <f t="shared" si="58"/>
        <v>216000</v>
      </c>
      <c r="AR355" s="309">
        <f t="shared" si="58"/>
        <v>216000</v>
      </c>
      <c r="AS355" s="309"/>
      <c r="AT355" s="309"/>
      <c r="AV355" s="311">
        <f t="shared" si="52"/>
        <v>116400000</v>
      </c>
      <c r="AW355" s="311">
        <f t="shared" si="53"/>
        <v>42552000</v>
      </c>
      <c r="AX355" s="312">
        <f t="shared" si="54"/>
        <v>0</v>
      </c>
    </row>
    <row r="356" spans="1:50">
      <c r="A356" s="291" t="s">
        <v>494</v>
      </c>
      <c r="B356" s="291"/>
      <c r="C356" s="291"/>
      <c r="D356" s="291">
        <v>1160505001</v>
      </c>
      <c r="E356" s="291">
        <v>0</v>
      </c>
      <c r="F356" s="291">
        <v>34905</v>
      </c>
      <c r="G356" s="306">
        <v>41705</v>
      </c>
      <c r="H356" s="306">
        <v>42801</v>
      </c>
      <c r="I356" s="291">
        <v>2455</v>
      </c>
      <c r="J356" s="307">
        <v>894000</v>
      </c>
      <c r="K356" s="307">
        <v>295020</v>
      </c>
      <c r="L356" s="307">
        <v>0</v>
      </c>
      <c r="M356" s="291" t="s">
        <v>495</v>
      </c>
      <c r="N356" s="307">
        <v>894000</v>
      </c>
      <c r="O356" s="307">
        <v>295020</v>
      </c>
      <c r="P356" s="307">
        <v>1097385</v>
      </c>
      <c r="Q356" s="291">
        <v>1</v>
      </c>
      <c r="R356" s="291" t="s">
        <v>496</v>
      </c>
      <c r="S356" s="291">
        <v>100</v>
      </c>
      <c r="T356" s="307">
        <v>894000</v>
      </c>
      <c r="U356" s="307">
        <v>295020</v>
      </c>
      <c r="V356" s="291">
        <v>300</v>
      </c>
      <c r="W356" s="307">
        <v>906360</v>
      </c>
      <c r="X356" s="291">
        <v>2</v>
      </c>
      <c r="Y356" s="291">
        <v>1160902010</v>
      </c>
      <c r="Z356" s="291">
        <v>2023</v>
      </c>
      <c r="AA356" s="291">
        <v>12</v>
      </c>
      <c r="AB356" s="291">
        <v>5026003002</v>
      </c>
      <c r="AC356" s="291">
        <v>1160903005</v>
      </c>
      <c r="AD356" s="291">
        <v>0</v>
      </c>
      <c r="AE356" s="291">
        <v>0</v>
      </c>
      <c r="AF356" s="291">
        <v>0</v>
      </c>
      <c r="AG356" s="291">
        <v>1160605001</v>
      </c>
      <c r="AH356" s="291">
        <v>2455</v>
      </c>
      <c r="AI356" s="291" t="s">
        <v>497</v>
      </c>
      <c r="AJ356" s="308">
        <v>0.01</v>
      </c>
      <c r="AK356" s="309">
        <f t="shared" si="55"/>
        <v>8940</v>
      </c>
      <c r="AL356" s="309">
        <f t="shared" si="56"/>
        <v>8940</v>
      </c>
      <c r="AM356" s="309">
        <f t="shared" si="56"/>
        <v>8940</v>
      </c>
      <c r="AN356" s="309"/>
      <c r="AO356" s="309"/>
      <c r="AP356" s="309">
        <f t="shared" si="51"/>
        <v>1475.1000000000001</v>
      </c>
      <c r="AQ356" s="309">
        <f t="shared" si="58"/>
        <v>1475.1000000000001</v>
      </c>
      <c r="AR356" s="309">
        <f t="shared" si="58"/>
        <v>1475.1000000000001</v>
      </c>
      <c r="AS356" s="309"/>
      <c r="AT356" s="309"/>
      <c r="AV356" s="311">
        <f t="shared" si="52"/>
        <v>867180</v>
      </c>
      <c r="AW356" s="311">
        <f t="shared" si="53"/>
        <v>290594.70000000007</v>
      </c>
      <c r="AX356" s="312">
        <f t="shared" si="54"/>
        <v>0</v>
      </c>
    </row>
    <row r="357" spans="1:50">
      <c r="A357" s="291" t="s">
        <v>494</v>
      </c>
      <c r="B357" s="291"/>
      <c r="C357" s="291"/>
      <c r="D357" s="291">
        <v>1160505002</v>
      </c>
      <c r="E357" s="291">
        <v>0</v>
      </c>
      <c r="F357" s="291">
        <v>34906</v>
      </c>
      <c r="G357" s="306">
        <v>41705</v>
      </c>
      <c r="H357" s="306">
        <v>42801</v>
      </c>
      <c r="I357" s="291">
        <v>2455</v>
      </c>
      <c r="J357" s="307">
        <v>799200</v>
      </c>
      <c r="K357" s="307">
        <v>263736</v>
      </c>
      <c r="L357" s="307">
        <v>0</v>
      </c>
      <c r="M357" s="291" t="s">
        <v>495</v>
      </c>
      <c r="N357" s="307">
        <v>799200</v>
      </c>
      <c r="O357" s="307">
        <v>263736</v>
      </c>
      <c r="P357" s="307">
        <v>981018</v>
      </c>
      <c r="Q357" s="291">
        <v>1</v>
      </c>
      <c r="R357" s="291" t="s">
        <v>496</v>
      </c>
      <c r="S357" s="291">
        <v>100</v>
      </c>
      <c r="T357" s="307">
        <v>799200</v>
      </c>
      <c r="U357" s="307">
        <v>263736</v>
      </c>
      <c r="V357" s="291">
        <v>300</v>
      </c>
      <c r="W357" s="307">
        <v>906360</v>
      </c>
      <c r="X357" s="291">
        <v>6</v>
      </c>
      <c r="Y357" s="291">
        <v>1160902010</v>
      </c>
      <c r="Z357" s="291">
        <v>2023</v>
      </c>
      <c r="AA357" s="291">
        <v>12</v>
      </c>
      <c r="AB357" s="291">
        <v>5026003002</v>
      </c>
      <c r="AC357" s="291">
        <v>1160903005</v>
      </c>
      <c r="AD357" s="291">
        <v>0</v>
      </c>
      <c r="AE357" s="291">
        <v>0</v>
      </c>
      <c r="AF357" s="291">
        <v>0</v>
      </c>
      <c r="AG357" s="291">
        <v>1160605001</v>
      </c>
      <c r="AH357" s="291">
        <v>2455</v>
      </c>
      <c r="AI357" s="291" t="s">
        <v>497</v>
      </c>
      <c r="AJ357" s="308">
        <v>0.01</v>
      </c>
      <c r="AK357" s="309">
        <f t="shared" si="55"/>
        <v>7992</v>
      </c>
      <c r="AL357" s="309">
        <f t="shared" si="56"/>
        <v>7992</v>
      </c>
      <c r="AM357" s="309">
        <f t="shared" si="56"/>
        <v>7992</v>
      </c>
      <c r="AN357" s="309"/>
      <c r="AO357" s="309"/>
      <c r="AP357" s="309">
        <f t="shared" si="51"/>
        <v>1318.68</v>
      </c>
      <c r="AQ357" s="309">
        <f t="shared" si="58"/>
        <v>1318.68</v>
      </c>
      <c r="AR357" s="309">
        <f t="shared" si="58"/>
        <v>1318.68</v>
      </c>
      <c r="AS357" s="309"/>
      <c r="AT357" s="309"/>
      <c r="AV357" s="311">
        <f t="shared" si="52"/>
        <v>775224</v>
      </c>
      <c r="AW357" s="311">
        <f t="shared" si="53"/>
        <v>259779.96000000002</v>
      </c>
      <c r="AX357" s="312">
        <f t="shared" si="54"/>
        <v>0</v>
      </c>
    </row>
    <row r="358" spans="1:50">
      <c r="A358" s="291" t="s">
        <v>494</v>
      </c>
      <c r="B358" s="291"/>
      <c r="C358" s="291"/>
      <c r="D358" s="291">
        <v>1160505001</v>
      </c>
      <c r="E358" s="291">
        <v>0</v>
      </c>
      <c r="F358" s="291">
        <v>31287</v>
      </c>
      <c r="G358" s="306">
        <v>41350</v>
      </c>
      <c r="H358" s="306">
        <v>41715</v>
      </c>
      <c r="I358" s="291">
        <v>3525</v>
      </c>
      <c r="J358" s="307">
        <v>4000000</v>
      </c>
      <c r="K358" s="307">
        <v>56986</v>
      </c>
      <c r="L358" s="307">
        <v>0</v>
      </c>
      <c r="M358" s="291" t="s">
        <v>495</v>
      </c>
      <c r="N358" s="307">
        <v>4000000</v>
      </c>
      <c r="O358" s="307">
        <v>56986</v>
      </c>
      <c r="P358" s="307">
        <v>7050000</v>
      </c>
      <c r="Q358" s="291">
        <v>1</v>
      </c>
      <c r="R358" s="291" t="s">
        <v>496</v>
      </c>
      <c r="S358" s="291">
        <v>100</v>
      </c>
      <c r="T358" s="307">
        <v>4000000</v>
      </c>
      <c r="U358" s="307">
        <v>56986</v>
      </c>
      <c r="V358" s="291">
        <v>300</v>
      </c>
      <c r="W358" s="307">
        <v>2643519</v>
      </c>
      <c r="X358" s="291">
        <v>2</v>
      </c>
      <c r="Y358" s="291">
        <v>1160902010</v>
      </c>
      <c r="Z358" s="291">
        <v>2023</v>
      </c>
      <c r="AA358" s="291">
        <v>12</v>
      </c>
      <c r="AB358" s="291">
        <v>5026003002</v>
      </c>
      <c r="AC358" s="291">
        <v>1160903005</v>
      </c>
      <c r="AD358" s="291">
        <v>0</v>
      </c>
      <c r="AE358" s="291">
        <v>0</v>
      </c>
      <c r="AF358" s="291">
        <v>0</v>
      </c>
      <c r="AG358" s="291">
        <v>1160605001</v>
      </c>
      <c r="AH358" s="291">
        <v>3525</v>
      </c>
      <c r="AI358" s="291" t="s">
        <v>497</v>
      </c>
      <c r="AJ358" s="308">
        <v>0.01</v>
      </c>
      <c r="AK358" s="309">
        <f t="shared" si="55"/>
        <v>40000</v>
      </c>
      <c r="AL358" s="309">
        <f t="shared" si="56"/>
        <v>40000</v>
      </c>
      <c r="AM358" s="309">
        <f t="shared" si="56"/>
        <v>40000</v>
      </c>
      <c r="AN358" s="309"/>
      <c r="AO358" s="309"/>
      <c r="AP358" s="309">
        <f t="shared" si="51"/>
        <v>284.93</v>
      </c>
      <c r="AQ358" s="309">
        <f t="shared" si="58"/>
        <v>284.93</v>
      </c>
      <c r="AR358" s="309">
        <f t="shared" si="58"/>
        <v>284.93</v>
      </c>
      <c r="AS358" s="309"/>
      <c r="AT358" s="309"/>
      <c r="AV358" s="311">
        <f t="shared" si="52"/>
        <v>3880000</v>
      </c>
      <c r="AW358" s="311">
        <f t="shared" si="53"/>
        <v>56131.21</v>
      </c>
      <c r="AX358" s="312">
        <f t="shared" si="54"/>
        <v>0</v>
      </c>
    </row>
    <row r="359" spans="1:50">
      <c r="A359" s="291" t="s">
        <v>494</v>
      </c>
      <c r="B359" s="291"/>
      <c r="C359" s="291"/>
      <c r="D359" s="291">
        <v>1160505001</v>
      </c>
      <c r="E359" s="291">
        <v>0</v>
      </c>
      <c r="F359" s="291">
        <v>46151</v>
      </c>
      <c r="G359" s="306">
        <v>43518</v>
      </c>
      <c r="H359" s="306">
        <v>44614</v>
      </c>
      <c r="I359" s="291">
        <v>670</v>
      </c>
      <c r="J359" s="307">
        <v>11400000</v>
      </c>
      <c r="K359" s="307">
        <v>0</v>
      </c>
      <c r="L359" s="307">
        <v>0</v>
      </c>
      <c r="M359" s="291" t="s">
        <v>495</v>
      </c>
      <c r="N359" s="307">
        <v>11400000</v>
      </c>
      <c r="O359" s="307">
        <v>0</v>
      </c>
      <c r="P359" s="307">
        <v>3819000</v>
      </c>
      <c r="Q359" s="291">
        <v>1</v>
      </c>
      <c r="R359" s="291" t="s">
        <v>496</v>
      </c>
      <c r="S359" s="291">
        <v>100</v>
      </c>
      <c r="T359" s="307">
        <v>11400000</v>
      </c>
      <c r="U359" s="307">
        <v>0</v>
      </c>
      <c r="V359" s="291">
        <v>300</v>
      </c>
      <c r="W359" s="307">
        <v>12560386</v>
      </c>
      <c r="X359" s="291">
        <v>2</v>
      </c>
      <c r="Y359" s="291">
        <v>1160902010</v>
      </c>
      <c r="Z359" s="291">
        <v>2023</v>
      </c>
      <c r="AA359" s="291">
        <v>12</v>
      </c>
      <c r="AB359" s="291">
        <v>5026003002</v>
      </c>
      <c r="AC359" s="291">
        <v>1160903005</v>
      </c>
      <c r="AD359" s="291">
        <v>0</v>
      </c>
      <c r="AE359" s="291">
        <v>0</v>
      </c>
      <c r="AF359" s="291">
        <v>0</v>
      </c>
      <c r="AG359" s="291">
        <v>1160605001</v>
      </c>
      <c r="AH359" s="291">
        <v>670</v>
      </c>
      <c r="AI359" s="291" t="s">
        <v>498</v>
      </c>
      <c r="AJ359" s="308">
        <v>0.1</v>
      </c>
      <c r="AK359" s="309">
        <f t="shared" si="55"/>
        <v>1140000</v>
      </c>
      <c r="AL359" s="309">
        <f t="shared" si="56"/>
        <v>1140000</v>
      </c>
      <c r="AM359" s="309">
        <f t="shared" si="56"/>
        <v>1140000</v>
      </c>
      <c r="AN359" s="309"/>
      <c r="AO359" s="309"/>
      <c r="AP359" s="309">
        <f t="shared" si="51"/>
        <v>0</v>
      </c>
      <c r="AQ359" s="309">
        <f t="shared" ref="AQ359:AR374" si="59">AP359</f>
        <v>0</v>
      </c>
      <c r="AR359" s="309">
        <f t="shared" si="59"/>
        <v>0</v>
      </c>
      <c r="AS359" s="309"/>
      <c r="AT359" s="309"/>
      <c r="AV359" s="311">
        <f t="shared" si="52"/>
        <v>7980000</v>
      </c>
      <c r="AW359" s="311">
        <f t="shared" si="53"/>
        <v>0</v>
      </c>
      <c r="AX359" s="312">
        <f t="shared" si="54"/>
        <v>0</v>
      </c>
    </row>
    <row r="360" spans="1:50">
      <c r="A360" s="291" t="s">
        <v>494</v>
      </c>
      <c r="B360" s="291"/>
      <c r="C360" s="291"/>
      <c r="D360" s="291">
        <v>1160505001</v>
      </c>
      <c r="E360" s="291">
        <v>0</v>
      </c>
      <c r="F360" s="291">
        <v>46479</v>
      </c>
      <c r="G360" s="306">
        <v>43552</v>
      </c>
      <c r="H360" s="306">
        <v>44648</v>
      </c>
      <c r="I360" s="291">
        <v>634</v>
      </c>
      <c r="J360" s="307">
        <v>8000000</v>
      </c>
      <c r="K360" s="307">
        <v>0</v>
      </c>
      <c r="L360" s="307">
        <v>0</v>
      </c>
      <c r="M360" s="291" t="s">
        <v>495</v>
      </c>
      <c r="N360" s="307">
        <v>8000000</v>
      </c>
      <c r="O360" s="307">
        <v>0</v>
      </c>
      <c r="P360" s="307">
        <v>2536000</v>
      </c>
      <c r="Q360" s="291">
        <v>1</v>
      </c>
      <c r="R360" s="291" t="s">
        <v>496</v>
      </c>
      <c r="S360" s="291">
        <v>100</v>
      </c>
      <c r="T360" s="307">
        <v>8000000</v>
      </c>
      <c r="U360" s="307">
        <v>0</v>
      </c>
      <c r="V360" s="291">
        <v>300</v>
      </c>
      <c r="W360" s="307">
        <v>5657294</v>
      </c>
      <c r="X360" s="291">
        <v>2</v>
      </c>
      <c r="Y360" s="291">
        <v>1160902010</v>
      </c>
      <c r="Z360" s="291">
        <v>2023</v>
      </c>
      <c r="AA360" s="291">
        <v>12</v>
      </c>
      <c r="AB360" s="291">
        <v>5026003002</v>
      </c>
      <c r="AC360" s="291">
        <v>1160903005</v>
      </c>
      <c r="AD360" s="291">
        <v>0</v>
      </c>
      <c r="AE360" s="291">
        <v>0</v>
      </c>
      <c r="AF360" s="291">
        <v>0</v>
      </c>
      <c r="AG360" s="291">
        <v>1160605001</v>
      </c>
      <c r="AH360" s="291">
        <v>634</v>
      </c>
      <c r="AI360" s="291" t="s">
        <v>498</v>
      </c>
      <c r="AJ360" s="308">
        <v>0.1</v>
      </c>
      <c r="AK360" s="309">
        <f t="shared" si="55"/>
        <v>800000</v>
      </c>
      <c r="AL360" s="309">
        <f t="shared" si="56"/>
        <v>800000</v>
      </c>
      <c r="AM360" s="309">
        <f t="shared" si="56"/>
        <v>800000</v>
      </c>
      <c r="AN360" s="309"/>
      <c r="AO360" s="309"/>
      <c r="AP360" s="309">
        <f t="shared" si="51"/>
        <v>0</v>
      </c>
      <c r="AQ360" s="309">
        <f t="shared" si="59"/>
        <v>0</v>
      </c>
      <c r="AR360" s="309">
        <f t="shared" si="59"/>
        <v>0</v>
      </c>
      <c r="AS360" s="309"/>
      <c r="AT360" s="309"/>
      <c r="AV360" s="311">
        <f t="shared" si="52"/>
        <v>5600000</v>
      </c>
      <c r="AW360" s="311">
        <f t="shared" si="53"/>
        <v>0</v>
      </c>
      <c r="AX360" s="312">
        <f t="shared" si="54"/>
        <v>0</v>
      </c>
    </row>
    <row r="361" spans="1:50">
      <c r="A361" s="291" t="s">
        <v>494</v>
      </c>
      <c r="B361" s="291"/>
      <c r="C361" s="291"/>
      <c r="D361" s="291">
        <v>1160505002</v>
      </c>
      <c r="E361" s="291">
        <v>0</v>
      </c>
      <c r="F361" s="291">
        <v>45410</v>
      </c>
      <c r="G361" s="306">
        <v>43402</v>
      </c>
      <c r="H361" s="306">
        <v>43767</v>
      </c>
      <c r="I361" s="291">
        <v>1503</v>
      </c>
      <c r="J361" s="307">
        <v>27120000</v>
      </c>
      <c r="K361" s="307">
        <v>4881600</v>
      </c>
      <c r="L361" s="307">
        <v>0</v>
      </c>
      <c r="M361" s="291" t="s">
        <v>495</v>
      </c>
      <c r="N361" s="307">
        <v>27120000</v>
      </c>
      <c r="O361" s="307">
        <v>4881600</v>
      </c>
      <c r="P361" s="307">
        <v>20380680</v>
      </c>
      <c r="Q361" s="291">
        <v>1</v>
      </c>
      <c r="R361" s="291" t="s">
        <v>496</v>
      </c>
      <c r="S361" s="291">
        <v>100</v>
      </c>
      <c r="T361" s="307">
        <v>27120000</v>
      </c>
      <c r="U361" s="307">
        <v>4881600</v>
      </c>
      <c r="V361" s="291">
        <v>300</v>
      </c>
      <c r="W361" s="307">
        <v>14350643</v>
      </c>
      <c r="X361" s="291">
        <v>6</v>
      </c>
      <c r="Y361" s="291">
        <v>1160902010</v>
      </c>
      <c r="Z361" s="291">
        <v>2023</v>
      </c>
      <c r="AA361" s="291">
        <v>12</v>
      </c>
      <c r="AB361" s="291">
        <v>5026003002</v>
      </c>
      <c r="AC361" s="291">
        <v>1160903005</v>
      </c>
      <c r="AD361" s="291">
        <v>0</v>
      </c>
      <c r="AE361" s="291">
        <v>0</v>
      </c>
      <c r="AF361" s="291">
        <v>0</v>
      </c>
      <c r="AG361" s="291">
        <v>1160605001</v>
      </c>
      <c r="AH361" s="291">
        <v>1503</v>
      </c>
      <c r="AI361" s="291" t="s">
        <v>497</v>
      </c>
      <c r="AJ361" s="308">
        <v>0.01</v>
      </c>
      <c r="AK361" s="309">
        <f t="shared" si="55"/>
        <v>271200</v>
      </c>
      <c r="AL361" s="309">
        <f t="shared" si="56"/>
        <v>271200</v>
      </c>
      <c r="AM361" s="309">
        <f t="shared" si="56"/>
        <v>271200</v>
      </c>
      <c r="AN361" s="309"/>
      <c r="AO361" s="309"/>
      <c r="AP361" s="309">
        <f t="shared" si="51"/>
        <v>24408</v>
      </c>
      <c r="AQ361" s="309">
        <f t="shared" si="59"/>
        <v>24408</v>
      </c>
      <c r="AR361" s="309">
        <f t="shared" si="59"/>
        <v>24408</v>
      </c>
      <c r="AS361" s="309"/>
      <c r="AT361" s="309"/>
      <c r="AV361" s="311">
        <f t="shared" si="52"/>
        <v>26306400</v>
      </c>
      <c r="AW361" s="311">
        <f t="shared" si="53"/>
        <v>4808376</v>
      </c>
      <c r="AX361" s="312">
        <f t="shared" si="54"/>
        <v>0</v>
      </c>
    </row>
    <row r="362" spans="1:50">
      <c r="A362" s="291" t="s">
        <v>494</v>
      </c>
      <c r="B362" s="291"/>
      <c r="C362" s="291"/>
      <c r="D362" s="291">
        <v>1160505001</v>
      </c>
      <c r="E362" s="291">
        <v>0</v>
      </c>
      <c r="F362" s="291">
        <v>46580</v>
      </c>
      <c r="G362" s="306">
        <v>43569</v>
      </c>
      <c r="H362" s="306">
        <v>44665</v>
      </c>
      <c r="I362" s="291">
        <v>618</v>
      </c>
      <c r="J362" s="307">
        <v>7089112</v>
      </c>
      <c r="K362" s="307">
        <v>0</v>
      </c>
      <c r="L362" s="307">
        <v>0</v>
      </c>
      <c r="M362" s="291" t="s">
        <v>495</v>
      </c>
      <c r="N362" s="307">
        <v>7089112</v>
      </c>
      <c r="O362" s="307">
        <v>0</v>
      </c>
      <c r="P362" s="307">
        <v>2190536</v>
      </c>
      <c r="Q362" s="291">
        <v>1</v>
      </c>
      <c r="R362" s="291" t="s">
        <v>496</v>
      </c>
      <c r="S362" s="291">
        <v>100</v>
      </c>
      <c r="T362" s="307">
        <v>7089112</v>
      </c>
      <c r="U362" s="307">
        <v>0</v>
      </c>
      <c r="V362" s="291">
        <v>300</v>
      </c>
      <c r="W362" s="307">
        <v>12458797</v>
      </c>
      <c r="X362" s="291">
        <v>2</v>
      </c>
      <c r="Y362" s="291">
        <v>1160902010</v>
      </c>
      <c r="Z362" s="291">
        <v>2023</v>
      </c>
      <c r="AA362" s="291">
        <v>12</v>
      </c>
      <c r="AB362" s="291">
        <v>5026003002</v>
      </c>
      <c r="AC362" s="291">
        <v>1160903005</v>
      </c>
      <c r="AD362" s="291">
        <v>0</v>
      </c>
      <c r="AE362" s="291">
        <v>0</v>
      </c>
      <c r="AF362" s="291">
        <v>0</v>
      </c>
      <c r="AG362" s="291">
        <v>1160605001</v>
      </c>
      <c r="AH362" s="291">
        <v>618</v>
      </c>
      <c r="AI362" s="291" t="s">
        <v>498</v>
      </c>
      <c r="AJ362" s="308">
        <v>0.1</v>
      </c>
      <c r="AK362" s="309">
        <f t="shared" si="55"/>
        <v>708911.20000000007</v>
      </c>
      <c r="AL362" s="309">
        <f t="shared" si="56"/>
        <v>708911.20000000007</v>
      </c>
      <c r="AM362" s="309">
        <f t="shared" si="56"/>
        <v>708911.20000000007</v>
      </c>
      <c r="AN362" s="309"/>
      <c r="AO362" s="309"/>
      <c r="AP362" s="309">
        <f t="shared" si="51"/>
        <v>0</v>
      </c>
      <c r="AQ362" s="309">
        <f t="shared" si="59"/>
        <v>0</v>
      </c>
      <c r="AR362" s="309">
        <f t="shared" si="59"/>
        <v>0</v>
      </c>
      <c r="AS362" s="309"/>
      <c r="AT362" s="309"/>
      <c r="AV362" s="311">
        <f t="shared" si="52"/>
        <v>4962378.3999999994</v>
      </c>
      <c r="AW362" s="311">
        <f t="shared" si="53"/>
        <v>0</v>
      </c>
      <c r="AX362" s="312">
        <f t="shared" si="54"/>
        <v>0</v>
      </c>
    </row>
    <row r="363" spans="1:50">
      <c r="A363" s="291" t="s">
        <v>494</v>
      </c>
      <c r="B363" s="291"/>
      <c r="C363" s="291"/>
      <c r="D363" s="291">
        <v>1160405003</v>
      </c>
      <c r="E363" s="291">
        <v>0</v>
      </c>
      <c r="F363" s="291">
        <v>33836</v>
      </c>
      <c r="G363" s="306">
        <v>41637</v>
      </c>
      <c r="H363" s="306">
        <v>42002</v>
      </c>
      <c r="I363" s="291">
        <v>3243</v>
      </c>
      <c r="J363" s="307">
        <v>140000000</v>
      </c>
      <c r="K363" s="307">
        <v>12600000</v>
      </c>
      <c r="L363" s="307">
        <v>0</v>
      </c>
      <c r="M363" s="291" t="s">
        <v>495</v>
      </c>
      <c r="N363" s="307">
        <v>140000000</v>
      </c>
      <c r="O363" s="307">
        <v>12600000</v>
      </c>
      <c r="P363" s="307">
        <v>227010000</v>
      </c>
      <c r="Q363" s="291">
        <v>2</v>
      </c>
      <c r="R363" s="291" t="s">
        <v>496</v>
      </c>
      <c r="S363" s="291">
        <v>100</v>
      </c>
      <c r="T363" s="307">
        <v>140000000</v>
      </c>
      <c r="U363" s="307">
        <v>12600000</v>
      </c>
      <c r="V363" s="291">
        <v>100</v>
      </c>
      <c r="W363" s="307">
        <v>38128089</v>
      </c>
      <c r="X363" s="291">
        <v>8</v>
      </c>
      <c r="Y363" s="291">
        <v>1160902009</v>
      </c>
      <c r="Z363" s="291">
        <v>2023</v>
      </c>
      <c r="AA363" s="291">
        <v>12</v>
      </c>
      <c r="AB363" s="291">
        <v>5026003002</v>
      </c>
      <c r="AC363" s="291">
        <v>1160903005</v>
      </c>
      <c r="AD363" s="291">
        <v>0</v>
      </c>
      <c r="AE363" s="291">
        <v>0</v>
      </c>
      <c r="AF363" s="291">
        <v>1</v>
      </c>
      <c r="AG363" s="291">
        <v>1160605001</v>
      </c>
      <c r="AH363" s="291">
        <v>3243</v>
      </c>
      <c r="AI363" s="291" t="s">
        <v>497</v>
      </c>
      <c r="AJ363" s="308">
        <v>0.01</v>
      </c>
      <c r="AK363" s="309">
        <f t="shared" si="55"/>
        <v>1400000</v>
      </c>
      <c r="AL363" s="309">
        <f t="shared" si="56"/>
        <v>1400000</v>
      </c>
      <c r="AM363" s="309">
        <f t="shared" si="56"/>
        <v>1400000</v>
      </c>
      <c r="AN363" s="309"/>
      <c r="AO363" s="309"/>
      <c r="AP363" s="309">
        <f t="shared" si="51"/>
        <v>63000</v>
      </c>
      <c r="AQ363" s="309">
        <f t="shared" si="59"/>
        <v>63000</v>
      </c>
      <c r="AR363" s="309">
        <f t="shared" si="59"/>
        <v>63000</v>
      </c>
      <c r="AS363" s="309"/>
      <c r="AT363" s="309"/>
      <c r="AV363" s="311">
        <f t="shared" si="52"/>
        <v>135800000</v>
      </c>
      <c r="AW363" s="311">
        <f t="shared" si="53"/>
        <v>12411000</v>
      </c>
      <c r="AX363" s="312">
        <f t="shared" si="54"/>
        <v>0</v>
      </c>
    </row>
    <row r="364" spans="1:50">
      <c r="A364" s="291" t="s">
        <v>494</v>
      </c>
      <c r="B364" s="291"/>
      <c r="C364" s="291"/>
      <c r="D364" s="291">
        <v>1160505001</v>
      </c>
      <c r="E364" s="291">
        <v>0</v>
      </c>
      <c r="F364" s="291">
        <v>45505</v>
      </c>
      <c r="G364" s="306">
        <v>43440</v>
      </c>
      <c r="H364" s="306">
        <v>44536</v>
      </c>
      <c r="I364" s="291">
        <v>746</v>
      </c>
      <c r="J364" s="307">
        <v>3878257</v>
      </c>
      <c r="K364" s="307">
        <v>28117</v>
      </c>
      <c r="L364" s="307">
        <v>0</v>
      </c>
      <c r="M364" s="291" t="s">
        <v>495</v>
      </c>
      <c r="N364" s="307">
        <v>3878257</v>
      </c>
      <c r="O364" s="307">
        <v>28117</v>
      </c>
      <c r="P364" s="307">
        <v>1446590</v>
      </c>
      <c r="Q364" s="291">
        <v>1</v>
      </c>
      <c r="R364" s="291" t="s">
        <v>496</v>
      </c>
      <c r="S364" s="291">
        <v>100</v>
      </c>
      <c r="T364" s="307">
        <v>3878257</v>
      </c>
      <c r="U364" s="307">
        <v>28117</v>
      </c>
      <c r="V364" s="291">
        <v>300</v>
      </c>
      <c r="W364" s="307">
        <v>2989061</v>
      </c>
      <c r="X364" s="291">
        <v>2</v>
      </c>
      <c r="Y364" s="291">
        <v>1160902010</v>
      </c>
      <c r="Z364" s="291">
        <v>2023</v>
      </c>
      <c r="AA364" s="291">
        <v>12</v>
      </c>
      <c r="AB364" s="291">
        <v>5026003002</v>
      </c>
      <c r="AC364" s="291">
        <v>1160903005</v>
      </c>
      <c r="AD364" s="291">
        <v>0</v>
      </c>
      <c r="AE364" s="291">
        <v>0</v>
      </c>
      <c r="AF364" s="291">
        <v>0</v>
      </c>
      <c r="AG364" s="291">
        <v>1160605001</v>
      </c>
      <c r="AH364" s="291">
        <v>746</v>
      </c>
      <c r="AI364" s="291" t="s">
        <v>499</v>
      </c>
      <c r="AJ364" s="308">
        <v>0.05</v>
      </c>
      <c r="AK364" s="309">
        <f t="shared" si="55"/>
        <v>193912.85</v>
      </c>
      <c r="AL364" s="309">
        <f t="shared" si="56"/>
        <v>193912.85</v>
      </c>
      <c r="AM364" s="309">
        <f t="shared" si="56"/>
        <v>193912.85</v>
      </c>
      <c r="AN364" s="309"/>
      <c r="AO364" s="309"/>
      <c r="AP364" s="309">
        <f t="shared" si="51"/>
        <v>702.92500000000007</v>
      </c>
      <c r="AQ364" s="309">
        <f t="shared" si="59"/>
        <v>702.92500000000007</v>
      </c>
      <c r="AR364" s="309">
        <f t="shared" si="59"/>
        <v>702.92500000000007</v>
      </c>
      <c r="AS364" s="309"/>
      <c r="AT364" s="309"/>
      <c r="AV364" s="311">
        <f t="shared" si="52"/>
        <v>3296518.4499999997</v>
      </c>
      <c r="AW364" s="311">
        <f t="shared" si="53"/>
        <v>26008.225000000002</v>
      </c>
      <c r="AX364" s="312">
        <f t="shared" si="54"/>
        <v>0</v>
      </c>
    </row>
    <row r="365" spans="1:50">
      <c r="A365" s="291" t="s">
        <v>494</v>
      </c>
      <c r="B365" s="291"/>
      <c r="C365" s="291"/>
      <c r="D365" s="291">
        <v>1160505001</v>
      </c>
      <c r="E365" s="291">
        <v>0</v>
      </c>
      <c r="F365" s="291">
        <v>46656</v>
      </c>
      <c r="G365" s="306">
        <v>43587</v>
      </c>
      <c r="H365" s="306">
        <v>44683</v>
      </c>
      <c r="I365" s="291">
        <v>600</v>
      </c>
      <c r="J365" s="307">
        <v>1332000</v>
      </c>
      <c r="K365" s="307">
        <v>41958</v>
      </c>
      <c r="L365" s="307">
        <v>0</v>
      </c>
      <c r="M365" s="291" t="s">
        <v>495</v>
      </c>
      <c r="N365" s="307">
        <v>1332000</v>
      </c>
      <c r="O365" s="307">
        <v>41958</v>
      </c>
      <c r="P365" s="307">
        <v>399600</v>
      </c>
      <c r="Q365" s="291">
        <v>1</v>
      </c>
      <c r="R365" s="291" t="s">
        <v>496</v>
      </c>
      <c r="S365" s="291">
        <v>100</v>
      </c>
      <c r="T365" s="307">
        <v>1332000</v>
      </c>
      <c r="U365" s="307">
        <v>41958</v>
      </c>
      <c r="V365" s="291">
        <v>300</v>
      </c>
      <c r="W365" s="307">
        <v>2989061</v>
      </c>
      <c r="X365" s="291">
        <v>2</v>
      </c>
      <c r="Y365" s="291">
        <v>1160902010</v>
      </c>
      <c r="Z365" s="291">
        <v>2023</v>
      </c>
      <c r="AA365" s="291">
        <v>12</v>
      </c>
      <c r="AB365" s="291">
        <v>5026003002</v>
      </c>
      <c r="AC365" s="291">
        <v>1160903005</v>
      </c>
      <c r="AD365" s="291">
        <v>0</v>
      </c>
      <c r="AE365" s="291">
        <v>0</v>
      </c>
      <c r="AF365" s="291">
        <v>0</v>
      </c>
      <c r="AG365" s="291">
        <v>1160605001</v>
      </c>
      <c r="AH365" s="291">
        <v>746</v>
      </c>
      <c r="AI365" s="291" t="s">
        <v>499</v>
      </c>
      <c r="AJ365" s="308">
        <v>0.05</v>
      </c>
      <c r="AK365" s="309">
        <f t="shared" si="55"/>
        <v>66600</v>
      </c>
      <c r="AL365" s="309">
        <f t="shared" si="56"/>
        <v>66600</v>
      </c>
      <c r="AM365" s="309">
        <f t="shared" si="56"/>
        <v>66600</v>
      </c>
      <c r="AN365" s="309"/>
      <c r="AO365" s="309"/>
      <c r="AP365" s="309">
        <f t="shared" si="51"/>
        <v>1048.95</v>
      </c>
      <c r="AQ365" s="309">
        <f t="shared" si="59"/>
        <v>1048.95</v>
      </c>
      <c r="AR365" s="309">
        <f t="shared" si="59"/>
        <v>1048.95</v>
      </c>
      <c r="AS365" s="309"/>
      <c r="AT365" s="309"/>
      <c r="AV365" s="311">
        <f t="shared" si="52"/>
        <v>1132200</v>
      </c>
      <c r="AW365" s="311">
        <f t="shared" si="53"/>
        <v>38811.150000000009</v>
      </c>
      <c r="AX365" s="312">
        <f t="shared" si="54"/>
        <v>0</v>
      </c>
    </row>
    <row r="366" spans="1:50">
      <c r="A366" s="291" t="s">
        <v>494</v>
      </c>
      <c r="B366" s="291"/>
      <c r="C366" s="291"/>
      <c r="D366" s="291">
        <v>1160505001</v>
      </c>
      <c r="E366" s="291">
        <v>0</v>
      </c>
      <c r="F366" s="291">
        <v>45917</v>
      </c>
      <c r="G366" s="306">
        <v>43499</v>
      </c>
      <c r="H366" s="306">
        <v>43864</v>
      </c>
      <c r="I366" s="291">
        <v>1409</v>
      </c>
      <c r="J366" s="307">
        <v>3900000</v>
      </c>
      <c r="K366" s="307">
        <v>351000</v>
      </c>
      <c r="L366" s="307">
        <v>0</v>
      </c>
      <c r="M366" s="291" t="s">
        <v>495</v>
      </c>
      <c r="N366" s="307">
        <v>3900000</v>
      </c>
      <c r="O366" s="307">
        <v>351000</v>
      </c>
      <c r="P366" s="307">
        <v>2747550</v>
      </c>
      <c r="Q366" s="291">
        <v>1</v>
      </c>
      <c r="R366" s="291" t="s">
        <v>496</v>
      </c>
      <c r="S366" s="291">
        <v>100</v>
      </c>
      <c r="T366" s="307">
        <v>3900000</v>
      </c>
      <c r="U366" s="307">
        <v>351000</v>
      </c>
      <c r="V366" s="291">
        <v>200</v>
      </c>
      <c r="W366" s="307">
        <v>5181935</v>
      </c>
      <c r="X366" s="291">
        <v>2</v>
      </c>
      <c r="Y366" s="291">
        <v>1160902010</v>
      </c>
      <c r="Z366" s="291">
        <v>2023</v>
      </c>
      <c r="AA366" s="291">
        <v>12</v>
      </c>
      <c r="AB366" s="291">
        <v>5026003002</v>
      </c>
      <c r="AC366" s="291">
        <v>1160903005</v>
      </c>
      <c r="AD366" s="291">
        <v>0</v>
      </c>
      <c r="AE366" s="291">
        <v>0</v>
      </c>
      <c r="AF366" s="291">
        <v>0</v>
      </c>
      <c r="AG366" s="291">
        <v>1160605001</v>
      </c>
      <c r="AH366" s="291">
        <v>1409</v>
      </c>
      <c r="AI366" s="291" t="s">
        <v>497</v>
      </c>
      <c r="AJ366" s="308">
        <v>0.01</v>
      </c>
      <c r="AK366" s="309">
        <f t="shared" si="55"/>
        <v>39000</v>
      </c>
      <c r="AL366" s="309">
        <f t="shared" si="56"/>
        <v>39000</v>
      </c>
      <c r="AM366" s="309">
        <f t="shared" si="56"/>
        <v>39000</v>
      </c>
      <c r="AN366" s="309"/>
      <c r="AO366" s="309"/>
      <c r="AP366" s="309">
        <f t="shared" si="51"/>
        <v>1755</v>
      </c>
      <c r="AQ366" s="309">
        <f t="shared" si="59"/>
        <v>1755</v>
      </c>
      <c r="AR366" s="309">
        <f t="shared" si="59"/>
        <v>1755</v>
      </c>
      <c r="AS366" s="309"/>
      <c r="AT366" s="309"/>
      <c r="AV366" s="311">
        <f t="shared" si="52"/>
        <v>3783000</v>
      </c>
      <c r="AW366" s="311">
        <f t="shared" si="53"/>
        <v>345735</v>
      </c>
      <c r="AX366" s="312">
        <f t="shared" si="54"/>
        <v>0</v>
      </c>
    </row>
    <row r="367" spans="1:50">
      <c r="A367" s="291" t="s">
        <v>494</v>
      </c>
      <c r="B367" s="291"/>
      <c r="C367" s="291"/>
      <c r="D367" s="291">
        <v>1160505002</v>
      </c>
      <c r="E367" s="291">
        <v>0</v>
      </c>
      <c r="F367" s="291">
        <v>45995</v>
      </c>
      <c r="G367" s="306">
        <v>43499</v>
      </c>
      <c r="H367" s="306">
        <v>43864</v>
      </c>
      <c r="I367" s="291">
        <v>1409</v>
      </c>
      <c r="J367" s="307">
        <v>1955000</v>
      </c>
      <c r="K367" s="307">
        <v>175955</v>
      </c>
      <c r="L367" s="307">
        <v>0</v>
      </c>
      <c r="M367" s="291" t="s">
        <v>495</v>
      </c>
      <c r="N367" s="307">
        <v>1955000</v>
      </c>
      <c r="O367" s="307">
        <v>175955</v>
      </c>
      <c r="P367" s="307">
        <v>1377298</v>
      </c>
      <c r="Q367" s="291">
        <v>1</v>
      </c>
      <c r="R367" s="291" t="s">
        <v>496</v>
      </c>
      <c r="S367" s="291">
        <v>100</v>
      </c>
      <c r="T367" s="307">
        <v>1955000</v>
      </c>
      <c r="U367" s="307">
        <v>175955</v>
      </c>
      <c r="V367" s="291">
        <v>200</v>
      </c>
      <c r="W367" s="307">
        <v>5181935</v>
      </c>
      <c r="X367" s="291">
        <v>6</v>
      </c>
      <c r="Y367" s="291">
        <v>1160902010</v>
      </c>
      <c r="Z367" s="291">
        <v>2023</v>
      </c>
      <c r="AA367" s="291">
        <v>12</v>
      </c>
      <c r="AB367" s="291">
        <v>5026003002</v>
      </c>
      <c r="AC367" s="291">
        <v>1160903005</v>
      </c>
      <c r="AD367" s="291">
        <v>0</v>
      </c>
      <c r="AE367" s="291">
        <v>0</v>
      </c>
      <c r="AF367" s="291">
        <v>0</v>
      </c>
      <c r="AG367" s="291">
        <v>1160605001</v>
      </c>
      <c r="AH367" s="291">
        <v>1409</v>
      </c>
      <c r="AI367" s="291" t="s">
        <v>497</v>
      </c>
      <c r="AJ367" s="308">
        <v>0.01</v>
      </c>
      <c r="AK367" s="309">
        <f t="shared" si="55"/>
        <v>19550</v>
      </c>
      <c r="AL367" s="309">
        <f t="shared" si="56"/>
        <v>19550</v>
      </c>
      <c r="AM367" s="309">
        <f t="shared" si="56"/>
        <v>19550</v>
      </c>
      <c r="AN367" s="309"/>
      <c r="AO367" s="309"/>
      <c r="AP367" s="309">
        <f t="shared" si="51"/>
        <v>879.77499999999998</v>
      </c>
      <c r="AQ367" s="309">
        <f t="shared" si="59"/>
        <v>879.77499999999998</v>
      </c>
      <c r="AR367" s="309">
        <f t="shared" si="59"/>
        <v>879.77499999999998</v>
      </c>
      <c r="AS367" s="309"/>
      <c r="AT367" s="309"/>
      <c r="AV367" s="311">
        <f t="shared" si="52"/>
        <v>1896350</v>
      </c>
      <c r="AW367" s="311">
        <f t="shared" si="53"/>
        <v>173315.67500000002</v>
      </c>
      <c r="AX367" s="312">
        <f t="shared" si="54"/>
        <v>0</v>
      </c>
    </row>
    <row r="368" spans="1:50">
      <c r="A368" s="291" t="s">
        <v>494</v>
      </c>
      <c r="B368" s="291"/>
      <c r="C368" s="291"/>
      <c r="D368" s="291">
        <v>1160505001</v>
      </c>
      <c r="E368" s="291">
        <v>0</v>
      </c>
      <c r="F368" s="291">
        <v>46210</v>
      </c>
      <c r="G368" s="306">
        <v>43521</v>
      </c>
      <c r="H368" s="306">
        <v>43886</v>
      </c>
      <c r="I368" s="291">
        <v>1387</v>
      </c>
      <c r="J368" s="307">
        <v>850000</v>
      </c>
      <c r="K368" s="307">
        <v>0</v>
      </c>
      <c r="L368" s="307">
        <v>0</v>
      </c>
      <c r="M368" s="291" t="s">
        <v>495</v>
      </c>
      <c r="N368" s="307">
        <v>850000</v>
      </c>
      <c r="O368" s="307">
        <v>0</v>
      </c>
      <c r="P368" s="307">
        <v>589475</v>
      </c>
      <c r="Q368" s="291">
        <v>1</v>
      </c>
      <c r="R368" s="291" t="s">
        <v>496</v>
      </c>
      <c r="S368" s="291">
        <v>100</v>
      </c>
      <c r="T368" s="307">
        <v>850000</v>
      </c>
      <c r="U368" s="307">
        <v>0</v>
      </c>
      <c r="V368" s="291">
        <v>100</v>
      </c>
      <c r="W368" s="307">
        <v>5949865</v>
      </c>
      <c r="X368" s="291">
        <v>2</v>
      </c>
      <c r="Y368" s="291">
        <v>1160902010</v>
      </c>
      <c r="Z368" s="291">
        <v>2023</v>
      </c>
      <c r="AA368" s="291">
        <v>12</v>
      </c>
      <c r="AB368" s="291">
        <v>5026003002</v>
      </c>
      <c r="AC368" s="291">
        <v>1160903005</v>
      </c>
      <c r="AD368" s="291">
        <v>0</v>
      </c>
      <c r="AE368" s="291">
        <v>0</v>
      </c>
      <c r="AF368" s="291">
        <v>0</v>
      </c>
      <c r="AG368" s="291">
        <v>1160605001</v>
      </c>
      <c r="AH368" s="291">
        <v>1387</v>
      </c>
      <c r="AI368" s="291" t="s">
        <v>497</v>
      </c>
      <c r="AJ368" s="308">
        <v>0.01</v>
      </c>
      <c r="AK368" s="309">
        <f t="shared" si="55"/>
        <v>8500</v>
      </c>
      <c r="AL368" s="309">
        <f t="shared" si="56"/>
        <v>8500</v>
      </c>
      <c r="AM368" s="309">
        <f t="shared" si="56"/>
        <v>8500</v>
      </c>
      <c r="AN368" s="309"/>
      <c r="AO368" s="309"/>
      <c r="AP368" s="309">
        <f t="shared" si="51"/>
        <v>0</v>
      </c>
      <c r="AQ368" s="309">
        <f t="shared" si="59"/>
        <v>0</v>
      </c>
      <c r="AR368" s="309">
        <f t="shared" si="59"/>
        <v>0</v>
      </c>
      <c r="AS368" s="309"/>
      <c r="AT368" s="309"/>
      <c r="AV368" s="311">
        <f t="shared" si="52"/>
        <v>824500</v>
      </c>
      <c r="AW368" s="311">
        <f t="shared" si="53"/>
        <v>0</v>
      </c>
      <c r="AX368" s="312">
        <f t="shared" si="54"/>
        <v>0</v>
      </c>
    </row>
    <row r="369" spans="1:50">
      <c r="A369" s="291" t="s">
        <v>494</v>
      </c>
      <c r="B369" s="291"/>
      <c r="C369" s="291"/>
      <c r="D369" s="291">
        <v>1160505001</v>
      </c>
      <c r="E369" s="291">
        <v>0</v>
      </c>
      <c r="F369" s="291">
        <v>43079</v>
      </c>
      <c r="G369" s="306">
        <v>43067</v>
      </c>
      <c r="H369" s="306">
        <v>44163</v>
      </c>
      <c r="I369" s="291">
        <v>1114</v>
      </c>
      <c r="J369" s="307">
        <v>6088000</v>
      </c>
      <c r="K369" s="307">
        <v>1155204</v>
      </c>
      <c r="L369" s="307">
        <v>0</v>
      </c>
      <c r="M369" s="291" t="s">
        <v>495</v>
      </c>
      <c r="N369" s="307">
        <v>6088000</v>
      </c>
      <c r="O369" s="307">
        <v>1155204</v>
      </c>
      <c r="P369" s="307">
        <v>3391016</v>
      </c>
      <c r="Q369" s="291">
        <v>1</v>
      </c>
      <c r="R369" s="291" t="s">
        <v>496</v>
      </c>
      <c r="S369" s="291">
        <v>100</v>
      </c>
      <c r="T369" s="307">
        <v>6088000</v>
      </c>
      <c r="U369" s="307">
        <v>1155204</v>
      </c>
      <c r="V369" s="291">
        <v>400</v>
      </c>
      <c r="W369" s="307">
        <v>3442269</v>
      </c>
      <c r="X369" s="291">
        <v>2</v>
      </c>
      <c r="Y369" s="291">
        <v>1160902010</v>
      </c>
      <c r="Z369" s="291">
        <v>2023</v>
      </c>
      <c r="AA369" s="291">
        <v>12</v>
      </c>
      <c r="AB369" s="291">
        <v>5026003002</v>
      </c>
      <c r="AC369" s="291">
        <v>1160903005</v>
      </c>
      <c r="AD369" s="291">
        <v>0</v>
      </c>
      <c r="AE369" s="291">
        <v>0</v>
      </c>
      <c r="AF369" s="291">
        <v>0</v>
      </c>
      <c r="AG369" s="291">
        <v>1160605001</v>
      </c>
      <c r="AH369" s="291">
        <v>1114</v>
      </c>
      <c r="AI369" s="291" t="s">
        <v>497</v>
      </c>
      <c r="AJ369" s="308">
        <v>0.01</v>
      </c>
      <c r="AK369" s="309">
        <f t="shared" si="55"/>
        <v>60880</v>
      </c>
      <c r="AL369" s="309">
        <f t="shared" si="56"/>
        <v>60880</v>
      </c>
      <c r="AM369" s="309">
        <f t="shared" si="56"/>
        <v>60880</v>
      </c>
      <c r="AN369" s="309"/>
      <c r="AO369" s="309"/>
      <c r="AP369" s="309">
        <f t="shared" si="51"/>
        <v>5776.02</v>
      </c>
      <c r="AQ369" s="309">
        <f t="shared" si="59"/>
        <v>5776.02</v>
      </c>
      <c r="AR369" s="309">
        <f t="shared" si="59"/>
        <v>5776.02</v>
      </c>
      <c r="AS369" s="309"/>
      <c r="AT369" s="309"/>
      <c r="AV369" s="311">
        <f t="shared" si="52"/>
        <v>5905360</v>
      </c>
      <c r="AW369" s="311">
        <f t="shared" si="53"/>
        <v>1137875.94</v>
      </c>
      <c r="AX369" s="312">
        <f t="shared" si="54"/>
        <v>0</v>
      </c>
    </row>
    <row r="370" spans="1:50">
      <c r="A370" s="291" t="s">
        <v>494</v>
      </c>
      <c r="B370" s="291"/>
      <c r="C370" s="291"/>
      <c r="D370" s="291">
        <v>1160505002</v>
      </c>
      <c r="E370" s="291">
        <v>0</v>
      </c>
      <c r="F370" s="291">
        <v>46310</v>
      </c>
      <c r="G370" s="306">
        <v>43525</v>
      </c>
      <c r="H370" s="306">
        <v>43891</v>
      </c>
      <c r="I370" s="291">
        <v>1381</v>
      </c>
      <c r="J370" s="307">
        <v>1972600</v>
      </c>
      <c r="K370" s="307">
        <v>0</v>
      </c>
      <c r="L370" s="307">
        <v>0</v>
      </c>
      <c r="M370" s="291" t="s">
        <v>495</v>
      </c>
      <c r="N370" s="307">
        <v>1972600</v>
      </c>
      <c r="O370" s="307">
        <v>0</v>
      </c>
      <c r="P370" s="307">
        <v>1362080</v>
      </c>
      <c r="Q370" s="291">
        <v>1</v>
      </c>
      <c r="R370" s="291" t="s">
        <v>496</v>
      </c>
      <c r="S370" s="291">
        <v>100</v>
      </c>
      <c r="T370" s="307">
        <v>1972600</v>
      </c>
      <c r="U370" s="307">
        <v>0</v>
      </c>
      <c r="V370" s="291">
        <v>100</v>
      </c>
      <c r="W370" s="307">
        <v>5768498</v>
      </c>
      <c r="X370" s="291">
        <v>6</v>
      </c>
      <c r="Y370" s="291">
        <v>1160902010</v>
      </c>
      <c r="Z370" s="291">
        <v>2023</v>
      </c>
      <c r="AA370" s="291">
        <v>12</v>
      </c>
      <c r="AB370" s="291">
        <v>5026003002</v>
      </c>
      <c r="AC370" s="291">
        <v>1160903005</v>
      </c>
      <c r="AD370" s="291">
        <v>0</v>
      </c>
      <c r="AE370" s="291">
        <v>0</v>
      </c>
      <c r="AF370" s="291">
        <v>0</v>
      </c>
      <c r="AG370" s="291">
        <v>1160605001</v>
      </c>
      <c r="AH370" s="291">
        <v>1381</v>
      </c>
      <c r="AI370" s="291" t="s">
        <v>497</v>
      </c>
      <c r="AJ370" s="308">
        <v>0.01</v>
      </c>
      <c r="AK370" s="309">
        <f t="shared" si="55"/>
        <v>19726</v>
      </c>
      <c r="AL370" s="309">
        <f t="shared" si="56"/>
        <v>19726</v>
      </c>
      <c r="AM370" s="309">
        <f t="shared" si="56"/>
        <v>19726</v>
      </c>
      <c r="AN370" s="309"/>
      <c r="AO370" s="309"/>
      <c r="AP370" s="309">
        <f t="shared" si="51"/>
        <v>0</v>
      </c>
      <c r="AQ370" s="309">
        <f t="shared" si="59"/>
        <v>0</v>
      </c>
      <c r="AR370" s="309">
        <f t="shared" si="59"/>
        <v>0</v>
      </c>
      <c r="AS370" s="309"/>
      <c r="AT370" s="309"/>
      <c r="AV370" s="311">
        <f t="shared" si="52"/>
        <v>1913422</v>
      </c>
      <c r="AW370" s="311">
        <f t="shared" si="53"/>
        <v>0</v>
      </c>
      <c r="AX370" s="312">
        <f t="shared" si="54"/>
        <v>0</v>
      </c>
    </row>
    <row r="371" spans="1:50">
      <c r="A371" s="291" t="s">
        <v>494</v>
      </c>
      <c r="B371" s="291"/>
      <c r="C371" s="291"/>
      <c r="D371" s="291">
        <v>1160505001</v>
      </c>
      <c r="E371" s="291">
        <v>0</v>
      </c>
      <c r="F371" s="291">
        <v>47336</v>
      </c>
      <c r="G371" s="306">
        <v>43731</v>
      </c>
      <c r="H371" s="306">
        <v>44097</v>
      </c>
      <c r="I371" s="291">
        <v>1179</v>
      </c>
      <c r="J371" s="307">
        <v>6000000</v>
      </c>
      <c r="K371" s="307">
        <v>720000</v>
      </c>
      <c r="L371" s="307">
        <v>0</v>
      </c>
      <c r="M371" s="291" t="s">
        <v>495</v>
      </c>
      <c r="N371" s="307">
        <v>6000000</v>
      </c>
      <c r="O371" s="307">
        <v>720000</v>
      </c>
      <c r="P371" s="307">
        <v>3537000</v>
      </c>
      <c r="Q371" s="291">
        <v>1</v>
      </c>
      <c r="R371" s="291" t="s">
        <v>496</v>
      </c>
      <c r="S371" s="291">
        <v>100</v>
      </c>
      <c r="T371" s="307">
        <v>6000000</v>
      </c>
      <c r="U371" s="307">
        <v>720000</v>
      </c>
      <c r="V371" s="291">
        <v>400</v>
      </c>
      <c r="W371" s="307">
        <v>8829308</v>
      </c>
      <c r="X371" s="291">
        <v>2</v>
      </c>
      <c r="Y371" s="291">
        <v>1160902010</v>
      </c>
      <c r="Z371" s="291">
        <v>2023</v>
      </c>
      <c r="AA371" s="291">
        <v>12</v>
      </c>
      <c r="AB371" s="291">
        <v>5026003002</v>
      </c>
      <c r="AC371" s="291">
        <v>1160903005</v>
      </c>
      <c r="AD371" s="291">
        <v>0</v>
      </c>
      <c r="AE371" s="291">
        <v>0</v>
      </c>
      <c r="AF371" s="291">
        <v>0</v>
      </c>
      <c r="AG371" s="291">
        <v>1160605001</v>
      </c>
      <c r="AH371" s="291">
        <v>1179</v>
      </c>
      <c r="AI371" s="291" t="s">
        <v>497</v>
      </c>
      <c r="AJ371" s="308">
        <v>0.01</v>
      </c>
      <c r="AK371" s="309">
        <f t="shared" si="55"/>
        <v>60000</v>
      </c>
      <c r="AL371" s="309">
        <f t="shared" si="56"/>
        <v>60000</v>
      </c>
      <c r="AM371" s="309">
        <f t="shared" si="56"/>
        <v>60000</v>
      </c>
      <c r="AN371" s="309"/>
      <c r="AO371" s="309"/>
      <c r="AP371" s="309">
        <f t="shared" si="51"/>
        <v>3600</v>
      </c>
      <c r="AQ371" s="309">
        <f t="shared" si="59"/>
        <v>3600</v>
      </c>
      <c r="AR371" s="309">
        <f t="shared" si="59"/>
        <v>3600</v>
      </c>
      <c r="AS371" s="309"/>
      <c r="AT371" s="309"/>
      <c r="AV371" s="311">
        <f t="shared" si="52"/>
        <v>5820000</v>
      </c>
      <c r="AW371" s="311">
        <f t="shared" si="53"/>
        <v>709200</v>
      </c>
      <c r="AX371" s="312">
        <f t="shared" si="54"/>
        <v>0</v>
      </c>
    </row>
    <row r="372" spans="1:50">
      <c r="A372" s="291" t="s">
        <v>494</v>
      </c>
      <c r="B372" s="291"/>
      <c r="C372" s="291"/>
      <c r="D372" s="291">
        <v>1160505001</v>
      </c>
      <c r="E372" s="291">
        <v>0</v>
      </c>
      <c r="F372" s="291">
        <v>46846</v>
      </c>
      <c r="G372" s="306">
        <v>43618</v>
      </c>
      <c r="H372" s="306">
        <v>44349</v>
      </c>
      <c r="I372" s="291">
        <v>930</v>
      </c>
      <c r="J372" s="307">
        <v>9000000</v>
      </c>
      <c r="K372" s="307">
        <v>348000</v>
      </c>
      <c r="L372" s="307">
        <v>0</v>
      </c>
      <c r="M372" s="291" t="s">
        <v>495</v>
      </c>
      <c r="N372" s="307">
        <v>9000000</v>
      </c>
      <c r="O372" s="307">
        <v>348000</v>
      </c>
      <c r="P372" s="307">
        <v>4185000</v>
      </c>
      <c r="Q372" s="291">
        <v>1</v>
      </c>
      <c r="R372" s="291" t="s">
        <v>496</v>
      </c>
      <c r="S372" s="291">
        <v>100</v>
      </c>
      <c r="T372" s="307">
        <v>9000000</v>
      </c>
      <c r="U372" s="307">
        <v>348000</v>
      </c>
      <c r="V372" s="291">
        <v>400</v>
      </c>
      <c r="W372" s="307">
        <v>6608740</v>
      </c>
      <c r="X372" s="291">
        <v>2</v>
      </c>
      <c r="Y372" s="291">
        <v>1160902010</v>
      </c>
      <c r="Z372" s="291">
        <v>2023</v>
      </c>
      <c r="AA372" s="291">
        <v>12</v>
      </c>
      <c r="AB372" s="291">
        <v>5026003002</v>
      </c>
      <c r="AC372" s="291">
        <v>1160903005</v>
      </c>
      <c r="AD372" s="291">
        <v>0</v>
      </c>
      <c r="AE372" s="291">
        <v>0</v>
      </c>
      <c r="AF372" s="291">
        <v>0</v>
      </c>
      <c r="AG372" s="291">
        <v>1160605001</v>
      </c>
      <c r="AH372" s="291">
        <v>930</v>
      </c>
      <c r="AI372" s="291" t="s">
        <v>499</v>
      </c>
      <c r="AJ372" s="308">
        <v>0.05</v>
      </c>
      <c r="AK372" s="309">
        <f t="shared" si="55"/>
        <v>450000</v>
      </c>
      <c r="AL372" s="309">
        <f t="shared" si="56"/>
        <v>450000</v>
      </c>
      <c r="AM372" s="309">
        <f t="shared" si="56"/>
        <v>450000</v>
      </c>
      <c r="AN372" s="309"/>
      <c r="AO372" s="309"/>
      <c r="AP372" s="309">
        <f t="shared" si="51"/>
        <v>8700</v>
      </c>
      <c r="AQ372" s="309">
        <f t="shared" si="59"/>
        <v>8700</v>
      </c>
      <c r="AR372" s="309">
        <f t="shared" si="59"/>
        <v>8700</v>
      </c>
      <c r="AS372" s="309"/>
      <c r="AT372" s="309"/>
      <c r="AV372" s="311">
        <f t="shared" si="52"/>
        <v>7650000</v>
      </c>
      <c r="AW372" s="311">
        <f t="shared" si="53"/>
        <v>321900</v>
      </c>
      <c r="AX372" s="312">
        <f t="shared" si="54"/>
        <v>0</v>
      </c>
    </row>
    <row r="373" spans="1:50">
      <c r="A373" s="291" t="s">
        <v>494</v>
      </c>
      <c r="B373" s="291"/>
      <c r="C373" s="291"/>
      <c r="D373" s="291">
        <v>1160504001</v>
      </c>
      <c r="E373" s="291">
        <v>0</v>
      </c>
      <c r="F373" s="291">
        <v>44388</v>
      </c>
      <c r="G373" s="306">
        <v>43219</v>
      </c>
      <c r="H373" s="306">
        <v>45045</v>
      </c>
      <c r="I373" s="291">
        <v>243</v>
      </c>
      <c r="J373" s="307">
        <v>999977</v>
      </c>
      <c r="K373" s="307">
        <v>86750</v>
      </c>
      <c r="L373" s="307">
        <v>0</v>
      </c>
      <c r="M373" s="291" t="s">
        <v>495</v>
      </c>
      <c r="N373" s="307">
        <v>999977</v>
      </c>
      <c r="O373" s="307">
        <v>86750</v>
      </c>
      <c r="P373" s="307">
        <v>121497</v>
      </c>
      <c r="Q373" s="291">
        <v>1</v>
      </c>
      <c r="R373" s="291" t="s">
        <v>501</v>
      </c>
      <c r="S373" s="291">
        <v>100</v>
      </c>
      <c r="T373" s="307">
        <v>999977</v>
      </c>
      <c r="U373" s="307">
        <v>86750</v>
      </c>
      <c r="V373" s="291">
        <v>100</v>
      </c>
      <c r="W373" s="307">
        <v>1224904</v>
      </c>
      <c r="X373" s="291">
        <v>14</v>
      </c>
      <c r="Y373" s="291">
        <v>1160902008</v>
      </c>
      <c r="Z373" s="291">
        <v>2023</v>
      </c>
      <c r="AA373" s="291">
        <v>12</v>
      </c>
      <c r="AB373" s="291">
        <v>5026003002</v>
      </c>
      <c r="AC373" s="291">
        <v>1160903004</v>
      </c>
      <c r="AD373" s="291">
        <v>0</v>
      </c>
      <c r="AE373" s="291">
        <v>0</v>
      </c>
      <c r="AF373" s="291">
        <v>0</v>
      </c>
      <c r="AG373" s="291">
        <v>1160604001</v>
      </c>
      <c r="AH373" s="291">
        <v>243</v>
      </c>
      <c r="AI373" s="291" t="s">
        <v>500</v>
      </c>
      <c r="AJ373" s="308">
        <v>0.3</v>
      </c>
      <c r="AK373" s="309">
        <f t="shared" si="55"/>
        <v>299993.09999999998</v>
      </c>
      <c r="AL373" s="309">
        <f t="shared" si="56"/>
        <v>299993.09999999998</v>
      </c>
      <c r="AM373" s="309">
        <f t="shared" si="56"/>
        <v>299993.09999999998</v>
      </c>
      <c r="AN373" s="309"/>
      <c r="AO373" s="309"/>
      <c r="AP373" s="309">
        <f t="shared" si="51"/>
        <v>13012.5</v>
      </c>
      <c r="AQ373" s="309">
        <f t="shared" si="59"/>
        <v>13012.5</v>
      </c>
      <c r="AR373" s="309">
        <f t="shared" si="59"/>
        <v>13012.5</v>
      </c>
      <c r="AS373" s="309"/>
      <c r="AT373" s="309"/>
      <c r="AV373" s="311">
        <f t="shared" si="52"/>
        <v>99997.70000000007</v>
      </c>
      <c r="AW373" s="311">
        <f t="shared" si="53"/>
        <v>47712.5</v>
      </c>
      <c r="AX373" s="312">
        <f t="shared" si="54"/>
        <v>0</v>
      </c>
    </row>
    <row r="374" spans="1:50">
      <c r="A374" s="291" t="s">
        <v>494</v>
      </c>
      <c r="B374" s="291"/>
      <c r="C374" s="291"/>
      <c r="D374" s="291">
        <v>1160505001</v>
      </c>
      <c r="E374" s="291">
        <v>0</v>
      </c>
      <c r="F374" s="291">
        <v>45354</v>
      </c>
      <c r="G374" s="306">
        <v>43374</v>
      </c>
      <c r="H374" s="306">
        <v>44105</v>
      </c>
      <c r="I374" s="291">
        <v>1171</v>
      </c>
      <c r="J374" s="307">
        <v>1666000</v>
      </c>
      <c r="K374" s="307">
        <v>141194</v>
      </c>
      <c r="L374" s="307">
        <v>0</v>
      </c>
      <c r="M374" s="291" t="s">
        <v>495</v>
      </c>
      <c r="N374" s="307">
        <v>1666000</v>
      </c>
      <c r="O374" s="307">
        <v>141194</v>
      </c>
      <c r="P374" s="307">
        <v>975443</v>
      </c>
      <c r="Q374" s="291">
        <v>1</v>
      </c>
      <c r="R374" s="291" t="s">
        <v>496</v>
      </c>
      <c r="S374" s="291">
        <v>100</v>
      </c>
      <c r="T374" s="307">
        <v>1666000</v>
      </c>
      <c r="U374" s="307">
        <v>141194</v>
      </c>
      <c r="V374" s="291">
        <v>400</v>
      </c>
      <c r="W374" s="307">
        <v>1914439</v>
      </c>
      <c r="X374" s="291">
        <v>2</v>
      </c>
      <c r="Y374" s="291">
        <v>1160902010</v>
      </c>
      <c r="Z374" s="291">
        <v>2023</v>
      </c>
      <c r="AA374" s="291">
        <v>12</v>
      </c>
      <c r="AB374" s="291">
        <v>5026003002</v>
      </c>
      <c r="AC374" s="291">
        <v>1160903005</v>
      </c>
      <c r="AD374" s="291">
        <v>0</v>
      </c>
      <c r="AE374" s="291">
        <v>0</v>
      </c>
      <c r="AF374" s="291">
        <v>0</v>
      </c>
      <c r="AG374" s="291">
        <v>1160605001</v>
      </c>
      <c r="AH374" s="291">
        <v>1171</v>
      </c>
      <c r="AI374" s="291" t="s">
        <v>497</v>
      </c>
      <c r="AJ374" s="308">
        <v>0.01</v>
      </c>
      <c r="AK374" s="309">
        <f t="shared" si="55"/>
        <v>16660</v>
      </c>
      <c r="AL374" s="309">
        <f t="shared" si="56"/>
        <v>16660</v>
      </c>
      <c r="AM374" s="309">
        <f t="shared" si="56"/>
        <v>16660</v>
      </c>
      <c r="AN374" s="309"/>
      <c r="AO374" s="309"/>
      <c r="AP374" s="309">
        <f t="shared" si="51"/>
        <v>705.97</v>
      </c>
      <c r="AQ374" s="309">
        <f t="shared" si="59"/>
        <v>705.97</v>
      </c>
      <c r="AR374" s="309">
        <f t="shared" si="59"/>
        <v>705.97</v>
      </c>
      <c r="AS374" s="309"/>
      <c r="AT374" s="309"/>
      <c r="AV374" s="311">
        <f t="shared" si="52"/>
        <v>1616020</v>
      </c>
      <c r="AW374" s="311">
        <f t="shared" si="53"/>
        <v>139076.09</v>
      </c>
      <c r="AX374" s="312">
        <f t="shared" si="54"/>
        <v>0</v>
      </c>
    </row>
    <row r="375" spans="1:50">
      <c r="A375" s="291" t="s">
        <v>494</v>
      </c>
      <c r="B375" s="291"/>
      <c r="C375" s="291"/>
      <c r="D375" s="291">
        <v>1160505001</v>
      </c>
      <c r="E375" s="291">
        <v>0</v>
      </c>
      <c r="F375" s="291">
        <v>46297</v>
      </c>
      <c r="G375" s="306">
        <v>43531</v>
      </c>
      <c r="H375" s="306">
        <v>43897</v>
      </c>
      <c r="I375" s="291">
        <v>1375</v>
      </c>
      <c r="J375" s="307">
        <v>3000000</v>
      </c>
      <c r="K375" s="307">
        <v>360000</v>
      </c>
      <c r="L375" s="307">
        <v>0</v>
      </c>
      <c r="M375" s="291" t="s">
        <v>495</v>
      </c>
      <c r="N375" s="307">
        <v>3000000</v>
      </c>
      <c r="O375" s="307">
        <v>360000</v>
      </c>
      <c r="P375" s="307">
        <v>2062500</v>
      </c>
      <c r="Q375" s="291">
        <v>1</v>
      </c>
      <c r="R375" s="291" t="s">
        <v>496</v>
      </c>
      <c r="S375" s="291">
        <v>100</v>
      </c>
      <c r="T375" s="307">
        <v>3000000</v>
      </c>
      <c r="U375" s="307">
        <v>360000</v>
      </c>
      <c r="V375" s="291">
        <v>400</v>
      </c>
      <c r="W375" s="307">
        <v>5576621</v>
      </c>
      <c r="X375" s="291">
        <v>2</v>
      </c>
      <c r="Y375" s="291">
        <v>1160902010</v>
      </c>
      <c r="Z375" s="291">
        <v>2023</v>
      </c>
      <c r="AA375" s="291">
        <v>12</v>
      </c>
      <c r="AB375" s="291">
        <v>5026003002</v>
      </c>
      <c r="AC375" s="291">
        <v>1160903005</v>
      </c>
      <c r="AD375" s="291">
        <v>0</v>
      </c>
      <c r="AE375" s="291">
        <v>0</v>
      </c>
      <c r="AF375" s="291">
        <v>0</v>
      </c>
      <c r="AG375" s="291">
        <v>1160605001</v>
      </c>
      <c r="AH375" s="291">
        <v>1375</v>
      </c>
      <c r="AI375" s="291" t="s">
        <v>497</v>
      </c>
      <c r="AJ375" s="308">
        <v>0.01</v>
      </c>
      <c r="AK375" s="309">
        <f t="shared" si="55"/>
        <v>30000</v>
      </c>
      <c r="AL375" s="309">
        <f t="shared" si="56"/>
        <v>30000</v>
      </c>
      <c r="AM375" s="309">
        <f t="shared" si="56"/>
        <v>30000</v>
      </c>
      <c r="AN375" s="309"/>
      <c r="AO375" s="309"/>
      <c r="AP375" s="309">
        <f t="shared" si="51"/>
        <v>1800</v>
      </c>
      <c r="AQ375" s="309">
        <f t="shared" ref="AQ375:AR390" si="60">AP375</f>
        <v>1800</v>
      </c>
      <c r="AR375" s="309">
        <f t="shared" si="60"/>
        <v>1800</v>
      </c>
      <c r="AS375" s="309"/>
      <c r="AT375" s="309"/>
      <c r="AV375" s="311">
        <f t="shared" si="52"/>
        <v>2910000</v>
      </c>
      <c r="AW375" s="311">
        <f t="shared" si="53"/>
        <v>354600</v>
      </c>
      <c r="AX375" s="312">
        <f t="shared" si="54"/>
        <v>0</v>
      </c>
    </row>
    <row r="376" spans="1:50">
      <c r="A376" s="291" t="s">
        <v>494</v>
      </c>
      <c r="B376" s="291"/>
      <c r="C376" s="291"/>
      <c r="D376" s="291">
        <v>1160505001</v>
      </c>
      <c r="E376" s="291">
        <v>0</v>
      </c>
      <c r="F376" s="291">
        <v>33017</v>
      </c>
      <c r="G376" s="306">
        <v>41512</v>
      </c>
      <c r="H376" s="306">
        <v>41877</v>
      </c>
      <c r="I376" s="291">
        <v>3366</v>
      </c>
      <c r="J376" s="307">
        <v>3541581</v>
      </c>
      <c r="K376" s="307">
        <v>0</v>
      </c>
      <c r="L376" s="307">
        <v>0</v>
      </c>
      <c r="M376" s="291" t="s">
        <v>495</v>
      </c>
      <c r="N376" s="307">
        <v>3541581</v>
      </c>
      <c r="O376" s="307">
        <v>0</v>
      </c>
      <c r="P376" s="307">
        <v>5960481</v>
      </c>
      <c r="Q376" s="291">
        <v>1</v>
      </c>
      <c r="R376" s="291" t="s">
        <v>496</v>
      </c>
      <c r="S376" s="291">
        <v>100</v>
      </c>
      <c r="T376" s="307">
        <v>3541581</v>
      </c>
      <c r="U376" s="307">
        <v>0</v>
      </c>
      <c r="V376" s="291">
        <v>200</v>
      </c>
      <c r="W376" s="307">
        <v>0</v>
      </c>
      <c r="X376" s="291">
        <v>2</v>
      </c>
      <c r="Y376" s="291">
        <v>1160902010</v>
      </c>
      <c r="Z376" s="291">
        <v>2023</v>
      </c>
      <c r="AA376" s="291">
        <v>12</v>
      </c>
      <c r="AB376" s="291">
        <v>5026003002</v>
      </c>
      <c r="AC376" s="291">
        <v>1160903005</v>
      </c>
      <c r="AD376" s="291">
        <v>0</v>
      </c>
      <c r="AE376" s="291">
        <v>0</v>
      </c>
      <c r="AF376" s="291">
        <v>0</v>
      </c>
      <c r="AG376" s="291">
        <v>1160605001</v>
      </c>
      <c r="AH376" s="291">
        <v>3396</v>
      </c>
      <c r="AI376" s="291" t="s">
        <v>497</v>
      </c>
      <c r="AJ376" s="308">
        <v>0.01</v>
      </c>
      <c r="AK376" s="309">
        <f t="shared" si="55"/>
        <v>35415.81</v>
      </c>
      <c r="AL376" s="309">
        <f t="shared" si="56"/>
        <v>35415.81</v>
      </c>
      <c r="AM376" s="309">
        <f t="shared" si="56"/>
        <v>35415.81</v>
      </c>
      <c r="AN376" s="309"/>
      <c r="AO376" s="309"/>
      <c r="AP376" s="309">
        <f t="shared" si="51"/>
        <v>0</v>
      </c>
      <c r="AQ376" s="309">
        <f t="shared" si="60"/>
        <v>0</v>
      </c>
      <c r="AR376" s="309">
        <f t="shared" si="60"/>
        <v>0</v>
      </c>
      <c r="AS376" s="309"/>
      <c r="AT376" s="309"/>
      <c r="AV376" s="311">
        <f t="shared" si="52"/>
        <v>3435333.57</v>
      </c>
      <c r="AW376" s="311">
        <f t="shared" si="53"/>
        <v>0</v>
      </c>
      <c r="AX376" s="312">
        <f t="shared" si="54"/>
        <v>0</v>
      </c>
    </row>
    <row r="377" spans="1:50">
      <c r="A377" s="291" t="s">
        <v>494</v>
      </c>
      <c r="B377" s="291"/>
      <c r="C377" s="291"/>
      <c r="D377" s="291">
        <v>1160505002</v>
      </c>
      <c r="E377" s="291">
        <v>0</v>
      </c>
      <c r="F377" s="291">
        <v>32815</v>
      </c>
      <c r="G377" s="306">
        <v>41481</v>
      </c>
      <c r="H377" s="306">
        <v>41846</v>
      </c>
      <c r="I377" s="291">
        <v>3396</v>
      </c>
      <c r="J377" s="307">
        <v>2657800</v>
      </c>
      <c r="K377" s="307">
        <v>0</v>
      </c>
      <c r="L377" s="307">
        <v>0</v>
      </c>
      <c r="M377" s="291" t="s">
        <v>495</v>
      </c>
      <c r="N377" s="307">
        <v>2657800</v>
      </c>
      <c r="O377" s="307">
        <v>0</v>
      </c>
      <c r="P377" s="307">
        <v>4512944</v>
      </c>
      <c r="Q377" s="291">
        <v>1</v>
      </c>
      <c r="R377" s="291" t="s">
        <v>496</v>
      </c>
      <c r="S377" s="291">
        <v>100</v>
      </c>
      <c r="T377" s="307">
        <v>2657800</v>
      </c>
      <c r="U377" s="307">
        <v>0</v>
      </c>
      <c r="V377" s="291">
        <v>200</v>
      </c>
      <c r="W377" s="307">
        <v>0</v>
      </c>
      <c r="X377" s="291">
        <v>6</v>
      </c>
      <c r="Y377" s="291">
        <v>1160902010</v>
      </c>
      <c r="Z377" s="291">
        <v>2023</v>
      </c>
      <c r="AA377" s="291">
        <v>12</v>
      </c>
      <c r="AB377" s="291">
        <v>5026003002</v>
      </c>
      <c r="AC377" s="291">
        <v>1160903005</v>
      </c>
      <c r="AD377" s="291">
        <v>0</v>
      </c>
      <c r="AE377" s="291">
        <v>0</v>
      </c>
      <c r="AF377" s="291">
        <v>0</v>
      </c>
      <c r="AG377" s="291">
        <v>1160605001</v>
      </c>
      <c r="AH377" s="291">
        <v>3396</v>
      </c>
      <c r="AI377" s="291" t="s">
        <v>497</v>
      </c>
      <c r="AJ377" s="308">
        <v>0.01</v>
      </c>
      <c r="AK377" s="309">
        <f t="shared" si="55"/>
        <v>26578</v>
      </c>
      <c r="AL377" s="309">
        <f t="shared" si="56"/>
        <v>26578</v>
      </c>
      <c r="AM377" s="309">
        <f t="shared" si="56"/>
        <v>26578</v>
      </c>
      <c r="AN377" s="309"/>
      <c r="AO377" s="309"/>
      <c r="AP377" s="309">
        <f t="shared" si="51"/>
        <v>0</v>
      </c>
      <c r="AQ377" s="309">
        <f t="shared" si="60"/>
        <v>0</v>
      </c>
      <c r="AR377" s="309">
        <f t="shared" si="60"/>
        <v>0</v>
      </c>
      <c r="AS377" s="309"/>
      <c r="AT377" s="309"/>
      <c r="AV377" s="311">
        <f t="shared" si="52"/>
        <v>2578066</v>
      </c>
      <c r="AW377" s="311">
        <f t="shared" si="53"/>
        <v>0</v>
      </c>
      <c r="AX377" s="312">
        <f t="shared" si="54"/>
        <v>0</v>
      </c>
    </row>
    <row r="378" spans="1:50">
      <c r="A378" s="291" t="s">
        <v>494</v>
      </c>
      <c r="B378" s="291"/>
      <c r="C378" s="291"/>
      <c r="D378" s="291">
        <v>1160505001</v>
      </c>
      <c r="E378" s="291">
        <v>0</v>
      </c>
      <c r="F378" s="291">
        <v>46337</v>
      </c>
      <c r="G378" s="306">
        <v>43534</v>
      </c>
      <c r="H378" s="306">
        <v>44265</v>
      </c>
      <c r="I378" s="291">
        <v>1012</v>
      </c>
      <c r="J378" s="307">
        <v>1186622</v>
      </c>
      <c r="K378" s="307">
        <v>146554</v>
      </c>
      <c r="L378" s="307">
        <v>0</v>
      </c>
      <c r="M378" s="291" t="s">
        <v>495</v>
      </c>
      <c r="N378" s="307">
        <v>1186622</v>
      </c>
      <c r="O378" s="307">
        <v>146554</v>
      </c>
      <c r="P378" s="307">
        <v>600431</v>
      </c>
      <c r="Q378" s="291">
        <v>1</v>
      </c>
      <c r="R378" s="291" t="s">
        <v>496</v>
      </c>
      <c r="S378" s="291">
        <v>100</v>
      </c>
      <c r="T378" s="307">
        <v>1186622</v>
      </c>
      <c r="U378" s="307">
        <v>146554</v>
      </c>
      <c r="V378" s="291">
        <v>100</v>
      </c>
      <c r="W378" s="307">
        <v>4863337</v>
      </c>
      <c r="X378" s="291">
        <v>14</v>
      </c>
      <c r="Y378" s="291">
        <v>1160902010</v>
      </c>
      <c r="Z378" s="291">
        <v>2023</v>
      </c>
      <c r="AA378" s="291">
        <v>12</v>
      </c>
      <c r="AB378" s="291">
        <v>5026003002</v>
      </c>
      <c r="AC378" s="291">
        <v>1160903005</v>
      </c>
      <c r="AD378" s="291">
        <v>0</v>
      </c>
      <c r="AE378" s="291">
        <v>0</v>
      </c>
      <c r="AF378" s="291">
        <v>0</v>
      </c>
      <c r="AG378" s="291">
        <v>1160605001</v>
      </c>
      <c r="AH378" s="291">
        <v>1012</v>
      </c>
      <c r="AI378" s="291" t="s">
        <v>499</v>
      </c>
      <c r="AJ378" s="308">
        <v>0.05</v>
      </c>
      <c r="AK378" s="309">
        <f t="shared" si="55"/>
        <v>59331.100000000006</v>
      </c>
      <c r="AL378" s="309">
        <f t="shared" si="56"/>
        <v>59331.100000000006</v>
      </c>
      <c r="AM378" s="309">
        <f t="shared" si="56"/>
        <v>59331.100000000006</v>
      </c>
      <c r="AN378" s="309"/>
      <c r="AO378" s="309"/>
      <c r="AP378" s="309">
        <f t="shared" si="51"/>
        <v>3663.8500000000004</v>
      </c>
      <c r="AQ378" s="309">
        <f t="shared" si="60"/>
        <v>3663.8500000000004</v>
      </c>
      <c r="AR378" s="309">
        <f t="shared" si="60"/>
        <v>3663.8500000000004</v>
      </c>
      <c r="AS378" s="309"/>
      <c r="AT378" s="309"/>
      <c r="AV378" s="311">
        <f t="shared" si="52"/>
        <v>1008628.6999999998</v>
      </c>
      <c r="AW378" s="311">
        <f t="shared" si="53"/>
        <v>135562.44999999998</v>
      </c>
      <c r="AX378" s="312">
        <f t="shared" si="54"/>
        <v>0</v>
      </c>
    </row>
    <row r="379" spans="1:50">
      <c r="A379" s="291" t="s">
        <v>494</v>
      </c>
      <c r="B379" s="291"/>
      <c r="C379" s="291"/>
      <c r="D379" s="291">
        <v>1160505001</v>
      </c>
      <c r="E379" s="291">
        <v>0</v>
      </c>
      <c r="F379" s="291">
        <v>44318</v>
      </c>
      <c r="G379" s="306">
        <v>43211</v>
      </c>
      <c r="H379" s="306">
        <v>43576</v>
      </c>
      <c r="I379" s="291">
        <v>1691</v>
      </c>
      <c r="J379" s="307">
        <v>8900000</v>
      </c>
      <c r="K379" s="307">
        <v>280975</v>
      </c>
      <c r="L379" s="307">
        <v>0</v>
      </c>
      <c r="M379" s="291" t="s">
        <v>495</v>
      </c>
      <c r="N379" s="307">
        <v>8900000</v>
      </c>
      <c r="O379" s="307">
        <v>280975</v>
      </c>
      <c r="P379" s="307">
        <v>7524950</v>
      </c>
      <c r="Q379" s="291">
        <v>1</v>
      </c>
      <c r="R379" s="291" t="s">
        <v>496</v>
      </c>
      <c r="S379" s="291">
        <v>100</v>
      </c>
      <c r="T379" s="307">
        <v>8900000</v>
      </c>
      <c r="U379" s="307">
        <v>280975</v>
      </c>
      <c r="V379" s="291">
        <v>300</v>
      </c>
      <c r="W379" s="307">
        <v>11497185</v>
      </c>
      <c r="X379" s="291">
        <v>2</v>
      </c>
      <c r="Y379" s="291">
        <v>1160902010</v>
      </c>
      <c r="Z379" s="291">
        <v>2023</v>
      </c>
      <c r="AA379" s="291">
        <v>12</v>
      </c>
      <c r="AB379" s="291">
        <v>5026003002</v>
      </c>
      <c r="AC379" s="291">
        <v>1160903005</v>
      </c>
      <c r="AD379" s="291">
        <v>0</v>
      </c>
      <c r="AE379" s="291">
        <v>0</v>
      </c>
      <c r="AF379" s="291">
        <v>0</v>
      </c>
      <c r="AG379" s="291">
        <v>1160605001</v>
      </c>
      <c r="AH379" s="291">
        <v>1691</v>
      </c>
      <c r="AI379" s="291" t="s">
        <v>497</v>
      </c>
      <c r="AJ379" s="308">
        <v>0.01</v>
      </c>
      <c r="AK379" s="309">
        <f t="shared" si="55"/>
        <v>89000</v>
      </c>
      <c r="AL379" s="309">
        <f t="shared" si="56"/>
        <v>89000</v>
      </c>
      <c r="AM379" s="309">
        <f t="shared" si="56"/>
        <v>89000</v>
      </c>
      <c r="AN379" s="309"/>
      <c r="AO379" s="309"/>
      <c r="AP379" s="309">
        <f t="shared" si="51"/>
        <v>1404.875</v>
      </c>
      <c r="AQ379" s="309">
        <f t="shared" si="60"/>
        <v>1404.875</v>
      </c>
      <c r="AR379" s="309">
        <f t="shared" si="60"/>
        <v>1404.875</v>
      </c>
      <c r="AS379" s="309"/>
      <c r="AT379" s="309"/>
      <c r="AV379" s="311">
        <f t="shared" si="52"/>
        <v>8633000</v>
      </c>
      <c r="AW379" s="311">
        <f t="shared" si="53"/>
        <v>276760.375</v>
      </c>
      <c r="AX379" s="312">
        <f t="shared" si="54"/>
        <v>0</v>
      </c>
    </row>
    <row r="380" spans="1:50">
      <c r="A380" s="291" t="s">
        <v>494</v>
      </c>
      <c r="B380" s="291"/>
      <c r="C380" s="291"/>
      <c r="D380" s="291">
        <v>1160504001</v>
      </c>
      <c r="E380" s="291">
        <v>0</v>
      </c>
      <c r="F380" s="291">
        <v>44733</v>
      </c>
      <c r="G380" s="306">
        <v>43266</v>
      </c>
      <c r="H380" s="306">
        <v>45092</v>
      </c>
      <c r="I380" s="291">
        <v>197</v>
      </c>
      <c r="J380" s="307">
        <v>5929211</v>
      </c>
      <c r="K380" s="307">
        <v>0</v>
      </c>
      <c r="L380" s="307">
        <v>0</v>
      </c>
      <c r="M380" s="291" t="s">
        <v>495</v>
      </c>
      <c r="N380" s="307">
        <v>5929211</v>
      </c>
      <c r="O380" s="307">
        <v>0</v>
      </c>
      <c r="P380" s="307">
        <v>584027</v>
      </c>
      <c r="Q380" s="291">
        <v>1</v>
      </c>
      <c r="R380" s="291" t="s">
        <v>501</v>
      </c>
      <c r="S380" s="291">
        <v>100</v>
      </c>
      <c r="T380" s="307">
        <v>5929211</v>
      </c>
      <c r="U380" s="307">
        <v>0</v>
      </c>
      <c r="V380" s="291">
        <v>100</v>
      </c>
      <c r="W380" s="307">
        <v>5439266</v>
      </c>
      <c r="X380" s="291">
        <v>2</v>
      </c>
      <c r="Y380" s="291">
        <v>1160902008</v>
      </c>
      <c r="Z380" s="291">
        <v>2023</v>
      </c>
      <c r="AA380" s="291">
        <v>12</v>
      </c>
      <c r="AB380" s="291">
        <v>5026003002</v>
      </c>
      <c r="AC380" s="291">
        <v>1160903004</v>
      </c>
      <c r="AD380" s="291">
        <v>0</v>
      </c>
      <c r="AE380" s="291">
        <v>0</v>
      </c>
      <c r="AF380" s="291">
        <v>0</v>
      </c>
      <c r="AG380" s="291">
        <v>1160604001</v>
      </c>
      <c r="AH380" s="291">
        <v>197</v>
      </c>
      <c r="AI380" s="291" t="s">
        <v>500</v>
      </c>
      <c r="AJ380" s="308">
        <v>0.3</v>
      </c>
      <c r="AK380" s="309">
        <f t="shared" si="55"/>
        <v>1778763.3</v>
      </c>
      <c r="AL380" s="309">
        <f t="shared" si="56"/>
        <v>1778763.3</v>
      </c>
      <c r="AM380" s="309">
        <f t="shared" si="56"/>
        <v>1778763.3</v>
      </c>
      <c r="AN380" s="309"/>
      <c r="AO380" s="309"/>
      <c r="AP380" s="309">
        <f t="shared" si="51"/>
        <v>0</v>
      </c>
      <c r="AQ380" s="309">
        <f t="shared" si="60"/>
        <v>0</v>
      </c>
      <c r="AR380" s="309">
        <f t="shared" si="60"/>
        <v>0</v>
      </c>
      <c r="AS380" s="309"/>
      <c r="AT380" s="309"/>
      <c r="AV380" s="311">
        <f t="shared" si="52"/>
        <v>592921.10000000033</v>
      </c>
      <c r="AW380" s="311">
        <f t="shared" si="53"/>
        <v>0</v>
      </c>
      <c r="AX380" s="312">
        <f t="shared" si="54"/>
        <v>0</v>
      </c>
    </row>
    <row r="381" spans="1:50">
      <c r="A381" s="291" t="s">
        <v>494</v>
      </c>
      <c r="B381" s="291"/>
      <c r="C381" s="291"/>
      <c r="D381" s="291">
        <v>1160405001</v>
      </c>
      <c r="E381" s="291">
        <v>0</v>
      </c>
      <c r="F381" s="291">
        <v>46131</v>
      </c>
      <c r="G381" s="306">
        <v>43507</v>
      </c>
      <c r="H381" s="306">
        <v>43872</v>
      </c>
      <c r="I381" s="291">
        <v>1401</v>
      </c>
      <c r="J381" s="307">
        <v>50000000</v>
      </c>
      <c r="K381" s="307">
        <v>0</v>
      </c>
      <c r="L381" s="307">
        <v>0</v>
      </c>
      <c r="M381" s="291" t="s">
        <v>495</v>
      </c>
      <c r="N381" s="307">
        <v>50000000</v>
      </c>
      <c r="O381" s="307">
        <v>0</v>
      </c>
      <c r="P381" s="307">
        <v>35025000</v>
      </c>
      <c r="Q381" s="291">
        <v>2</v>
      </c>
      <c r="R381" s="291" t="s">
        <v>496</v>
      </c>
      <c r="S381" s="291">
        <v>100</v>
      </c>
      <c r="T381" s="307">
        <v>50000000</v>
      </c>
      <c r="U381" s="307">
        <v>0</v>
      </c>
      <c r="V381" s="291">
        <v>100</v>
      </c>
      <c r="W381" s="307">
        <v>28110493</v>
      </c>
      <c r="X381" s="291">
        <v>2</v>
      </c>
      <c r="Y381" s="291">
        <v>1160902009</v>
      </c>
      <c r="Z381" s="291">
        <v>2023</v>
      </c>
      <c r="AA381" s="291">
        <v>12</v>
      </c>
      <c r="AB381" s="291">
        <v>5026003002</v>
      </c>
      <c r="AC381" s="291">
        <v>1160903005</v>
      </c>
      <c r="AD381" s="291">
        <v>0</v>
      </c>
      <c r="AE381" s="291">
        <v>0</v>
      </c>
      <c r="AF381" s="291">
        <v>1</v>
      </c>
      <c r="AG381" s="291">
        <v>1160605001</v>
      </c>
      <c r="AH381" s="291">
        <v>1401</v>
      </c>
      <c r="AI381" s="291" t="s">
        <v>497</v>
      </c>
      <c r="AJ381" s="308">
        <v>0.01</v>
      </c>
      <c r="AK381" s="309">
        <f t="shared" si="55"/>
        <v>500000</v>
      </c>
      <c r="AL381" s="309">
        <f t="shared" si="56"/>
        <v>500000</v>
      </c>
      <c r="AM381" s="309">
        <f t="shared" si="56"/>
        <v>500000</v>
      </c>
      <c r="AN381" s="309"/>
      <c r="AO381" s="309"/>
      <c r="AP381" s="309">
        <f t="shared" si="51"/>
        <v>0</v>
      </c>
      <c r="AQ381" s="309">
        <f t="shared" si="60"/>
        <v>0</v>
      </c>
      <c r="AR381" s="309">
        <f t="shared" si="60"/>
        <v>0</v>
      </c>
      <c r="AS381" s="309"/>
      <c r="AT381" s="309"/>
      <c r="AV381" s="311">
        <f t="shared" si="52"/>
        <v>48500000</v>
      </c>
      <c r="AW381" s="311">
        <f t="shared" si="53"/>
        <v>0</v>
      </c>
      <c r="AX381" s="312">
        <f t="shared" si="54"/>
        <v>0</v>
      </c>
    </row>
    <row r="382" spans="1:50">
      <c r="A382" s="291" t="s">
        <v>494</v>
      </c>
      <c r="B382" s="291"/>
      <c r="C382" s="291"/>
      <c r="D382" s="291">
        <v>1160505001</v>
      </c>
      <c r="E382" s="291">
        <v>0</v>
      </c>
      <c r="F382" s="291">
        <v>33178</v>
      </c>
      <c r="G382" s="306">
        <v>41558</v>
      </c>
      <c r="H382" s="306">
        <v>41923</v>
      </c>
      <c r="I382" s="291">
        <v>3321</v>
      </c>
      <c r="J382" s="307">
        <v>660000</v>
      </c>
      <c r="K382" s="307">
        <v>0</v>
      </c>
      <c r="L382" s="307">
        <v>0</v>
      </c>
      <c r="M382" s="291" t="s">
        <v>495</v>
      </c>
      <c r="N382" s="307">
        <v>660000</v>
      </c>
      <c r="O382" s="307">
        <v>0</v>
      </c>
      <c r="P382" s="307">
        <v>1095930</v>
      </c>
      <c r="Q382" s="291">
        <v>1</v>
      </c>
      <c r="R382" s="291" t="s">
        <v>496</v>
      </c>
      <c r="S382" s="291">
        <v>100</v>
      </c>
      <c r="T382" s="307">
        <v>660000</v>
      </c>
      <c r="U382" s="307">
        <v>0</v>
      </c>
      <c r="V382" s="291">
        <v>100</v>
      </c>
      <c r="W382" s="307">
        <v>926220</v>
      </c>
      <c r="X382" s="291">
        <v>2</v>
      </c>
      <c r="Y382" s="291">
        <v>1160902010</v>
      </c>
      <c r="Z382" s="291">
        <v>2023</v>
      </c>
      <c r="AA382" s="291">
        <v>12</v>
      </c>
      <c r="AB382" s="291">
        <v>5026003002</v>
      </c>
      <c r="AC382" s="291">
        <v>1160903005</v>
      </c>
      <c r="AD382" s="291">
        <v>0</v>
      </c>
      <c r="AE382" s="291">
        <v>0</v>
      </c>
      <c r="AF382" s="291">
        <v>0</v>
      </c>
      <c r="AG382" s="291">
        <v>1160605001</v>
      </c>
      <c r="AH382" s="291">
        <v>3321</v>
      </c>
      <c r="AI382" s="291" t="s">
        <v>497</v>
      </c>
      <c r="AJ382" s="308">
        <v>0.01</v>
      </c>
      <c r="AK382" s="309">
        <f t="shared" si="55"/>
        <v>6600</v>
      </c>
      <c r="AL382" s="309">
        <f t="shared" si="56"/>
        <v>6600</v>
      </c>
      <c r="AM382" s="309">
        <f t="shared" si="56"/>
        <v>6600</v>
      </c>
      <c r="AN382" s="309"/>
      <c r="AO382" s="309"/>
      <c r="AP382" s="309">
        <f t="shared" si="51"/>
        <v>0</v>
      </c>
      <c r="AQ382" s="309">
        <f t="shared" si="60"/>
        <v>0</v>
      </c>
      <c r="AR382" s="309">
        <f t="shared" si="60"/>
        <v>0</v>
      </c>
      <c r="AS382" s="309"/>
      <c r="AT382" s="309"/>
      <c r="AV382" s="311">
        <f t="shared" si="52"/>
        <v>640200</v>
      </c>
      <c r="AW382" s="311">
        <f t="shared" si="53"/>
        <v>0</v>
      </c>
      <c r="AX382" s="312">
        <f t="shared" si="54"/>
        <v>0</v>
      </c>
    </row>
    <row r="383" spans="1:50">
      <c r="A383" s="291" t="s">
        <v>494</v>
      </c>
      <c r="B383" s="291"/>
      <c r="C383" s="291"/>
      <c r="D383" s="291">
        <v>1160505002</v>
      </c>
      <c r="E383" s="291">
        <v>0</v>
      </c>
      <c r="F383" s="291">
        <v>33177</v>
      </c>
      <c r="G383" s="306">
        <v>41558</v>
      </c>
      <c r="H383" s="306">
        <v>41923</v>
      </c>
      <c r="I383" s="291">
        <v>3321</v>
      </c>
      <c r="J383" s="307">
        <v>402000</v>
      </c>
      <c r="K383" s="307">
        <v>44220</v>
      </c>
      <c r="L383" s="307">
        <v>0</v>
      </c>
      <c r="M383" s="291" t="s">
        <v>495</v>
      </c>
      <c r="N383" s="307">
        <v>402000</v>
      </c>
      <c r="O383" s="307">
        <v>44220</v>
      </c>
      <c r="P383" s="307">
        <v>667521</v>
      </c>
      <c r="Q383" s="291">
        <v>1</v>
      </c>
      <c r="R383" s="291" t="s">
        <v>496</v>
      </c>
      <c r="S383" s="291">
        <v>100</v>
      </c>
      <c r="T383" s="307">
        <v>402000</v>
      </c>
      <c r="U383" s="307">
        <v>44220</v>
      </c>
      <c r="V383" s="291">
        <v>100</v>
      </c>
      <c r="W383" s="307">
        <v>926220</v>
      </c>
      <c r="X383" s="291">
        <v>6</v>
      </c>
      <c r="Y383" s="291">
        <v>1160902010</v>
      </c>
      <c r="Z383" s="291">
        <v>2023</v>
      </c>
      <c r="AA383" s="291">
        <v>12</v>
      </c>
      <c r="AB383" s="291">
        <v>5026003002</v>
      </c>
      <c r="AC383" s="291">
        <v>1160903005</v>
      </c>
      <c r="AD383" s="291">
        <v>0</v>
      </c>
      <c r="AE383" s="291">
        <v>0</v>
      </c>
      <c r="AF383" s="291">
        <v>0</v>
      </c>
      <c r="AG383" s="291">
        <v>1160605001</v>
      </c>
      <c r="AH383" s="291">
        <v>3321</v>
      </c>
      <c r="AI383" s="291" t="s">
        <v>497</v>
      </c>
      <c r="AJ383" s="308">
        <v>0.01</v>
      </c>
      <c r="AK383" s="309">
        <f t="shared" si="55"/>
        <v>4020</v>
      </c>
      <c r="AL383" s="309">
        <f t="shared" si="56"/>
        <v>4020</v>
      </c>
      <c r="AM383" s="309">
        <f t="shared" si="56"/>
        <v>4020</v>
      </c>
      <c r="AN383" s="309"/>
      <c r="AO383" s="309"/>
      <c r="AP383" s="309">
        <f t="shared" si="51"/>
        <v>221.1</v>
      </c>
      <c r="AQ383" s="309">
        <f t="shared" si="60"/>
        <v>221.1</v>
      </c>
      <c r="AR383" s="309">
        <f t="shared" si="60"/>
        <v>221.1</v>
      </c>
      <c r="AS383" s="309"/>
      <c r="AT383" s="309"/>
      <c r="AV383" s="311">
        <f t="shared" si="52"/>
        <v>389940</v>
      </c>
      <c r="AW383" s="311">
        <f t="shared" si="53"/>
        <v>43556.700000000004</v>
      </c>
      <c r="AX383" s="312">
        <f t="shared" si="54"/>
        <v>0</v>
      </c>
    </row>
    <row r="384" spans="1:50">
      <c r="A384" s="291" t="s">
        <v>494</v>
      </c>
      <c r="B384" s="291"/>
      <c r="C384" s="291"/>
      <c r="D384" s="291">
        <v>1160505001</v>
      </c>
      <c r="E384" s="291">
        <v>0</v>
      </c>
      <c r="F384" s="291">
        <v>44320</v>
      </c>
      <c r="G384" s="306">
        <v>43212</v>
      </c>
      <c r="H384" s="306">
        <v>44308</v>
      </c>
      <c r="I384" s="291">
        <v>970</v>
      </c>
      <c r="J384" s="307">
        <v>8000000</v>
      </c>
      <c r="K384" s="307">
        <v>2160000</v>
      </c>
      <c r="L384" s="307">
        <v>0</v>
      </c>
      <c r="M384" s="291" t="s">
        <v>495</v>
      </c>
      <c r="N384" s="307">
        <v>8000000</v>
      </c>
      <c r="O384" s="307">
        <v>2160000</v>
      </c>
      <c r="P384" s="307">
        <v>3880000</v>
      </c>
      <c r="Q384" s="291">
        <v>1</v>
      </c>
      <c r="R384" s="291" t="s">
        <v>496</v>
      </c>
      <c r="S384" s="291">
        <v>100</v>
      </c>
      <c r="T384" s="307">
        <v>8000000</v>
      </c>
      <c r="U384" s="307">
        <v>2160000</v>
      </c>
      <c r="V384" s="291">
        <v>100</v>
      </c>
      <c r="W384" s="307">
        <v>2140874</v>
      </c>
      <c r="X384" s="291">
        <v>14</v>
      </c>
      <c r="Y384" s="291">
        <v>1160902010</v>
      </c>
      <c r="Z384" s="291">
        <v>2023</v>
      </c>
      <c r="AA384" s="291">
        <v>12</v>
      </c>
      <c r="AB384" s="291">
        <v>5026003002</v>
      </c>
      <c r="AC384" s="291">
        <v>1160903005</v>
      </c>
      <c r="AD384" s="291">
        <v>0</v>
      </c>
      <c r="AE384" s="291">
        <v>0</v>
      </c>
      <c r="AF384" s="291">
        <v>0</v>
      </c>
      <c r="AG384" s="291">
        <v>1160605001</v>
      </c>
      <c r="AH384" s="291">
        <v>970</v>
      </c>
      <c r="AI384" s="291" t="s">
        <v>499</v>
      </c>
      <c r="AJ384" s="308">
        <v>0.05</v>
      </c>
      <c r="AK384" s="309">
        <f t="shared" si="55"/>
        <v>400000</v>
      </c>
      <c r="AL384" s="309">
        <f t="shared" si="56"/>
        <v>400000</v>
      </c>
      <c r="AM384" s="309">
        <f t="shared" si="56"/>
        <v>400000</v>
      </c>
      <c r="AN384" s="309"/>
      <c r="AO384" s="309"/>
      <c r="AP384" s="309">
        <f t="shared" si="51"/>
        <v>54000</v>
      </c>
      <c r="AQ384" s="309">
        <f t="shared" si="60"/>
        <v>54000</v>
      </c>
      <c r="AR384" s="309">
        <f t="shared" si="60"/>
        <v>54000</v>
      </c>
      <c r="AS384" s="309"/>
      <c r="AT384" s="309"/>
      <c r="AV384" s="311">
        <f t="shared" si="52"/>
        <v>6800000</v>
      </c>
      <c r="AW384" s="311">
        <f t="shared" si="53"/>
        <v>1998000</v>
      </c>
      <c r="AX384" s="312">
        <f t="shared" si="54"/>
        <v>0</v>
      </c>
    </row>
    <row r="385" spans="1:50">
      <c r="A385" s="291" t="s">
        <v>494</v>
      </c>
      <c r="B385" s="291"/>
      <c r="C385" s="291"/>
      <c r="D385" s="291">
        <v>1160505001</v>
      </c>
      <c r="E385" s="291">
        <v>0</v>
      </c>
      <c r="F385" s="291">
        <v>45173</v>
      </c>
      <c r="G385" s="306">
        <v>43324</v>
      </c>
      <c r="H385" s="306">
        <v>43689</v>
      </c>
      <c r="I385" s="291">
        <v>1580</v>
      </c>
      <c r="J385" s="307">
        <v>18575000</v>
      </c>
      <c r="K385" s="307">
        <v>0</v>
      </c>
      <c r="L385" s="307">
        <v>0</v>
      </c>
      <c r="M385" s="291" t="s">
        <v>495</v>
      </c>
      <c r="N385" s="307">
        <v>18575000</v>
      </c>
      <c r="O385" s="307">
        <v>0</v>
      </c>
      <c r="P385" s="307">
        <v>14674250</v>
      </c>
      <c r="Q385" s="291">
        <v>1</v>
      </c>
      <c r="R385" s="291" t="s">
        <v>496</v>
      </c>
      <c r="S385" s="291">
        <v>100</v>
      </c>
      <c r="T385" s="307">
        <v>18575000</v>
      </c>
      <c r="U385" s="307">
        <v>0</v>
      </c>
      <c r="V385" s="291">
        <v>100</v>
      </c>
      <c r="W385" s="307">
        <v>32961334</v>
      </c>
      <c r="X385" s="291">
        <v>2</v>
      </c>
      <c r="Y385" s="291">
        <v>1160902010</v>
      </c>
      <c r="Z385" s="291">
        <v>2023</v>
      </c>
      <c r="AA385" s="291">
        <v>12</v>
      </c>
      <c r="AB385" s="291">
        <v>5026003002</v>
      </c>
      <c r="AC385" s="291">
        <v>1160903005</v>
      </c>
      <c r="AD385" s="291">
        <v>0</v>
      </c>
      <c r="AE385" s="291">
        <v>0</v>
      </c>
      <c r="AF385" s="291">
        <v>0</v>
      </c>
      <c r="AG385" s="291">
        <v>1160605001</v>
      </c>
      <c r="AH385" s="291">
        <v>1580</v>
      </c>
      <c r="AI385" s="291" t="s">
        <v>497</v>
      </c>
      <c r="AJ385" s="308">
        <v>0.01</v>
      </c>
      <c r="AK385" s="309">
        <f t="shared" si="55"/>
        <v>185750</v>
      </c>
      <c r="AL385" s="309">
        <f t="shared" si="56"/>
        <v>185750</v>
      </c>
      <c r="AM385" s="309">
        <f t="shared" si="56"/>
        <v>185750</v>
      </c>
      <c r="AN385" s="309"/>
      <c r="AO385" s="309"/>
      <c r="AP385" s="309">
        <f t="shared" si="51"/>
        <v>0</v>
      </c>
      <c r="AQ385" s="309">
        <f t="shared" si="60"/>
        <v>0</v>
      </c>
      <c r="AR385" s="309">
        <f t="shared" si="60"/>
        <v>0</v>
      </c>
      <c r="AS385" s="309"/>
      <c r="AT385" s="309"/>
      <c r="AV385" s="311">
        <f t="shared" si="52"/>
        <v>18017750</v>
      </c>
      <c r="AW385" s="311">
        <f t="shared" si="53"/>
        <v>0</v>
      </c>
      <c r="AX385" s="312">
        <f t="shared" si="54"/>
        <v>0</v>
      </c>
    </row>
    <row r="386" spans="1:50">
      <c r="A386" s="291" t="s">
        <v>494</v>
      </c>
      <c r="B386" s="291"/>
      <c r="C386" s="291"/>
      <c r="D386" s="291">
        <v>1160505001</v>
      </c>
      <c r="E386" s="291">
        <v>0</v>
      </c>
      <c r="F386" s="291">
        <v>42693</v>
      </c>
      <c r="G386" s="306">
        <v>42940</v>
      </c>
      <c r="H386" s="306">
        <v>43305</v>
      </c>
      <c r="I386" s="291">
        <v>1958</v>
      </c>
      <c r="J386" s="307">
        <v>9000000</v>
      </c>
      <c r="K386" s="307">
        <v>0</v>
      </c>
      <c r="L386" s="307">
        <v>0</v>
      </c>
      <c r="M386" s="291" t="s">
        <v>495</v>
      </c>
      <c r="N386" s="307">
        <v>9000000</v>
      </c>
      <c r="O386" s="307">
        <v>0</v>
      </c>
      <c r="P386" s="307">
        <v>8811000</v>
      </c>
      <c r="Q386" s="291">
        <v>1</v>
      </c>
      <c r="R386" s="291" t="s">
        <v>496</v>
      </c>
      <c r="S386" s="291">
        <v>100</v>
      </c>
      <c r="T386" s="307">
        <v>9000000</v>
      </c>
      <c r="U386" s="307">
        <v>0</v>
      </c>
      <c r="V386" s="291">
        <v>200</v>
      </c>
      <c r="W386" s="307">
        <v>11680763</v>
      </c>
      <c r="X386" s="291">
        <v>2</v>
      </c>
      <c r="Y386" s="291">
        <v>1160902010</v>
      </c>
      <c r="Z386" s="291">
        <v>2023</v>
      </c>
      <c r="AA386" s="291">
        <v>12</v>
      </c>
      <c r="AB386" s="291">
        <v>5026003002</v>
      </c>
      <c r="AC386" s="291">
        <v>1160903005</v>
      </c>
      <c r="AD386" s="291">
        <v>0</v>
      </c>
      <c r="AE386" s="291">
        <v>0</v>
      </c>
      <c r="AF386" s="291">
        <v>0</v>
      </c>
      <c r="AG386" s="291">
        <v>1160605001</v>
      </c>
      <c r="AH386" s="291">
        <v>1958</v>
      </c>
      <c r="AI386" s="291" t="s">
        <v>497</v>
      </c>
      <c r="AJ386" s="308">
        <v>0.01</v>
      </c>
      <c r="AK386" s="309">
        <f t="shared" si="55"/>
        <v>90000</v>
      </c>
      <c r="AL386" s="309">
        <f t="shared" si="56"/>
        <v>90000</v>
      </c>
      <c r="AM386" s="309">
        <f t="shared" si="56"/>
        <v>90000</v>
      </c>
      <c r="AN386" s="309"/>
      <c r="AO386" s="309"/>
      <c r="AP386" s="309">
        <f t="shared" si="51"/>
        <v>0</v>
      </c>
      <c r="AQ386" s="309">
        <f t="shared" si="60"/>
        <v>0</v>
      </c>
      <c r="AR386" s="309">
        <f t="shared" si="60"/>
        <v>0</v>
      </c>
      <c r="AS386" s="309"/>
      <c r="AT386" s="309"/>
      <c r="AV386" s="311">
        <f t="shared" si="52"/>
        <v>8730000</v>
      </c>
      <c r="AW386" s="311">
        <f t="shared" si="53"/>
        <v>0</v>
      </c>
      <c r="AX386" s="312">
        <f t="shared" si="54"/>
        <v>0</v>
      </c>
    </row>
    <row r="387" spans="1:50">
      <c r="A387" s="291" t="s">
        <v>494</v>
      </c>
      <c r="B387" s="291"/>
      <c r="C387" s="291"/>
      <c r="D387" s="291">
        <v>1160505001</v>
      </c>
      <c r="E387" s="291">
        <v>0</v>
      </c>
      <c r="F387" s="291">
        <v>43409</v>
      </c>
      <c r="G387" s="306">
        <v>43106</v>
      </c>
      <c r="H387" s="306">
        <v>43836</v>
      </c>
      <c r="I387" s="291">
        <v>1436</v>
      </c>
      <c r="J387" s="307">
        <v>24000000</v>
      </c>
      <c r="K387" s="307">
        <v>2076000</v>
      </c>
      <c r="L387" s="307">
        <v>0</v>
      </c>
      <c r="M387" s="291" t="s">
        <v>495</v>
      </c>
      <c r="N387" s="307">
        <v>24000000</v>
      </c>
      <c r="O387" s="307">
        <v>2076000</v>
      </c>
      <c r="P387" s="307">
        <v>17232000</v>
      </c>
      <c r="Q387" s="291">
        <v>1</v>
      </c>
      <c r="R387" s="291" t="s">
        <v>496</v>
      </c>
      <c r="S387" s="291">
        <v>100</v>
      </c>
      <c r="T387" s="307">
        <v>24000000</v>
      </c>
      <c r="U387" s="307">
        <v>2076000</v>
      </c>
      <c r="V387" s="291">
        <v>200</v>
      </c>
      <c r="W387" s="307">
        <v>10397102</v>
      </c>
      <c r="X387" s="291">
        <v>2</v>
      </c>
      <c r="Y387" s="291">
        <v>1160902010</v>
      </c>
      <c r="Z387" s="291">
        <v>2023</v>
      </c>
      <c r="AA387" s="291">
        <v>12</v>
      </c>
      <c r="AB387" s="291">
        <v>5026003002</v>
      </c>
      <c r="AC387" s="291">
        <v>1160903005</v>
      </c>
      <c r="AD387" s="291">
        <v>0</v>
      </c>
      <c r="AE387" s="291">
        <v>0</v>
      </c>
      <c r="AF387" s="291">
        <v>0</v>
      </c>
      <c r="AG387" s="291">
        <v>1160605001</v>
      </c>
      <c r="AH387" s="291">
        <v>1442</v>
      </c>
      <c r="AI387" s="291" t="s">
        <v>497</v>
      </c>
      <c r="AJ387" s="308">
        <v>0.01</v>
      </c>
      <c r="AK387" s="309">
        <f t="shared" si="55"/>
        <v>240000</v>
      </c>
      <c r="AL387" s="309">
        <f t="shared" si="56"/>
        <v>240000</v>
      </c>
      <c r="AM387" s="309">
        <f t="shared" si="56"/>
        <v>240000</v>
      </c>
      <c r="AN387" s="309"/>
      <c r="AO387" s="309"/>
      <c r="AP387" s="309">
        <f t="shared" si="51"/>
        <v>10380</v>
      </c>
      <c r="AQ387" s="309">
        <f t="shared" si="60"/>
        <v>10380</v>
      </c>
      <c r="AR387" s="309">
        <f t="shared" si="60"/>
        <v>10380</v>
      </c>
      <c r="AS387" s="309"/>
      <c r="AT387" s="309"/>
      <c r="AV387" s="311">
        <f t="shared" si="52"/>
        <v>23280000</v>
      </c>
      <c r="AW387" s="311">
        <f t="shared" si="53"/>
        <v>2044860</v>
      </c>
      <c r="AX387" s="312">
        <f t="shared" si="54"/>
        <v>0</v>
      </c>
    </row>
    <row r="388" spans="1:50">
      <c r="A388" s="291" t="s">
        <v>494</v>
      </c>
      <c r="B388" s="291"/>
      <c r="C388" s="291"/>
      <c r="D388" s="291">
        <v>1160505005</v>
      </c>
      <c r="E388" s="291">
        <v>0</v>
      </c>
      <c r="F388" s="291">
        <v>44084</v>
      </c>
      <c r="G388" s="306">
        <v>43176</v>
      </c>
      <c r="H388" s="306">
        <v>43830</v>
      </c>
      <c r="I388" s="291">
        <v>1442</v>
      </c>
      <c r="J388" s="307">
        <v>5370000</v>
      </c>
      <c r="K388" s="307">
        <v>322200</v>
      </c>
      <c r="L388" s="307">
        <v>0</v>
      </c>
      <c r="M388" s="291" t="s">
        <v>495</v>
      </c>
      <c r="N388" s="307">
        <v>5370000</v>
      </c>
      <c r="O388" s="307">
        <v>322200</v>
      </c>
      <c r="P388" s="307">
        <v>3871770</v>
      </c>
      <c r="Q388" s="291">
        <v>1</v>
      </c>
      <c r="R388" s="291" t="s">
        <v>496</v>
      </c>
      <c r="S388" s="291">
        <v>100</v>
      </c>
      <c r="T388" s="307">
        <v>5370000</v>
      </c>
      <c r="U388" s="307">
        <v>322200</v>
      </c>
      <c r="V388" s="291">
        <v>200</v>
      </c>
      <c r="W388" s="307">
        <v>10397102</v>
      </c>
      <c r="X388" s="291">
        <v>13</v>
      </c>
      <c r="Y388" s="291">
        <v>1160902010</v>
      </c>
      <c r="Z388" s="291">
        <v>2023</v>
      </c>
      <c r="AA388" s="291">
        <v>12</v>
      </c>
      <c r="AB388" s="291">
        <v>5026003002</v>
      </c>
      <c r="AC388" s="291">
        <v>1160903005</v>
      </c>
      <c r="AD388" s="291">
        <v>0</v>
      </c>
      <c r="AE388" s="291">
        <v>0</v>
      </c>
      <c r="AF388" s="291">
        <v>0</v>
      </c>
      <c r="AG388" s="291">
        <v>1160605001</v>
      </c>
      <c r="AH388" s="291">
        <v>1442</v>
      </c>
      <c r="AI388" s="291" t="s">
        <v>497</v>
      </c>
      <c r="AJ388" s="308">
        <v>0.01</v>
      </c>
      <c r="AK388" s="309">
        <f t="shared" si="55"/>
        <v>53700</v>
      </c>
      <c r="AL388" s="309">
        <f t="shared" si="56"/>
        <v>53700</v>
      </c>
      <c r="AM388" s="309">
        <f t="shared" si="56"/>
        <v>53700</v>
      </c>
      <c r="AN388" s="309"/>
      <c r="AO388" s="309"/>
      <c r="AP388" s="309">
        <f t="shared" si="51"/>
        <v>1611</v>
      </c>
      <c r="AQ388" s="309">
        <f t="shared" si="60"/>
        <v>1611</v>
      </c>
      <c r="AR388" s="309">
        <f t="shared" si="60"/>
        <v>1611</v>
      </c>
      <c r="AS388" s="309"/>
      <c r="AT388" s="309"/>
      <c r="AV388" s="311">
        <f t="shared" si="52"/>
        <v>5208900</v>
      </c>
      <c r="AW388" s="311">
        <f t="shared" si="53"/>
        <v>317367</v>
      </c>
      <c r="AX388" s="312">
        <f t="shared" si="54"/>
        <v>0</v>
      </c>
    </row>
    <row r="389" spans="1:50">
      <c r="A389" s="291" t="s">
        <v>494</v>
      </c>
      <c r="B389" s="291"/>
      <c r="C389" s="291"/>
      <c r="D389" s="291">
        <v>1160505001</v>
      </c>
      <c r="E389" s="291">
        <v>0</v>
      </c>
      <c r="F389" s="291">
        <v>44056</v>
      </c>
      <c r="G389" s="306">
        <v>43179</v>
      </c>
      <c r="H389" s="306">
        <v>44275</v>
      </c>
      <c r="I389" s="291">
        <v>1002</v>
      </c>
      <c r="J389" s="307">
        <v>10000000</v>
      </c>
      <c r="K389" s="307">
        <v>4500000</v>
      </c>
      <c r="L389" s="307">
        <v>0</v>
      </c>
      <c r="M389" s="291" t="s">
        <v>495</v>
      </c>
      <c r="N389" s="307">
        <v>10000000</v>
      </c>
      <c r="O389" s="307">
        <v>4500000</v>
      </c>
      <c r="P389" s="307">
        <v>5010000</v>
      </c>
      <c r="Q389" s="291">
        <v>1</v>
      </c>
      <c r="R389" s="291" t="s">
        <v>496</v>
      </c>
      <c r="S389" s="291">
        <v>100</v>
      </c>
      <c r="T389" s="307">
        <v>10000000</v>
      </c>
      <c r="U389" s="307">
        <v>4500000</v>
      </c>
      <c r="V389" s="291">
        <v>300</v>
      </c>
      <c r="W389" s="307">
        <v>2264011</v>
      </c>
      <c r="X389" s="291">
        <v>2</v>
      </c>
      <c r="Y389" s="291">
        <v>1160902010</v>
      </c>
      <c r="Z389" s="291">
        <v>2023</v>
      </c>
      <c r="AA389" s="291">
        <v>12</v>
      </c>
      <c r="AB389" s="291">
        <v>5026003002</v>
      </c>
      <c r="AC389" s="291">
        <v>1160903005</v>
      </c>
      <c r="AD389" s="291">
        <v>0</v>
      </c>
      <c r="AE389" s="291">
        <v>0</v>
      </c>
      <c r="AF389" s="291">
        <v>0</v>
      </c>
      <c r="AG389" s="291">
        <v>1160605001</v>
      </c>
      <c r="AH389" s="291">
        <v>1002</v>
      </c>
      <c r="AI389" s="291" t="s">
        <v>499</v>
      </c>
      <c r="AJ389" s="308">
        <v>0.05</v>
      </c>
      <c r="AK389" s="309">
        <f t="shared" si="55"/>
        <v>500000</v>
      </c>
      <c r="AL389" s="309">
        <f t="shared" si="56"/>
        <v>500000</v>
      </c>
      <c r="AM389" s="309">
        <f t="shared" si="56"/>
        <v>500000</v>
      </c>
      <c r="AN389" s="309"/>
      <c r="AO389" s="309"/>
      <c r="AP389" s="309">
        <f t="shared" si="51"/>
        <v>112500</v>
      </c>
      <c r="AQ389" s="309">
        <f t="shared" si="60"/>
        <v>112500</v>
      </c>
      <c r="AR389" s="309">
        <f t="shared" si="60"/>
        <v>112500</v>
      </c>
      <c r="AS389" s="309"/>
      <c r="AT389" s="309"/>
      <c r="AV389" s="311">
        <f t="shared" si="52"/>
        <v>8500000</v>
      </c>
      <c r="AW389" s="311">
        <f t="shared" si="53"/>
        <v>4162500</v>
      </c>
      <c r="AX389" s="312">
        <f t="shared" si="54"/>
        <v>0</v>
      </c>
    </row>
    <row r="390" spans="1:50">
      <c r="A390" s="291" t="s">
        <v>494</v>
      </c>
      <c r="B390" s="291"/>
      <c r="C390" s="291"/>
      <c r="D390" s="291">
        <v>1160505001</v>
      </c>
      <c r="E390" s="291">
        <v>0</v>
      </c>
      <c r="F390" s="291">
        <v>46533</v>
      </c>
      <c r="G390" s="306">
        <v>43560</v>
      </c>
      <c r="H390" s="306">
        <v>43926</v>
      </c>
      <c r="I390" s="291">
        <v>1347</v>
      </c>
      <c r="J390" s="307">
        <v>20000000</v>
      </c>
      <c r="K390" s="307">
        <v>3600000</v>
      </c>
      <c r="L390" s="307">
        <v>0</v>
      </c>
      <c r="M390" s="291" t="s">
        <v>495</v>
      </c>
      <c r="N390" s="307">
        <v>20000000</v>
      </c>
      <c r="O390" s="307">
        <v>3600000</v>
      </c>
      <c r="P390" s="307">
        <v>13470000</v>
      </c>
      <c r="Q390" s="291">
        <v>1</v>
      </c>
      <c r="R390" s="291" t="s">
        <v>496</v>
      </c>
      <c r="S390" s="291">
        <v>100</v>
      </c>
      <c r="T390" s="307">
        <v>20000000</v>
      </c>
      <c r="U390" s="307">
        <v>3600000</v>
      </c>
      <c r="V390" s="291">
        <v>200</v>
      </c>
      <c r="W390" s="307">
        <v>8097162</v>
      </c>
      <c r="X390" s="291">
        <v>2</v>
      </c>
      <c r="Y390" s="291">
        <v>1160902010</v>
      </c>
      <c r="Z390" s="291">
        <v>2023</v>
      </c>
      <c r="AA390" s="291">
        <v>12</v>
      </c>
      <c r="AB390" s="291">
        <v>5026003002</v>
      </c>
      <c r="AC390" s="291">
        <v>1160903005</v>
      </c>
      <c r="AD390" s="291">
        <v>0</v>
      </c>
      <c r="AE390" s="291">
        <v>0</v>
      </c>
      <c r="AF390" s="291">
        <v>0</v>
      </c>
      <c r="AG390" s="291">
        <v>1160605001</v>
      </c>
      <c r="AH390" s="291">
        <v>1347</v>
      </c>
      <c r="AI390" s="291" t="s">
        <v>497</v>
      </c>
      <c r="AJ390" s="308">
        <v>0.01</v>
      </c>
      <c r="AK390" s="309">
        <f t="shared" si="55"/>
        <v>200000</v>
      </c>
      <c r="AL390" s="309">
        <f t="shared" si="56"/>
        <v>200000</v>
      </c>
      <c r="AM390" s="309">
        <f t="shared" si="56"/>
        <v>200000</v>
      </c>
      <c r="AN390" s="309"/>
      <c r="AO390" s="309"/>
      <c r="AP390" s="309">
        <f t="shared" ref="AP390:AP433" si="61">+K390*(AJ390/2)</f>
        <v>18000</v>
      </c>
      <c r="AQ390" s="309">
        <f t="shared" si="60"/>
        <v>18000</v>
      </c>
      <c r="AR390" s="309">
        <f t="shared" si="60"/>
        <v>18000</v>
      </c>
      <c r="AS390" s="309"/>
      <c r="AT390" s="309"/>
      <c r="AV390" s="311">
        <f t="shared" ref="AV390:AV433" si="62">J390-AK390-AL390-AM390</f>
        <v>19400000</v>
      </c>
      <c r="AW390" s="311">
        <f t="shared" ref="AW390:AW433" si="63">+K390-AP390-AQ390-AR390</f>
        <v>3546000</v>
      </c>
      <c r="AX390" s="312">
        <f t="shared" ref="AX390:AX433" si="64">+J390-N390</f>
        <v>0</v>
      </c>
    </row>
    <row r="391" spans="1:50">
      <c r="A391" s="291" t="s">
        <v>494</v>
      </c>
      <c r="B391" s="291"/>
      <c r="C391" s="291"/>
      <c r="D391" s="291">
        <v>1160405001</v>
      </c>
      <c r="E391" s="291">
        <v>0</v>
      </c>
      <c r="F391" s="291">
        <v>35885</v>
      </c>
      <c r="G391" s="306">
        <v>41809</v>
      </c>
      <c r="H391" s="306">
        <v>42174</v>
      </c>
      <c r="I391" s="291">
        <v>3073</v>
      </c>
      <c r="J391" s="307">
        <v>130000000</v>
      </c>
      <c r="K391" s="307">
        <v>11700000</v>
      </c>
      <c r="L391" s="307">
        <v>0</v>
      </c>
      <c r="M391" s="291" t="s">
        <v>495</v>
      </c>
      <c r="N391" s="307">
        <v>130000000</v>
      </c>
      <c r="O391" s="307">
        <v>11700000</v>
      </c>
      <c r="P391" s="307">
        <v>199745000</v>
      </c>
      <c r="Q391" s="291">
        <v>2</v>
      </c>
      <c r="R391" s="291" t="s">
        <v>496</v>
      </c>
      <c r="S391" s="291">
        <v>100</v>
      </c>
      <c r="T391" s="307">
        <v>130000000</v>
      </c>
      <c r="U391" s="307">
        <v>11700000</v>
      </c>
      <c r="V391" s="291">
        <v>100</v>
      </c>
      <c r="W391" s="307">
        <v>50713312</v>
      </c>
      <c r="X391" s="291">
        <v>2</v>
      </c>
      <c r="Y391" s="291">
        <v>1160902009</v>
      </c>
      <c r="Z391" s="291">
        <v>2023</v>
      </c>
      <c r="AA391" s="291">
        <v>12</v>
      </c>
      <c r="AB391" s="291">
        <v>5026003002</v>
      </c>
      <c r="AC391" s="291">
        <v>1160903005</v>
      </c>
      <c r="AD391" s="291">
        <v>0</v>
      </c>
      <c r="AE391" s="291">
        <v>0</v>
      </c>
      <c r="AF391" s="291">
        <v>1</v>
      </c>
      <c r="AG391" s="291">
        <v>1160605001</v>
      </c>
      <c r="AH391" s="291">
        <v>3073</v>
      </c>
      <c r="AI391" s="291" t="s">
        <v>503</v>
      </c>
      <c r="AJ391" s="308">
        <v>0</v>
      </c>
      <c r="AK391" s="309">
        <f t="shared" ref="AK391:AK433" si="65">+$J391*$AJ391</f>
        <v>0</v>
      </c>
      <c r="AL391" s="309">
        <f t="shared" ref="AL391:AM433" si="66">IF(($J391-$AK391)&gt;0,$J391*$AJ391,0)</f>
        <v>0</v>
      </c>
      <c r="AM391" s="309">
        <f t="shared" si="66"/>
        <v>0</v>
      </c>
      <c r="AN391" s="309"/>
      <c r="AO391" s="309"/>
      <c r="AP391" s="309">
        <f t="shared" si="61"/>
        <v>0</v>
      </c>
      <c r="AQ391" s="309">
        <f t="shared" ref="AQ391:AR406" si="67">AP391</f>
        <v>0</v>
      </c>
      <c r="AR391" s="309">
        <f t="shared" si="67"/>
        <v>0</v>
      </c>
      <c r="AS391" s="309"/>
      <c r="AT391" s="309"/>
      <c r="AV391" s="311">
        <f t="shared" si="62"/>
        <v>130000000</v>
      </c>
      <c r="AW391" s="311">
        <f t="shared" si="63"/>
        <v>11700000</v>
      </c>
      <c r="AX391" s="312">
        <f t="shared" si="64"/>
        <v>0</v>
      </c>
    </row>
    <row r="392" spans="1:50">
      <c r="A392" s="291" t="s">
        <v>494</v>
      </c>
      <c r="B392" s="291"/>
      <c r="C392" s="291"/>
      <c r="D392" s="291">
        <v>1160405001</v>
      </c>
      <c r="E392" s="291">
        <v>0</v>
      </c>
      <c r="F392" s="291">
        <v>35964</v>
      </c>
      <c r="G392" s="306">
        <v>41819</v>
      </c>
      <c r="H392" s="306">
        <v>42184</v>
      </c>
      <c r="I392" s="291">
        <v>3063</v>
      </c>
      <c r="J392" s="307">
        <v>25000000</v>
      </c>
      <c r="K392" s="307">
        <v>2250000</v>
      </c>
      <c r="L392" s="307">
        <v>0</v>
      </c>
      <c r="M392" s="291" t="s">
        <v>495</v>
      </c>
      <c r="N392" s="307">
        <v>25000000</v>
      </c>
      <c r="O392" s="307">
        <v>2250000</v>
      </c>
      <c r="P392" s="307">
        <v>38287500</v>
      </c>
      <c r="Q392" s="291">
        <v>2</v>
      </c>
      <c r="R392" s="291" t="s">
        <v>496</v>
      </c>
      <c r="S392" s="291">
        <v>100</v>
      </c>
      <c r="T392" s="307">
        <v>25000000</v>
      </c>
      <c r="U392" s="307">
        <v>2250000</v>
      </c>
      <c r="V392" s="291">
        <v>200</v>
      </c>
      <c r="W392" s="307">
        <v>50713312</v>
      </c>
      <c r="X392" s="291">
        <v>2</v>
      </c>
      <c r="Y392" s="291">
        <v>1160902009</v>
      </c>
      <c r="Z392" s="291">
        <v>2023</v>
      </c>
      <c r="AA392" s="291">
        <v>12</v>
      </c>
      <c r="AB392" s="291">
        <v>5026003002</v>
      </c>
      <c r="AC392" s="291">
        <v>1160903005</v>
      </c>
      <c r="AD392" s="291">
        <v>0</v>
      </c>
      <c r="AE392" s="291">
        <v>0</v>
      </c>
      <c r="AF392" s="291">
        <v>1</v>
      </c>
      <c r="AG392" s="291">
        <v>1160605001</v>
      </c>
      <c r="AH392" s="291">
        <v>3073</v>
      </c>
      <c r="AI392" s="291" t="s">
        <v>503</v>
      </c>
      <c r="AJ392" s="308">
        <v>0</v>
      </c>
      <c r="AK392" s="309">
        <f t="shared" si="65"/>
        <v>0</v>
      </c>
      <c r="AL392" s="309">
        <f t="shared" si="66"/>
        <v>0</v>
      </c>
      <c r="AM392" s="309">
        <f t="shared" si="66"/>
        <v>0</v>
      </c>
      <c r="AN392" s="309"/>
      <c r="AO392" s="309"/>
      <c r="AP392" s="309">
        <f t="shared" si="61"/>
        <v>0</v>
      </c>
      <c r="AQ392" s="309">
        <f t="shared" si="67"/>
        <v>0</v>
      </c>
      <c r="AR392" s="309">
        <f t="shared" si="67"/>
        <v>0</v>
      </c>
      <c r="AS392" s="309"/>
      <c r="AT392" s="309"/>
      <c r="AV392" s="311">
        <f t="shared" si="62"/>
        <v>25000000</v>
      </c>
      <c r="AW392" s="311">
        <f t="shared" si="63"/>
        <v>2250000</v>
      </c>
      <c r="AX392" s="312">
        <f t="shared" si="64"/>
        <v>0</v>
      </c>
    </row>
    <row r="393" spans="1:50">
      <c r="A393" s="291" t="s">
        <v>494</v>
      </c>
      <c r="B393" s="291"/>
      <c r="C393" s="291"/>
      <c r="D393" s="291">
        <v>1160405001</v>
      </c>
      <c r="E393" s="291">
        <v>0</v>
      </c>
      <c r="F393" s="291">
        <v>36799</v>
      </c>
      <c r="G393" s="306">
        <v>41986</v>
      </c>
      <c r="H393" s="306">
        <v>42351</v>
      </c>
      <c r="I393" s="291">
        <v>2899</v>
      </c>
      <c r="J393" s="307">
        <v>90000000</v>
      </c>
      <c r="K393" s="307">
        <v>8100000</v>
      </c>
      <c r="L393" s="307">
        <v>0</v>
      </c>
      <c r="M393" s="291" t="s">
        <v>495</v>
      </c>
      <c r="N393" s="307">
        <v>90000000</v>
      </c>
      <c r="O393" s="307">
        <v>8100000</v>
      </c>
      <c r="P393" s="307">
        <v>130455000</v>
      </c>
      <c r="Q393" s="291">
        <v>2</v>
      </c>
      <c r="R393" s="291" t="s">
        <v>496</v>
      </c>
      <c r="S393" s="291">
        <v>100</v>
      </c>
      <c r="T393" s="307">
        <v>90000000</v>
      </c>
      <c r="U393" s="307">
        <v>8100000</v>
      </c>
      <c r="V393" s="291">
        <v>100</v>
      </c>
      <c r="W393" s="307">
        <v>50713312</v>
      </c>
      <c r="X393" s="291">
        <v>2</v>
      </c>
      <c r="Y393" s="291">
        <v>1160902009</v>
      </c>
      <c r="Z393" s="291">
        <v>2023</v>
      </c>
      <c r="AA393" s="291">
        <v>12</v>
      </c>
      <c r="AB393" s="291">
        <v>5026003002</v>
      </c>
      <c r="AC393" s="291">
        <v>1160903005</v>
      </c>
      <c r="AD393" s="291">
        <v>0</v>
      </c>
      <c r="AE393" s="291">
        <v>0</v>
      </c>
      <c r="AF393" s="291">
        <v>1</v>
      </c>
      <c r="AG393" s="291">
        <v>1160605001</v>
      </c>
      <c r="AH393" s="291">
        <v>3073</v>
      </c>
      <c r="AI393" s="291" t="s">
        <v>503</v>
      </c>
      <c r="AJ393" s="308">
        <v>0</v>
      </c>
      <c r="AK393" s="309">
        <f t="shared" si="65"/>
        <v>0</v>
      </c>
      <c r="AL393" s="309">
        <f t="shared" si="66"/>
        <v>0</v>
      </c>
      <c r="AM393" s="309">
        <f t="shared" si="66"/>
        <v>0</v>
      </c>
      <c r="AN393" s="309"/>
      <c r="AO393" s="309"/>
      <c r="AP393" s="309">
        <f t="shared" si="61"/>
        <v>0</v>
      </c>
      <c r="AQ393" s="309">
        <f t="shared" si="67"/>
        <v>0</v>
      </c>
      <c r="AR393" s="309">
        <f t="shared" si="67"/>
        <v>0</v>
      </c>
      <c r="AS393" s="309"/>
      <c r="AT393" s="309"/>
      <c r="AV393" s="311">
        <f t="shared" si="62"/>
        <v>90000000</v>
      </c>
      <c r="AW393" s="311">
        <f t="shared" si="63"/>
        <v>8100000</v>
      </c>
      <c r="AX393" s="312">
        <f t="shared" si="64"/>
        <v>0</v>
      </c>
    </row>
    <row r="394" spans="1:50">
      <c r="A394" s="291" t="s">
        <v>494</v>
      </c>
      <c r="B394" s="291"/>
      <c r="C394" s="291"/>
      <c r="D394" s="291">
        <v>1160405001</v>
      </c>
      <c r="E394" s="291">
        <v>0</v>
      </c>
      <c r="F394" s="291">
        <v>37790</v>
      </c>
      <c r="G394" s="306">
        <v>42133</v>
      </c>
      <c r="H394" s="306">
        <v>42256</v>
      </c>
      <c r="I394" s="291">
        <v>2993</v>
      </c>
      <c r="J394" s="307">
        <v>40000000</v>
      </c>
      <c r="K394" s="307">
        <v>1200000</v>
      </c>
      <c r="L394" s="307">
        <v>0</v>
      </c>
      <c r="M394" s="291" t="s">
        <v>495</v>
      </c>
      <c r="N394" s="307">
        <v>40000000</v>
      </c>
      <c r="O394" s="307">
        <v>1200000</v>
      </c>
      <c r="P394" s="307">
        <v>59860000</v>
      </c>
      <c r="Q394" s="291">
        <v>2</v>
      </c>
      <c r="R394" s="291" t="s">
        <v>496</v>
      </c>
      <c r="S394" s="291">
        <v>100</v>
      </c>
      <c r="T394" s="307">
        <v>40000000</v>
      </c>
      <c r="U394" s="307">
        <v>1200000</v>
      </c>
      <c r="V394" s="291">
        <v>200</v>
      </c>
      <c r="W394" s="307">
        <v>50713312</v>
      </c>
      <c r="X394" s="291">
        <v>2</v>
      </c>
      <c r="Y394" s="291">
        <v>1160902009</v>
      </c>
      <c r="Z394" s="291">
        <v>2023</v>
      </c>
      <c r="AA394" s="291">
        <v>12</v>
      </c>
      <c r="AB394" s="291">
        <v>5026003002</v>
      </c>
      <c r="AC394" s="291">
        <v>1160903005</v>
      </c>
      <c r="AD394" s="291">
        <v>0</v>
      </c>
      <c r="AE394" s="291">
        <v>0</v>
      </c>
      <c r="AF394" s="291">
        <v>1</v>
      </c>
      <c r="AG394" s="291">
        <v>1160605001</v>
      </c>
      <c r="AH394" s="291">
        <v>3073</v>
      </c>
      <c r="AI394" s="291" t="s">
        <v>503</v>
      </c>
      <c r="AJ394" s="308">
        <v>0</v>
      </c>
      <c r="AK394" s="309">
        <f t="shared" si="65"/>
        <v>0</v>
      </c>
      <c r="AL394" s="309">
        <f t="shared" si="66"/>
        <v>0</v>
      </c>
      <c r="AM394" s="309">
        <f t="shared" si="66"/>
        <v>0</v>
      </c>
      <c r="AN394" s="309"/>
      <c r="AO394" s="309"/>
      <c r="AP394" s="309">
        <f t="shared" si="61"/>
        <v>0</v>
      </c>
      <c r="AQ394" s="309">
        <f t="shared" si="67"/>
        <v>0</v>
      </c>
      <c r="AR394" s="309">
        <f t="shared" si="67"/>
        <v>0</v>
      </c>
      <c r="AS394" s="309"/>
      <c r="AT394" s="309"/>
      <c r="AV394" s="311">
        <f t="shared" si="62"/>
        <v>40000000</v>
      </c>
      <c r="AW394" s="311">
        <f t="shared" si="63"/>
        <v>1200000</v>
      </c>
      <c r="AX394" s="312">
        <f t="shared" si="64"/>
        <v>0</v>
      </c>
    </row>
    <row r="395" spans="1:50">
      <c r="A395" s="291" t="s">
        <v>494</v>
      </c>
      <c r="B395" s="291"/>
      <c r="C395" s="291"/>
      <c r="D395" s="291">
        <v>1160505005</v>
      </c>
      <c r="E395" s="291">
        <v>0</v>
      </c>
      <c r="F395" s="291">
        <v>37638</v>
      </c>
      <c r="G395" s="306">
        <v>42103</v>
      </c>
      <c r="H395" s="306">
        <v>42368</v>
      </c>
      <c r="I395" s="291">
        <v>2882</v>
      </c>
      <c r="J395" s="307">
        <v>12281000</v>
      </c>
      <c r="K395" s="307">
        <v>0</v>
      </c>
      <c r="L395" s="307">
        <v>0</v>
      </c>
      <c r="M395" s="291" t="s">
        <v>495</v>
      </c>
      <c r="N395" s="307">
        <v>12281000</v>
      </c>
      <c r="O395" s="307">
        <v>0</v>
      </c>
      <c r="P395" s="307">
        <v>17696921</v>
      </c>
      <c r="Q395" s="291">
        <v>1</v>
      </c>
      <c r="R395" s="291" t="s">
        <v>496</v>
      </c>
      <c r="S395" s="291">
        <v>100</v>
      </c>
      <c r="T395" s="307">
        <v>12281000</v>
      </c>
      <c r="U395" s="307">
        <v>0</v>
      </c>
      <c r="V395" s="291">
        <v>200</v>
      </c>
      <c r="W395" s="307">
        <v>50713312</v>
      </c>
      <c r="X395" s="291">
        <v>13</v>
      </c>
      <c r="Y395" s="291">
        <v>1160902010</v>
      </c>
      <c r="Z395" s="291">
        <v>2023</v>
      </c>
      <c r="AA395" s="291">
        <v>12</v>
      </c>
      <c r="AB395" s="291">
        <v>5026003002</v>
      </c>
      <c r="AC395" s="291">
        <v>1160903005</v>
      </c>
      <c r="AD395" s="291">
        <v>0</v>
      </c>
      <c r="AE395" s="291">
        <v>0</v>
      </c>
      <c r="AF395" s="291">
        <v>0</v>
      </c>
      <c r="AG395" s="291">
        <v>1160605001</v>
      </c>
      <c r="AH395" s="291">
        <v>3073</v>
      </c>
      <c r="AI395" s="291" t="s">
        <v>503</v>
      </c>
      <c r="AJ395" s="308">
        <v>0</v>
      </c>
      <c r="AK395" s="309">
        <f t="shared" si="65"/>
        <v>0</v>
      </c>
      <c r="AL395" s="309">
        <f t="shared" si="66"/>
        <v>0</v>
      </c>
      <c r="AM395" s="309">
        <f t="shared" si="66"/>
        <v>0</v>
      </c>
      <c r="AN395" s="309"/>
      <c r="AO395" s="309"/>
      <c r="AP395" s="309">
        <f t="shared" si="61"/>
        <v>0</v>
      </c>
      <c r="AQ395" s="309">
        <f t="shared" si="67"/>
        <v>0</v>
      </c>
      <c r="AR395" s="309">
        <f t="shared" si="67"/>
        <v>0</v>
      </c>
      <c r="AS395" s="309"/>
      <c r="AT395" s="309"/>
      <c r="AV395" s="311">
        <f t="shared" si="62"/>
        <v>12281000</v>
      </c>
      <c r="AW395" s="311">
        <f t="shared" si="63"/>
        <v>0</v>
      </c>
      <c r="AX395" s="312">
        <f t="shared" si="64"/>
        <v>0</v>
      </c>
    </row>
    <row r="396" spans="1:50">
      <c r="A396" s="291" t="s">
        <v>494</v>
      </c>
      <c r="B396" s="291"/>
      <c r="C396" s="291"/>
      <c r="D396" s="291">
        <v>1160505005</v>
      </c>
      <c r="E396" s="291">
        <v>0</v>
      </c>
      <c r="F396" s="291">
        <v>37863</v>
      </c>
      <c r="G396" s="306">
        <v>42141</v>
      </c>
      <c r="H396" s="306">
        <v>42368</v>
      </c>
      <c r="I396" s="291">
        <v>2882</v>
      </c>
      <c r="J396" s="307">
        <v>4840000</v>
      </c>
      <c r="K396" s="307">
        <v>0</v>
      </c>
      <c r="L396" s="307">
        <v>0</v>
      </c>
      <c r="M396" s="291" t="s">
        <v>495</v>
      </c>
      <c r="N396" s="307">
        <v>4840000</v>
      </c>
      <c r="O396" s="307">
        <v>0</v>
      </c>
      <c r="P396" s="307">
        <v>6974440</v>
      </c>
      <c r="Q396" s="291">
        <v>1</v>
      </c>
      <c r="R396" s="291" t="s">
        <v>496</v>
      </c>
      <c r="S396" s="291">
        <v>100</v>
      </c>
      <c r="T396" s="307">
        <v>4840000</v>
      </c>
      <c r="U396" s="307">
        <v>0</v>
      </c>
      <c r="V396" s="291">
        <v>200</v>
      </c>
      <c r="W396" s="307">
        <v>50713312</v>
      </c>
      <c r="X396" s="291">
        <v>13</v>
      </c>
      <c r="Y396" s="291">
        <v>1160902010</v>
      </c>
      <c r="Z396" s="291">
        <v>2023</v>
      </c>
      <c r="AA396" s="291">
        <v>12</v>
      </c>
      <c r="AB396" s="291">
        <v>5026003002</v>
      </c>
      <c r="AC396" s="291">
        <v>1160903005</v>
      </c>
      <c r="AD396" s="291">
        <v>0</v>
      </c>
      <c r="AE396" s="291">
        <v>0</v>
      </c>
      <c r="AF396" s="291">
        <v>0</v>
      </c>
      <c r="AG396" s="291">
        <v>1160605001</v>
      </c>
      <c r="AH396" s="291">
        <v>3073</v>
      </c>
      <c r="AI396" s="291" t="s">
        <v>503</v>
      </c>
      <c r="AJ396" s="308">
        <v>0</v>
      </c>
      <c r="AK396" s="309">
        <f t="shared" si="65"/>
        <v>0</v>
      </c>
      <c r="AL396" s="309">
        <f t="shared" si="66"/>
        <v>0</v>
      </c>
      <c r="AM396" s="309">
        <f t="shared" si="66"/>
        <v>0</v>
      </c>
      <c r="AN396" s="309"/>
      <c r="AO396" s="309"/>
      <c r="AP396" s="309">
        <f t="shared" si="61"/>
        <v>0</v>
      </c>
      <c r="AQ396" s="309">
        <f t="shared" si="67"/>
        <v>0</v>
      </c>
      <c r="AR396" s="309">
        <f t="shared" si="67"/>
        <v>0</v>
      </c>
      <c r="AS396" s="309"/>
      <c r="AT396" s="309"/>
      <c r="AV396" s="311">
        <f t="shared" si="62"/>
        <v>4840000</v>
      </c>
      <c r="AW396" s="311">
        <f t="shared" si="63"/>
        <v>0</v>
      </c>
      <c r="AX396" s="312">
        <f t="shared" si="64"/>
        <v>0</v>
      </c>
    </row>
    <row r="397" spans="1:50">
      <c r="A397" s="291" t="s">
        <v>494</v>
      </c>
      <c r="B397" s="291"/>
      <c r="C397" s="291"/>
      <c r="D397" s="291">
        <v>1160505005</v>
      </c>
      <c r="E397" s="291">
        <v>0</v>
      </c>
      <c r="F397" s="291">
        <v>38242</v>
      </c>
      <c r="G397" s="306">
        <v>42194</v>
      </c>
      <c r="H397" s="306">
        <v>42368</v>
      </c>
      <c r="I397" s="291">
        <v>2882</v>
      </c>
      <c r="J397" s="307">
        <v>16812000</v>
      </c>
      <c r="K397" s="307">
        <v>0</v>
      </c>
      <c r="L397" s="307">
        <v>0</v>
      </c>
      <c r="M397" s="291" t="s">
        <v>495</v>
      </c>
      <c r="N397" s="307">
        <v>16812000</v>
      </c>
      <c r="O397" s="307">
        <v>0</v>
      </c>
      <c r="P397" s="307">
        <v>24226092</v>
      </c>
      <c r="Q397" s="291">
        <v>1</v>
      </c>
      <c r="R397" s="291" t="s">
        <v>496</v>
      </c>
      <c r="S397" s="291">
        <v>100</v>
      </c>
      <c r="T397" s="307">
        <v>16812000</v>
      </c>
      <c r="U397" s="307">
        <v>0</v>
      </c>
      <c r="V397" s="291">
        <v>200</v>
      </c>
      <c r="W397" s="307">
        <v>50713312</v>
      </c>
      <c r="X397" s="291">
        <v>13</v>
      </c>
      <c r="Y397" s="291">
        <v>1160902010</v>
      </c>
      <c r="Z397" s="291">
        <v>2023</v>
      </c>
      <c r="AA397" s="291">
        <v>12</v>
      </c>
      <c r="AB397" s="291">
        <v>5026003002</v>
      </c>
      <c r="AC397" s="291">
        <v>1160903005</v>
      </c>
      <c r="AD397" s="291">
        <v>0</v>
      </c>
      <c r="AE397" s="291">
        <v>0</v>
      </c>
      <c r="AF397" s="291">
        <v>0</v>
      </c>
      <c r="AG397" s="291">
        <v>1160605001</v>
      </c>
      <c r="AH397" s="291">
        <v>3073</v>
      </c>
      <c r="AI397" s="291" t="s">
        <v>503</v>
      </c>
      <c r="AJ397" s="308">
        <v>0</v>
      </c>
      <c r="AK397" s="309">
        <f t="shared" si="65"/>
        <v>0</v>
      </c>
      <c r="AL397" s="309">
        <f t="shared" si="66"/>
        <v>0</v>
      </c>
      <c r="AM397" s="309">
        <f t="shared" si="66"/>
        <v>0</v>
      </c>
      <c r="AN397" s="309"/>
      <c r="AO397" s="309"/>
      <c r="AP397" s="309">
        <f t="shared" si="61"/>
        <v>0</v>
      </c>
      <c r="AQ397" s="309">
        <f t="shared" si="67"/>
        <v>0</v>
      </c>
      <c r="AR397" s="309">
        <f t="shared" si="67"/>
        <v>0</v>
      </c>
      <c r="AS397" s="309"/>
      <c r="AT397" s="309"/>
      <c r="AV397" s="311">
        <f t="shared" si="62"/>
        <v>16812000</v>
      </c>
      <c r="AW397" s="311">
        <f t="shared" si="63"/>
        <v>0</v>
      </c>
      <c r="AX397" s="312">
        <f t="shared" si="64"/>
        <v>0</v>
      </c>
    </row>
    <row r="398" spans="1:50">
      <c r="A398" s="291" t="s">
        <v>494</v>
      </c>
      <c r="B398" s="291"/>
      <c r="C398" s="291"/>
      <c r="D398" s="291">
        <v>1160505001</v>
      </c>
      <c r="E398" s="291">
        <v>0</v>
      </c>
      <c r="F398" s="291">
        <v>46880</v>
      </c>
      <c r="G398" s="306">
        <v>43625</v>
      </c>
      <c r="H398" s="306">
        <v>43991</v>
      </c>
      <c r="I398" s="291">
        <v>1283</v>
      </c>
      <c r="J398" s="307">
        <v>3000000</v>
      </c>
      <c r="K398" s="307">
        <v>0</v>
      </c>
      <c r="L398" s="307">
        <v>0</v>
      </c>
      <c r="M398" s="291" t="s">
        <v>495</v>
      </c>
      <c r="N398" s="307">
        <v>3000000</v>
      </c>
      <c r="O398" s="307">
        <v>0</v>
      </c>
      <c r="P398" s="307">
        <v>1924500</v>
      </c>
      <c r="Q398" s="291">
        <v>1</v>
      </c>
      <c r="R398" s="291" t="s">
        <v>496</v>
      </c>
      <c r="S398" s="291">
        <v>100</v>
      </c>
      <c r="T398" s="307">
        <v>3000000</v>
      </c>
      <c r="U398" s="307">
        <v>0</v>
      </c>
      <c r="V398" s="291">
        <v>100</v>
      </c>
      <c r="W398" s="307">
        <v>6628968</v>
      </c>
      <c r="X398" s="291">
        <v>2</v>
      </c>
      <c r="Y398" s="291">
        <v>1160902010</v>
      </c>
      <c r="Z398" s="291">
        <v>2023</v>
      </c>
      <c r="AA398" s="291">
        <v>12</v>
      </c>
      <c r="AB398" s="291">
        <v>5026003002</v>
      </c>
      <c r="AC398" s="291">
        <v>1160903005</v>
      </c>
      <c r="AD398" s="291">
        <v>0</v>
      </c>
      <c r="AE398" s="291">
        <v>0</v>
      </c>
      <c r="AF398" s="291">
        <v>0</v>
      </c>
      <c r="AG398" s="291">
        <v>1160605001</v>
      </c>
      <c r="AH398" s="291">
        <v>1283</v>
      </c>
      <c r="AI398" s="291" t="s">
        <v>497</v>
      </c>
      <c r="AJ398" s="308">
        <v>0.01</v>
      </c>
      <c r="AK398" s="309">
        <f t="shared" si="65"/>
        <v>30000</v>
      </c>
      <c r="AL398" s="309">
        <f t="shared" si="66"/>
        <v>30000</v>
      </c>
      <c r="AM398" s="309">
        <f t="shared" si="66"/>
        <v>30000</v>
      </c>
      <c r="AN398" s="309"/>
      <c r="AO398" s="309"/>
      <c r="AP398" s="309">
        <f t="shared" si="61"/>
        <v>0</v>
      </c>
      <c r="AQ398" s="309">
        <f t="shared" si="67"/>
        <v>0</v>
      </c>
      <c r="AR398" s="309">
        <f t="shared" si="67"/>
        <v>0</v>
      </c>
      <c r="AS398" s="309"/>
      <c r="AT398" s="309"/>
      <c r="AV398" s="311">
        <f t="shared" si="62"/>
        <v>2910000</v>
      </c>
      <c r="AW398" s="311">
        <f t="shared" si="63"/>
        <v>0</v>
      </c>
      <c r="AX398" s="312">
        <f t="shared" si="64"/>
        <v>0</v>
      </c>
    </row>
    <row r="399" spans="1:50">
      <c r="A399" s="291" t="s">
        <v>494</v>
      </c>
      <c r="B399" s="291"/>
      <c r="C399" s="291"/>
      <c r="D399" s="291">
        <v>1160505001</v>
      </c>
      <c r="E399" s="291">
        <v>0</v>
      </c>
      <c r="F399" s="291">
        <v>45669</v>
      </c>
      <c r="G399" s="306">
        <v>43473</v>
      </c>
      <c r="H399" s="306">
        <v>44569</v>
      </c>
      <c r="I399" s="291">
        <v>714</v>
      </c>
      <c r="J399" s="307">
        <v>2332000</v>
      </c>
      <c r="K399" s="307">
        <v>429088</v>
      </c>
      <c r="L399" s="307">
        <v>0</v>
      </c>
      <c r="M399" s="291" t="s">
        <v>495</v>
      </c>
      <c r="N399" s="307">
        <v>2332000</v>
      </c>
      <c r="O399" s="307">
        <v>429088</v>
      </c>
      <c r="P399" s="307">
        <v>832524</v>
      </c>
      <c r="Q399" s="291">
        <v>1</v>
      </c>
      <c r="R399" s="291" t="s">
        <v>496</v>
      </c>
      <c r="S399" s="291">
        <v>100</v>
      </c>
      <c r="T399" s="307">
        <v>2332000</v>
      </c>
      <c r="U399" s="307">
        <v>429088</v>
      </c>
      <c r="V399" s="291">
        <v>200</v>
      </c>
      <c r="W399" s="307">
        <v>20952759</v>
      </c>
      <c r="X399" s="291">
        <v>2</v>
      </c>
      <c r="Y399" s="291">
        <v>1160902010</v>
      </c>
      <c r="Z399" s="291">
        <v>2023</v>
      </c>
      <c r="AA399" s="291">
        <v>12</v>
      </c>
      <c r="AB399" s="291">
        <v>5026003002</v>
      </c>
      <c r="AC399" s="291">
        <v>1160903005</v>
      </c>
      <c r="AD399" s="291">
        <v>0</v>
      </c>
      <c r="AE399" s="291">
        <v>0</v>
      </c>
      <c r="AF399" s="291">
        <v>0</v>
      </c>
      <c r="AG399" s="291">
        <v>1160605001</v>
      </c>
      <c r="AH399" s="291">
        <v>714</v>
      </c>
      <c r="AI399" s="291" t="s">
        <v>498</v>
      </c>
      <c r="AJ399" s="308">
        <v>0.1</v>
      </c>
      <c r="AK399" s="309">
        <f t="shared" si="65"/>
        <v>233200</v>
      </c>
      <c r="AL399" s="309">
        <f t="shared" si="66"/>
        <v>233200</v>
      </c>
      <c r="AM399" s="309">
        <f t="shared" si="66"/>
        <v>233200</v>
      </c>
      <c r="AN399" s="309"/>
      <c r="AO399" s="309"/>
      <c r="AP399" s="309">
        <f t="shared" si="61"/>
        <v>21454.400000000001</v>
      </c>
      <c r="AQ399" s="309">
        <f t="shared" si="67"/>
        <v>21454.400000000001</v>
      </c>
      <c r="AR399" s="309">
        <f t="shared" si="67"/>
        <v>21454.400000000001</v>
      </c>
      <c r="AS399" s="309"/>
      <c r="AT399" s="309"/>
      <c r="AV399" s="311">
        <f t="shared" si="62"/>
        <v>1632400</v>
      </c>
      <c r="AW399" s="311">
        <f t="shared" si="63"/>
        <v>364724.79999999993</v>
      </c>
      <c r="AX399" s="312">
        <f t="shared" si="64"/>
        <v>0</v>
      </c>
    </row>
    <row r="400" spans="1:50">
      <c r="A400" s="291" t="s">
        <v>494</v>
      </c>
      <c r="B400" s="291"/>
      <c r="C400" s="291"/>
      <c r="D400" s="291">
        <v>1160505001</v>
      </c>
      <c r="E400" s="291">
        <v>0</v>
      </c>
      <c r="F400" s="291">
        <v>46074</v>
      </c>
      <c r="G400" s="306">
        <v>43512</v>
      </c>
      <c r="H400" s="306">
        <v>43877</v>
      </c>
      <c r="I400" s="291">
        <v>1396</v>
      </c>
      <c r="J400" s="307">
        <v>1400000</v>
      </c>
      <c r="K400" s="307">
        <v>0</v>
      </c>
      <c r="L400" s="307">
        <v>0</v>
      </c>
      <c r="M400" s="291" t="s">
        <v>495</v>
      </c>
      <c r="N400" s="307">
        <v>1400000</v>
      </c>
      <c r="O400" s="307">
        <v>0</v>
      </c>
      <c r="P400" s="307">
        <v>977200</v>
      </c>
      <c r="Q400" s="291">
        <v>1</v>
      </c>
      <c r="R400" s="291" t="s">
        <v>496</v>
      </c>
      <c r="S400" s="291">
        <v>100</v>
      </c>
      <c r="T400" s="307">
        <v>1400000</v>
      </c>
      <c r="U400" s="307">
        <v>0</v>
      </c>
      <c r="V400" s="291">
        <v>300</v>
      </c>
      <c r="W400" s="307">
        <v>1649161</v>
      </c>
      <c r="X400" s="291">
        <v>2</v>
      </c>
      <c r="Y400" s="291">
        <v>1160902010</v>
      </c>
      <c r="Z400" s="291">
        <v>2023</v>
      </c>
      <c r="AA400" s="291">
        <v>12</v>
      </c>
      <c r="AB400" s="291">
        <v>5026003002</v>
      </c>
      <c r="AC400" s="291">
        <v>1160903005</v>
      </c>
      <c r="AD400" s="291">
        <v>0</v>
      </c>
      <c r="AE400" s="291">
        <v>0</v>
      </c>
      <c r="AF400" s="291">
        <v>0</v>
      </c>
      <c r="AG400" s="291">
        <v>1160605001</v>
      </c>
      <c r="AH400" s="291">
        <v>1396</v>
      </c>
      <c r="AI400" s="291" t="s">
        <v>497</v>
      </c>
      <c r="AJ400" s="308">
        <v>0.01</v>
      </c>
      <c r="AK400" s="309">
        <f t="shared" si="65"/>
        <v>14000</v>
      </c>
      <c r="AL400" s="309">
        <f t="shared" si="66"/>
        <v>14000</v>
      </c>
      <c r="AM400" s="309">
        <f t="shared" si="66"/>
        <v>14000</v>
      </c>
      <c r="AN400" s="309"/>
      <c r="AO400" s="309"/>
      <c r="AP400" s="309">
        <f t="shared" si="61"/>
        <v>0</v>
      </c>
      <c r="AQ400" s="309">
        <f t="shared" si="67"/>
        <v>0</v>
      </c>
      <c r="AR400" s="309">
        <f t="shared" si="67"/>
        <v>0</v>
      </c>
      <c r="AS400" s="309"/>
      <c r="AT400" s="309"/>
      <c r="AV400" s="311">
        <f t="shared" si="62"/>
        <v>1358000</v>
      </c>
      <c r="AW400" s="311">
        <f t="shared" si="63"/>
        <v>0</v>
      </c>
      <c r="AX400" s="312">
        <f t="shared" si="64"/>
        <v>0</v>
      </c>
    </row>
    <row r="401" spans="1:51">
      <c r="A401" s="291" t="s">
        <v>494</v>
      </c>
      <c r="B401" s="291"/>
      <c r="C401" s="291"/>
      <c r="D401" s="291">
        <v>1160505001</v>
      </c>
      <c r="E401" s="291">
        <v>0</v>
      </c>
      <c r="F401" s="291">
        <v>44031</v>
      </c>
      <c r="G401" s="306">
        <v>43177</v>
      </c>
      <c r="H401" s="306">
        <v>43542</v>
      </c>
      <c r="I401" s="291">
        <v>1724</v>
      </c>
      <c r="J401" s="307">
        <v>1200000</v>
      </c>
      <c r="K401" s="307">
        <v>135100</v>
      </c>
      <c r="L401" s="307">
        <v>0</v>
      </c>
      <c r="M401" s="291" t="s">
        <v>495</v>
      </c>
      <c r="N401" s="307">
        <v>1200000</v>
      </c>
      <c r="O401" s="307">
        <v>135100</v>
      </c>
      <c r="P401" s="307">
        <v>1034400</v>
      </c>
      <c r="Q401" s="291">
        <v>1</v>
      </c>
      <c r="R401" s="291" t="s">
        <v>496</v>
      </c>
      <c r="S401" s="291">
        <v>100</v>
      </c>
      <c r="T401" s="307">
        <v>1200000</v>
      </c>
      <c r="U401" s="307">
        <v>135100</v>
      </c>
      <c r="V401" s="291">
        <v>100</v>
      </c>
      <c r="W401" s="307">
        <v>947562</v>
      </c>
      <c r="X401" s="291">
        <v>2</v>
      </c>
      <c r="Y401" s="291">
        <v>1160902010</v>
      </c>
      <c r="Z401" s="291">
        <v>2023</v>
      </c>
      <c r="AA401" s="291">
        <v>12</v>
      </c>
      <c r="AB401" s="291">
        <v>5026003002</v>
      </c>
      <c r="AC401" s="291">
        <v>1160903005</v>
      </c>
      <c r="AD401" s="291">
        <v>0</v>
      </c>
      <c r="AE401" s="291">
        <v>0</v>
      </c>
      <c r="AF401" s="291">
        <v>0</v>
      </c>
      <c r="AG401" s="291">
        <v>1160605001</v>
      </c>
      <c r="AH401" s="291">
        <v>1724</v>
      </c>
      <c r="AI401" s="291" t="s">
        <v>497</v>
      </c>
      <c r="AJ401" s="308">
        <v>0.01</v>
      </c>
      <c r="AK401" s="309">
        <f t="shared" si="65"/>
        <v>12000</v>
      </c>
      <c r="AL401" s="309">
        <f t="shared" si="66"/>
        <v>12000</v>
      </c>
      <c r="AM401" s="309">
        <f t="shared" si="66"/>
        <v>12000</v>
      </c>
      <c r="AN401" s="309"/>
      <c r="AO401" s="309"/>
      <c r="AP401" s="309">
        <f t="shared" si="61"/>
        <v>675.5</v>
      </c>
      <c r="AQ401" s="309">
        <f t="shared" si="67"/>
        <v>675.5</v>
      </c>
      <c r="AR401" s="309">
        <f t="shared" si="67"/>
        <v>675.5</v>
      </c>
      <c r="AS401" s="309"/>
      <c r="AT401" s="309"/>
      <c r="AV401" s="311">
        <f t="shared" si="62"/>
        <v>1164000</v>
      </c>
      <c r="AW401" s="311">
        <f t="shared" si="63"/>
        <v>133073.5</v>
      </c>
      <c r="AX401" s="312">
        <f t="shared" si="64"/>
        <v>0</v>
      </c>
    </row>
    <row r="402" spans="1:51">
      <c r="A402" s="291" t="s">
        <v>494</v>
      </c>
      <c r="B402" s="291"/>
      <c r="C402" s="291"/>
      <c r="D402" s="291">
        <v>1160505001</v>
      </c>
      <c r="E402" s="291">
        <v>0</v>
      </c>
      <c r="F402" s="291">
        <v>44693</v>
      </c>
      <c r="G402" s="306">
        <v>43260</v>
      </c>
      <c r="H402" s="306">
        <v>43991</v>
      </c>
      <c r="I402" s="291">
        <v>1283</v>
      </c>
      <c r="J402" s="307">
        <v>800000</v>
      </c>
      <c r="K402" s="307">
        <v>288000</v>
      </c>
      <c r="L402" s="307">
        <v>0</v>
      </c>
      <c r="M402" s="291" t="s">
        <v>495</v>
      </c>
      <c r="N402" s="307">
        <v>800000</v>
      </c>
      <c r="O402" s="307">
        <v>288000</v>
      </c>
      <c r="P402" s="307">
        <v>513200</v>
      </c>
      <c r="Q402" s="291">
        <v>1</v>
      </c>
      <c r="R402" s="291" t="s">
        <v>496</v>
      </c>
      <c r="S402" s="291">
        <v>100</v>
      </c>
      <c r="T402" s="307">
        <v>800000</v>
      </c>
      <c r="U402" s="307">
        <v>288000</v>
      </c>
      <c r="V402" s="291">
        <v>100</v>
      </c>
      <c r="W402" s="307">
        <v>947562</v>
      </c>
      <c r="X402" s="291">
        <v>14</v>
      </c>
      <c r="Y402" s="291">
        <v>1160902010</v>
      </c>
      <c r="Z402" s="291">
        <v>2023</v>
      </c>
      <c r="AA402" s="291">
        <v>12</v>
      </c>
      <c r="AB402" s="291">
        <v>5026003002</v>
      </c>
      <c r="AC402" s="291">
        <v>1160903005</v>
      </c>
      <c r="AD402" s="291">
        <v>0</v>
      </c>
      <c r="AE402" s="291">
        <v>0</v>
      </c>
      <c r="AF402" s="291">
        <v>0</v>
      </c>
      <c r="AG402" s="291">
        <v>1160605001</v>
      </c>
      <c r="AH402" s="291">
        <v>1724</v>
      </c>
      <c r="AI402" s="291" t="s">
        <v>497</v>
      </c>
      <c r="AJ402" s="308">
        <v>0.01</v>
      </c>
      <c r="AK402" s="309">
        <f t="shared" si="65"/>
        <v>8000</v>
      </c>
      <c r="AL402" s="309">
        <f t="shared" si="66"/>
        <v>8000</v>
      </c>
      <c r="AM402" s="309">
        <f t="shared" si="66"/>
        <v>8000</v>
      </c>
      <c r="AN402" s="309"/>
      <c r="AO402" s="309"/>
      <c r="AP402" s="309">
        <f t="shared" si="61"/>
        <v>1440</v>
      </c>
      <c r="AQ402" s="309">
        <f t="shared" si="67"/>
        <v>1440</v>
      </c>
      <c r="AR402" s="309">
        <f t="shared" si="67"/>
        <v>1440</v>
      </c>
      <c r="AS402" s="309"/>
      <c r="AT402" s="309"/>
      <c r="AV402" s="311">
        <f t="shared" si="62"/>
        <v>776000</v>
      </c>
      <c r="AW402" s="311">
        <f t="shared" si="63"/>
        <v>283680</v>
      </c>
      <c r="AX402" s="312">
        <f t="shared" si="64"/>
        <v>0</v>
      </c>
    </row>
    <row r="403" spans="1:51">
      <c r="A403" s="291" t="s">
        <v>494</v>
      </c>
      <c r="B403" s="291"/>
      <c r="C403" s="291"/>
      <c r="D403" s="291">
        <v>1160505001</v>
      </c>
      <c r="E403" s="291">
        <v>0</v>
      </c>
      <c r="F403" s="291">
        <v>45782</v>
      </c>
      <c r="G403" s="306">
        <v>43487</v>
      </c>
      <c r="H403" s="306">
        <v>43852</v>
      </c>
      <c r="I403" s="291">
        <v>1420</v>
      </c>
      <c r="J403" s="307">
        <v>306185</v>
      </c>
      <c r="K403" s="307">
        <v>36743</v>
      </c>
      <c r="L403" s="307">
        <v>0</v>
      </c>
      <c r="M403" s="291" t="s">
        <v>495</v>
      </c>
      <c r="N403" s="307">
        <v>306185</v>
      </c>
      <c r="O403" s="307">
        <v>36743</v>
      </c>
      <c r="P403" s="307">
        <v>217391</v>
      </c>
      <c r="Q403" s="291">
        <v>1</v>
      </c>
      <c r="R403" s="291" t="s">
        <v>496</v>
      </c>
      <c r="S403" s="291">
        <v>100</v>
      </c>
      <c r="T403" s="307">
        <v>306185</v>
      </c>
      <c r="U403" s="307">
        <v>36743</v>
      </c>
      <c r="V403" s="291">
        <v>200</v>
      </c>
      <c r="W403" s="307">
        <v>947562</v>
      </c>
      <c r="X403" s="291">
        <v>14</v>
      </c>
      <c r="Y403" s="291">
        <v>1160902010</v>
      </c>
      <c r="Z403" s="291">
        <v>2023</v>
      </c>
      <c r="AA403" s="291">
        <v>12</v>
      </c>
      <c r="AB403" s="291">
        <v>5026003002</v>
      </c>
      <c r="AC403" s="291">
        <v>1160903005</v>
      </c>
      <c r="AD403" s="291">
        <v>0</v>
      </c>
      <c r="AE403" s="291">
        <v>0</v>
      </c>
      <c r="AF403" s="291">
        <v>0</v>
      </c>
      <c r="AG403" s="291">
        <v>1160605001</v>
      </c>
      <c r="AH403" s="291">
        <v>1724</v>
      </c>
      <c r="AI403" s="291" t="s">
        <v>497</v>
      </c>
      <c r="AJ403" s="308">
        <v>0.01</v>
      </c>
      <c r="AK403" s="309">
        <f t="shared" si="65"/>
        <v>3061.85</v>
      </c>
      <c r="AL403" s="309">
        <f t="shared" si="66"/>
        <v>3061.85</v>
      </c>
      <c r="AM403" s="309">
        <f t="shared" si="66"/>
        <v>3061.85</v>
      </c>
      <c r="AN403" s="309"/>
      <c r="AO403" s="309"/>
      <c r="AP403" s="309">
        <f t="shared" si="61"/>
        <v>183.715</v>
      </c>
      <c r="AQ403" s="309">
        <f t="shared" si="67"/>
        <v>183.715</v>
      </c>
      <c r="AR403" s="309">
        <f t="shared" si="67"/>
        <v>183.715</v>
      </c>
      <c r="AS403" s="309"/>
      <c r="AT403" s="309"/>
      <c r="AV403" s="311">
        <f t="shared" si="62"/>
        <v>296999.45000000007</v>
      </c>
      <c r="AW403" s="311">
        <f t="shared" si="63"/>
        <v>36191.85500000001</v>
      </c>
      <c r="AX403" s="312">
        <f t="shared" si="64"/>
        <v>0</v>
      </c>
    </row>
    <row r="404" spans="1:51">
      <c r="A404" s="291" t="s">
        <v>494</v>
      </c>
      <c r="B404" s="291"/>
      <c r="C404" s="291"/>
      <c r="D404" s="291">
        <v>1160505001</v>
      </c>
      <c r="E404" s="291">
        <v>0</v>
      </c>
      <c r="F404" s="291">
        <v>44958</v>
      </c>
      <c r="G404" s="306">
        <v>43295</v>
      </c>
      <c r="H404" s="306">
        <v>43660</v>
      </c>
      <c r="I404" s="291">
        <v>1608</v>
      </c>
      <c r="J404" s="307">
        <v>500000</v>
      </c>
      <c r="K404" s="307">
        <v>45000</v>
      </c>
      <c r="L404" s="307">
        <v>0</v>
      </c>
      <c r="M404" s="291" t="s">
        <v>495</v>
      </c>
      <c r="N404" s="307">
        <v>500000</v>
      </c>
      <c r="O404" s="307">
        <v>45000</v>
      </c>
      <c r="P404" s="307">
        <v>402000</v>
      </c>
      <c r="Q404" s="291">
        <v>1</v>
      </c>
      <c r="R404" s="291" t="s">
        <v>496</v>
      </c>
      <c r="S404" s="291">
        <v>100</v>
      </c>
      <c r="T404" s="307">
        <v>500000</v>
      </c>
      <c r="U404" s="307">
        <v>45000</v>
      </c>
      <c r="V404" s="291">
        <v>300</v>
      </c>
      <c r="W404" s="307">
        <v>424692</v>
      </c>
      <c r="X404" s="291">
        <v>2</v>
      </c>
      <c r="Y404" s="291">
        <v>1160902010</v>
      </c>
      <c r="Z404" s="291">
        <v>2023</v>
      </c>
      <c r="AA404" s="291">
        <v>12</v>
      </c>
      <c r="AB404" s="291">
        <v>5026003002</v>
      </c>
      <c r="AC404" s="291">
        <v>1160903005</v>
      </c>
      <c r="AD404" s="291">
        <v>0</v>
      </c>
      <c r="AE404" s="291">
        <v>0</v>
      </c>
      <c r="AF404" s="291">
        <v>0</v>
      </c>
      <c r="AG404" s="291">
        <v>1160605001</v>
      </c>
      <c r="AH404" s="291">
        <v>1608</v>
      </c>
      <c r="AI404" s="291" t="s">
        <v>497</v>
      </c>
      <c r="AJ404" s="308">
        <v>0.01</v>
      </c>
      <c r="AK404" s="309">
        <f t="shared" si="65"/>
        <v>5000</v>
      </c>
      <c r="AL404" s="309">
        <f t="shared" si="66"/>
        <v>5000</v>
      </c>
      <c r="AM404" s="309">
        <f t="shared" si="66"/>
        <v>5000</v>
      </c>
      <c r="AN404" s="309"/>
      <c r="AO404" s="309"/>
      <c r="AP404" s="309">
        <f t="shared" si="61"/>
        <v>225</v>
      </c>
      <c r="AQ404" s="309">
        <f t="shared" si="67"/>
        <v>225</v>
      </c>
      <c r="AR404" s="309">
        <f t="shared" si="67"/>
        <v>225</v>
      </c>
      <c r="AS404" s="309"/>
      <c r="AT404" s="309"/>
      <c r="AV404" s="311">
        <f t="shared" si="62"/>
        <v>485000</v>
      </c>
      <c r="AW404" s="311">
        <f t="shared" si="63"/>
        <v>44325</v>
      </c>
      <c r="AX404" s="312">
        <f t="shared" si="64"/>
        <v>0</v>
      </c>
    </row>
    <row r="405" spans="1:51">
      <c r="A405" s="291" t="s">
        <v>494</v>
      </c>
      <c r="B405" s="291"/>
      <c r="C405" s="291"/>
      <c r="D405" s="291">
        <v>1160505001</v>
      </c>
      <c r="E405" s="291">
        <v>0</v>
      </c>
      <c r="F405" s="291">
        <v>46017</v>
      </c>
      <c r="G405" s="306">
        <v>43506</v>
      </c>
      <c r="H405" s="306">
        <v>44602</v>
      </c>
      <c r="I405" s="291">
        <v>682</v>
      </c>
      <c r="J405" s="307">
        <v>1400000</v>
      </c>
      <c r="K405" s="307">
        <v>504000</v>
      </c>
      <c r="L405" s="307">
        <v>0</v>
      </c>
      <c r="M405" s="291" t="s">
        <v>495</v>
      </c>
      <c r="N405" s="307">
        <v>1400000</v>
      </c>
      <c r="O405" s="307">
        <v>504000</v>
      </c>
      <c r="P405" s="307">
        <v>477400</v>
      </c>
      <c r="Q405" s="291">
        <v>1</v>
      </c>
      <c r="R405" s="291" t="s">
        <v>496</v>
      </c>
      <c r="S405" s="291">
        <v>100</v>
      </c>
      <c r="T405" s="307">
        <v>1400000</v>
      </c>
      <c r="U405" s="307">
        <v>504000</v>
      </c>
      <c r="V405" s="291">
        <v>300</v>
      </c>
      <c r="W405" s="307">
        <v>424692</v>
      </c>
      <c r="X405" s="291">
        <v>2</v>
      </c>
      <c r="Y405" s="291">
        <v>1160902010</v>
      </c>
      <c r="Z405" s="291">
        <v>2023</v>
      </c>
      <c r="AA405" s="291">
        <v>12</v>
      </c>
      <c r="AB405" s="291">
        <v>5026003002</v>
      </c>
      <c r="AC405" s="291">
        <v>1160903005</v>
      </c>
      <c r="AD405" s="291">
        <v>0</v>
      </c>
      <c r="AE405" s="291">
        <v>0</v>
      </c>
      <c r="AF405" s="291">
        <v>0</v>
      </c>
      <c r="AG405" s="291">
        <v>1160605001</v>
      </c>
      <c r="AH405" s="291">
        <v>1608</v>
      </c>
      <c r="AI405" s="291" t="s">
        <v>497</v>
      </c>
      <c r="AJ405" s="308">
        <v>0.01</v>
      </c>
      <c r="AK405" s="309">
        <f t="shared" si="65"/>
        <v>14000</v>
      </c>
      <c r="AL405" s="309">
        <f t="shared" si="66"/>
        <v>14000</v>
      </c>
      <c r="AM405" s="309">
        <f t="shared" si="66"/>
        <v>14000</v>
      </c>
      <c r="AN405" s="309"/>
      <c r="AO405" s="309"/>
      <c r="AP405" s="309">
        <f t="shared" si="61"/>
        <v>2520</v>
      </c>
      <c r="AQ405" s="309">
        <f t="shared" si="67"/>
        <v>2520</v>
      </c>
      <c r="AR405" s="309">
        <f t="shared" si="67"/>
        <v>2520</v>
      </c>
      <c r="AS405" s="309"/>
      <c r="AT405" s="309"/>
      <c r="AV405" s="311">
        <f t="shared" si="62"/>
        <v>1358000</v>
      </c>
      <c r="AW405" s="311">
        <f t="shared" si="63"/>
        <v>496440</v>
      </c>
      <c r="AX405" s="312">
        <f t="shared" si="64"/>
        <v>0</v>
      </c>
    </row>
    <row r="406" spans="1:51">
      <c r="A406" s="291" t="s">
        <v>494</v>
      </c>
      <c r="B406" s="291"/>
      <c r="C406" s="291"/>
      <c r="D406" s="291">
        <v>1160505001</v>
      </c>
      <c r="E406" s="291">
        <v>0</v>
      </c>
      <c r="F406" s="291">
        <v>45471</v>
      </c>
      <c r="G406" s="306">
        <v>43429</v>
      </c>
      <c r="H406" s="306">
        <v>43794</v>
      </c>
      <c r="I406" s="291">
        <v>1477</v>
      </c>
      <c r="J406" s="307">
        <v>2789720</v>
      </c>
      <c r="K406" s="307">
        <v>0</v>
      </c>
      <c r="L406" s="307">
        <v>0</v>
      </c>
      <c r="M406" s="291" t="s">
        <v>495</v>
      </c>
      <c r="N406" s="307">
        <v>2789720</v>
      </c>
      <c r="O406" s="307">
        <v>0</v>
      </c>
      <c r="P406" s="307">
        <v>2060208</v>
      </c>
      <c r="Q406" s="291">
        <v>1</v>
      </c>
      <c r="R406" s="291" t="s">
        <v>496</v>
      </c>
      <c r="S406" s="291">
        <v>100</v>
      </c>
      <c r="T406" s="307">
        <v>2789720</v>
      </c>
      <c r="U406" s="307">
        <v>0</v>
      </c>
      <c r="V406" s="291">
        <v>200</v>
      </c>
      <c r="W406" s="307">
        <v>4056487</v>
      </c>
      <c r="X406" s="291">
        <v>2</v>
      </c>
      <c r="Y406" s="291">
        <v>1160902010</v>
      </c>
      <c r="Z406" s="291">
        <v>2023</v>
      </c>
      <c r="AA406" s="291">
        <v>12</v>
      </c>
      <c r="AB406" s="291">
        <v>5026003002</v>
      </c>
      <c r="AC406" s="291">
        <v>1160903005</v>
      </c>
      <c r="AD406" s="291">
        <v>0</v>
      </c>
      <c r="AE406" s="291">
        <v>0</v>
      </c>
      <c r="AF406" s="291">
        <v>0</v>
      </c>
      <c r="AG406" s="291">
        <v>1160605001</v>
      </c>
      <c r="AH406" s="291">
        <v>1477</v>
      </c>
      <c r="AI406" s="291" t="s">
        <v>497</v>
      </c>
      <c r="AJ406" s="308">
        <v>0.01</v>
      </c>
      <c r="AK406" s="309">
        <f t="shared" si="65"/>
        <v>27897.200000000001</v>
      </c>
      <c r="AL406" s="309">
        <f t="shared" si="66"/>
        <v>27897.200000000001</v>
      </c>
      <c r="AM406" s="309">
        <f t="shared" si="66"/>
        <v>27897.200000000001</v>
      </c>
      <c r="AN406" s="309"/>
      <c r="AO406" s="309"/>
      <c r="AP406" s="309">
        <f t="shared" si="61"/>
        <v>0</v>
      </c>
      <c r="AQ406" s="309">
        <f t="shared" si="67"/>
        <v>0</v>
      </c>
      <c r="AR406" s="309">
        <f t="shared" si="67"/>
        <v>0</v>
      </c>
      <c r="AS406" s="309"/>
      <c r="AT406" s="309"/>
      <c r="AV406" s="311">
        <f t="shared" si="62"/>
        <v>2706028.3999999994</v>
      </c>
      <c r="AW406" s="311">
        <f t="shared" si="63"/>
        <v>0</v>
      </c>
      <c r="AX406" s="312">
        <f t="shared" si="64"/>
        <v>0</v>
      </c>
    </row>
    <row r="407" spans="1:51">
      <c r="A407" s="291" t="s">
        <v>494</v>
      </c>
      <c r="B407" s="291"/>
      <c r="C407" s="291"/>
      <c r="D407" s="291">
        <v>1160505004</v>
      </c>
      <c r="E407" s="291">
        <v>31582</v>
      </c>
      <c r="F407" s="291">
        <v>39067</v>
      </c>
      <c r="G407" s="306">
        <v>42400</v>
      </c>
      <c r="H407" s="306">
        <v>43496</v>
      </c>
      <c r="I407" s="291">
        <v>1772</v>
      </c>
      <c r="J407" s="307">
        <v>6770659</v>
      </c>
      <c r="K407" s="307">
        <v>1659178</v>
      </c>
      <c r="L407" s="307">
        <v>0</v>
      </c>
      <c r="M407" s="291" t="s">
        <v>495</v>
      </c>
      <c r="N407" s="307">
        <v>6770659</v>
      </c>
      <c r="O407" s="307">
        <v>1659178</v>
      </c>
      <c r="P407" s="307">
        <v>5998804</v>
      </c>
      <c r="Q407" s="291">
        <v>1</v>
      </c>
      <c r="R407" s="291" t="s">
        <v>496</v>
      </c>
      <c r="S407" s="291">
        <v>100</v>
      </c>
      <c r="T407" s="307">
        <v>6770659</v>
      </c>
      <c r="U407" s="307">
        <v>1659178</v>
      </c>
      <c r="V407" s="291">
        <v>200</v>
      </c>
      <c r="W407" s="307">
        <v>10751506</v>
      </c>
      <c r="X407" s="291">
        <v>5</v>
      </c>
      <c r="Y407" s="291">
        <v>1160902010</v>
      </c>
      <c r="Z407" s="291">
        <v>2023</v>
      </c>
      <c r="AA407" s="291">
        <v>12</v>
      </c>
      <c r="AB407" s="291">
        <v>5026003002</v>
      </c>
      <c r="AC407" s="291">
        <v>1160903005</v>
      </c>
      <c r="AD407" s="291">
        <v>0</v>
      </c>
      <c r="AE407" s="291">
        <v>0</v>
      </c>
      <c r="AF407" s="291">
        <v>0</v>
      </c>
      <c r="AG407" s="291">
        <v>1160605001</v>
      </c>
      <c r="AH407" s="291">
        <v>1772</v>
      </c>
      <c r="AI407" s="291" t="s">
        <v>503</v>
      </c>
      <c r="AJ407" s="308">
        <v>0</v>
      </c>
      <c r="AK407" s="309">
        <f t="shared" si="65"/>
        <v>0</v>
      </c>
      <c r="AL407" s="309">
        <f t="shared" si="66"/>
        <v>0</v>
      </c>
      <c r="AM407" s="309">
        <f t="shared" si="66"/>
        <v>0</v>
      </c>
      <c r="AN407" s="309"/>
      <c r="AO407" s="309"/>
      <c r="AP407" s="309">
        <f t="shared" si="61"/>
        <v>0</v>
      </c>
      <c r="AQ407" s="309">
        <f t="shared" ref="AQ407:AR422" si="68">AP407</f>
        <v>0</v>
      </c>
      <c r="AR407" s="309">
        <f t="shared" si="68"/>
        <v>0</v>
      </c>
      <c r="AS407" s="309"/>
      <c r="AT407" s="309"/>
      <c r="AV407" s="311">
        <f t="shared" si="62"/>
        <v>6770659</v>
      </c>
      <c r="AW407" s="311">
        <f t="shared" si="63"/>
        <v>1659178</v>
      </c>
      <c r="AX407" s="312">
        <f t="shared" si="64"/>
        <v>0</v>
      </c>
    </row>
    <row r="408" spans="1:51">
      <c r="A408" s="291" t="s">
        <v>494</v>
      </c>
      <c r="B408" s="291"/>
      <c r="C408" s="291"/>
      <c r="D408" s="291">
        <v>1160505001</v>
      </c>
      <c r="E408" s="291">
        <v>0</v>
      </c>
      <c r="F408" s="291">
        <v>46559</v>
      </c>
      <c r="G408" s="306">
        <v>43564</v>
      </c>
      <c r="H408" s="306">
        <v>44660</v>
      </c>
      <c r="I408" s="291">
        <v>623</v>
      </c>
      <c r="J408" s="307">
        <v>35000000</v>
      </c>
      <c r="K408" s="307">
        <v>15750000</v>
      </c>
      <c r="L408" s="307">
        <v>0</v>
      </c>
      <c r="M408" s="291" t="s">
        <v>495</v>
      </c>
      <c r="N408" s="307">
        <v>35000000</v>
      </c>
      <c r="O408" s="307">
        <v>15750000</v>
      </c>
      <c r="P408" s="307">
        <v>10902500</v>
      </c>
      <c r="Q408" s="291">
        <v>1</v>
      </c>
      <c r="R408" s="291" t="s">
        <v>496</v>
      </c>
      <c r="S408" s="291">
        <v>100</v>
      </c>
      <c r="T408" s="307">
        <v>35000000</v>
      </c>
      <c r="U408" s="307">
        <v>15750000</v>
      </c>
      <c r="V408" s="291">
        <v>300</v>
      </c>
      <c r="W408" s="307">
        <v>19479072</v>
      </c>
      <c r="X408" s="291">
        <v>2</v>
      </c>
      <c r="Y408" s="291">
        <v>1160902010</v>
      </c>
      <c r="Z408" s="291">
        <v>2023</v>
      </c>
      <c r="AA408" s="291">
        <v>12</v>
      </c>
      <c r="AB408" s="291">
        <v>5026003002</v>
      </c>
      <c r="AC408" s="291">
        <v>1160903005</v>
      </c>
      <c r="AD408" s="291">
        <v>0</v>
      </c>
      <c r="AE408" s="291">
        <v>0</v>
      </c>
      <c r="AF408" s="291">
        <v>0</v>
      </c>
      <c r="AG408" s="291">
        <v>1160605001</v>
      </c>
      <c r="AH408" s="291">
        <v>623</v>
      </c>
      <c r="AI408" s="291" t="s">
        <v>498</v>
      </c>
      <c r="AJ408" s="308">
        <v>0.1</v>
      </c>
      <c r="AK408" s="309">
        <f t="shared" si="65"/>
        <v>3500000</v>
      </c>
      <c r="AL408" s="309">
        <f t="shared" si="66"/>
        <v>3500000</v>
      </c>
      <c r="AM408" s="309">
        <f t="shared" si="66"/>
        <v>3500000</v>
      </c>
      <c r="AN408" s="309"/>
      <c r="AO408" s="309"/>
      <c r="AP408" s="309">
        <f t="shared" si="61"/>
        <v>787500</v>
      </c>
      <c r="AQ408" s="309">
        <f t="shared" si="68"/>
        <v>787500</v>
      </c>
      <c r="AR408" s="309">
        <f t="shared" si="68"/>
        <v>787500</v>
      </c>
      <c r="AS408" s="309"/>
      <c r="AT408" s="309"/>
      <c r="AV408" s="311">
        <f t="shared" si="62"/>
        <v>24500000</v>
      </c>
      <c r="AW408" s="311">
        <f t="shared" si="63"/>
        <v>13387500</v>
      </c>
      <c r="AX408" s="312">
        <f t="shared" si="64"/>
        <v>0</v>
      </c>
    </row>
    <row r="409" spans="1:51">
      <c r="A409" s="291" t="s">
        <v>504</v>
      </c>
      <c r="B409" s="291"/>
      <c r="C409" s="291"/>
      <c r="D409" s="291">
        <v>1160405001</v>
      </c>
      <c r="E409" s="291">
        <v>0</v>
      </c>
      <c r="F409" s="291">
        <v>44595</v>
      </c>
      <c r="G409" s="306">
        <v>43248</v>
      </c>
      <c r="H409" s="306">
        <v>44344</v>
      </c>
      <c r="I409" s="291">
        <v>934</v>
      </c>
      <c r="J409" s="307">
        <v>52220000</v>
      </c>
      <c r="K409" s="307">
        <v>0</v>
      </c>
      <c r="L409" s="307">
        <v>22921895</v>
      </c>
      <c r="M409" s="291" t="s">
        <v>495</v>
      </c>
      <c r="N409" s="307">
        <v>29298105</v>
      </c>
      <c r="O409" s="307">
        <v>0</v>
      </c>
      <c r="P409" s="307">
        <v>24386740</v>
      </c>
      <c r="Q409" s="291">
        <v>2</v>
      </c>
      <c r="R409" s="291" t="s">
        <v>496</v>
      </c>
      <c r="S409" s="291">
        <v>100</v>
      </c>
      <c r="T409" s="307">
        <v>29298105</v>
      </c>
      <c r="U409" s="307">
        <v>0</v>
      </c>
      <c r="V409" s="291">
        <v>100</v>
      </c>
      <c r="W409" s="307">
        <v>44081811</v>
      </c>
      <c r="X409" s="291">
        <v>2</v>
      </c>
      <c r="Y409" s="291">
        <v>1160902009</v>
      </c>
      <c r="Z409" s="291">
        <v>2023</v>
      </c>
      <c r="AA409" s="291">
        <v>12</v>
      </c>
      <c r="AB409" s="291">
        <v>5026003002</v>
      </c>
      <c r="AC409" s="291">
        <v>1160903005</v>
      </c>
      <c r="AD409" s="291">
        <v>0</v>
      </c>
      <c r="AE409" s="291">
        <v>0</v>
      </c>
      <c r="AF409" s="291">
        <v>1</v>
      </c>
      <c r="AG409" s="291">
        <v>1160605001</v>
      </c>
      <c r="AH409" s="291">
        <v>934</v>
      </c>
      <c r="AI409" s="291" t="s">
        <v>499</v>
      </c>
      <c r="AJ409" s="308">
        <v>0.05</v>
      </c>
      <c r="AK409" s="309">
        <f t="shared" si="65"/>
        <v>2611000</v>
      </c>
      <c r="AL409" s="309">
        <f t="shared" si="66"/>
        <v>2611000</v>
      </c>
      <c r="AM409" s="309">
        <f t="shared" si="66"/>
        <v>2611000</v>
      </c>
      <c r="AN409" s="309"/>
      <c r="AO409" s="309"/>
      <c r="AP409" s="309">
        <f t="shared" si="61"/>
        <v>0</v>
      </c>
      <c r="AQ409" s="309">
        <f t="shared" si="68"/>
        <v>0</v>
      </c>
      <c r="AR409" s="309">
        <f t="shared" si="68"/>
        <v>0</v>
      </c>
      <c r="AS409" s="309"/>
      <c r="AT409" s="309"/>
      <c r="AV409" s="311">
        <f t="shared" si="62"/>
        <v>44387000</v>
      </c>
      <c r="AW409" s="311">
        <f t="shared" si="63"/>
        <v>0</v>
      </c>
      <c r="AX409" s="312">
        <f t="shared" si="64"/>
        <v>22921895</v>
      </c>
      <c r="AY409" s="312">
        <f>+AX409-L409</f>
        <v>0</v>
      </c>
    </row>
    <row r="410" spans="1:51">
      <c r="A410" s="291" t="s">
        <v>504</v>
      </c>
      <c r="B410" s="291"/>
      <c r="C410" s="291"/>
      <c r="D410" s="291">
        <v>1160405001</v>
      </c>
      <c r="E410" s="291">
        <v>0</v>
      </c>
      <c r="F410" s="291">
        <v>46946</v>
      </c>
      <c r="G410" s="306">
        <v>43636</v>
      </c>
      <c r="H410" s="306">
        <v>44732</v>
      </c>
      <c r="I410" s="291">
        <v>552</v>
      </c>
      <c r="J410" s="307">
        <v>32000000</v>
      </c>
      <c r="K410" s="307">
        <v>2730666</v>
      </c>
      <c r="L410" s="307">
        <v>14046355</v>
      </c>
      <c r="M410" s="291" t="s">
        <v>495</v>
      </c>
      <c r="N410" s="307">
        <v>17953645</v>
      </c>
      <c r="O410" s="307">
        <v>2730666</v>
      </c>
      <c r="P410" s="307">
        <v>8832000</v>
      </c>
      <c r="Q410" s="291">
        <v>2</v>
      </c>
      <c r="R410" s="291" t="s">
        <v>496</v>
      </c>
      <c r="S410" s="291">
        <v>100</v>
      </c>
      <c r="T410" s="307">
        <v>17953645</v>
      </c>
      <c r="U410" s="307">
        <v>2730666</v>
      </c>
      <c r="V410" s="291">
        <v>100</v>
      </c>
      <c r="W410" s="307">
        <v>44081811</v>
      </c>
      <c r="X410" s="291">
        <v>2</v>
      </c>
      <c r="Y410" s="291">
        <v>1160902009</v>
      </c>
      <c r="Z410" s="291">
        <v>2023</v>
      </c>
      <c r="AA410" s="291">
        <v>12</v>
      </c>
      <c r="AB410" s="291">
        <v>5026003002</v>
      </c>
      <c r="AC410" s="291">
        <v>1160903005</v>
      </c>
      <c r="AD410" s="291">
        <v>0</v>
      </c>
      <c r="AE410" s="291">
        <v>0</v>
      </c>
      <c r="AF410" s="291">
        <v>1</v>
      </c>
      <c r="AG410" s="291">
        <v>1160605001</v>
      </c>
      <c r="AH410" s="291">
        <v>934</v>
      </c>
      <c r="AI410" s="291" t="s">
        <v>499</v>
      </c>
      <c r="AJ410" s="308">
        <v>0.05</v>
      </c>
      <c r="AK410" s="309">
        <f t="shared" si="65"/>
        <v>1600000</v>
      </c>
      <c r="AL410" s="309">
        <f t="shared" si="66"/>
        <v>1600000</v>
      </c>
      <c r="AM410" s="309">
        <f t="shared" si="66"/>
        <v>1600000</v>
      </c>
      <c r="AN410" s="309"/>
      <c r="AO410" s="309"/>
      <c r="AP410" s="309">
        <f t="shared" si="61"/>
        <v>68266.650000000009</v>
      </c>
      <c r="AQ410" s="309">
        <f t="shared" si="68"/>
        <v>68266.650000000009</v>
      </c>
      <c r="AR410" s="309">
        <f t="shared" si="68"/>
        <v>68266.650000000009</v>
      </c>
      <c r="AS410" s="309"/>
      <c r="AT410" s="309"/>
      <c r="AV410" s="311">
        <f t="shared" si="62"/>
        <v>27200000</v>
      </c>
      <c r="AW410" s="311">
        <f t="shared" si="63"/>
        <v>2525866.0500000003</v>
      </c>
      <c r="AX410" s="312">
        <f t="shared" si="64"/>
        <v>14046355</v>
      </c>
      <c r="AY410" s="312">
        <f>+AX410-L410</f>
        <v>0</v>
      </c>
    </row>
    <row r="411" spans="1:51">
      <c r="A411" s="291" t="s">
        <v>494</v>
      </c>
      <c r="B411" s="291"/>
      <c r="C411" s="291"/>
      <c r="D411" s="291">
        <v>1160505001</v>
      </c>
      <c r="E411" s="291">
        <v>0</v>
      </c>
      <c r="F411" s="291">
        <v>45192</v>
      </c>
      <c r="G411" s="306">
        <v>43325</v>
      </c>
      <c r="H411" s="306">
        <v>44056</v>
      </c>
      <c r="I411" s="291">
        <v>1219</v>
      </c>
      <c r="J411" s="307">
        <v>4500000</v>
      </c>
      <c r="K411" s="307">
        <v>1080000</v>
      </c>
      <c r="L411" s="307">
        <v>0</v>
      </c>
      <c r="M411" s="291" t="s">
        <v>495</v>
      </c>
      <c r="N411" s="307">
        <v>4500000</v>
      </c>
      <c r="O411" s="307">
        <v>1080000</v>
      </c>
      <c r="P411" s="307">
        <v>2742750</v>
      </c>
      <c r="Q411" s="291">
        <v>1</v>
      </c>
      <c r="R411" s="291" t="s">
        <v>496</v>
      </c>
      <c r="S411" s="291">
        <v>100</v>
      </c>
      <c r="T411" s="307">
        <v>4500000</v>
      </c>
      <c r="U411" s="307">
        <v>1080000</v>
      </c>
      <c r="V411" s="291">
        <v>200</v>
      </c>
      <c r="W411" s="307">
        <v>1159440</v>
      </c>
      <c r="X411" s="291">
        <v>2</v>
      </c>
      <c r="Y411" s="291">
        <v>1160902010</v>
      </c>
      <c r="Z411" s="291">
        <v>2023</v>
      </c>
      <c r="AA411" s="291">
        <v>12</v>
      </c>
      <c r="AB411" s="291">
        <v>5026003002</v>
      </c>
      <c r="AC411" s="291">
        <v>1160903005</v>
      </c>
      <c r="AD411" s="291">
        <v>0</v>
      </c>
      <c r="AE411" s="291">
        <v>0</v>
      </c>
      <c r="AF411" s="291">
        <v>0</v>
      </c>
      <c r="AG411" s="291">
        <v>1160605001</v>
      </c>
      <c r="AH411" s="291">
        <v>1219</v>
      </c>
      <c r="AI411" s="291" t="s">
        <v>497</v>
      </c>
      <c r="AJ411" s="308">
        <v>0.01</v>
      </c>
      <c r="AK411" s="309">
        <f t="shared" si="65"/>
        <v>45000</v>
      </c>
      <c r="AL411" s="309">
        <f t="shared" si="66"/>
        <v>45000</v>
      </c>
      <c r="AM411" s="309">
        <f t="shared" si="66"/>
        <v>45000</v>
      </c>
      <c r="AN411" s="309"/>
      <c r="AO411" s="309"/>
      <c r="AP411" s="309">
        <f t="shared" si="61"/>
        <v>5400</v>
      </c>
      <c r="AQ411" s="309">
        <f t="shared" si="68"/>
        <v>5400</v>
      </c>
      <c r="AR411" s="309">
        <f t="shared" si="68"/>
        <v>5400</v>
      </c>
      <c r="AS411" s="309"/>
      <c r="AT411" s="309"/>
      <c r="AV411" s="311">
        <f t="shared" si="62"/>
        <v>4365000</v>
      </c>
      <c r="AW411" s="311">
        <f t="shared" si="63"/>
        <v>1063800</v>
      </c>
      <c r="AX411" s="312">
        <f t="shared" si="64"/>
        <v>0</v>
      </c>
    </row>
    <row r="412" spans="1:51">
      <c r="A412" s="291" t="s">
        <v>494</v>
      </c>
      <c r="B412" s="291"/>
      <c r="C412" s="291"/>
      <c r="D412" s="291">
        <v>1160501001</v>
      </c>
      <c r="E412" s="291">
        <v>0</v>
      </c>
      <c r="F412" s="291">
        <v>46019</v>
      </c>
      <c r="G412" s="306">
        <v>43506</v>
      </c>
      <c r="H412" s="306">
        <v>45698</v>
      </c>
      <c r="I412" s="291">
        <v>0</v>
      </c>
      <c r="J412" s="307">
        <v>2360000</v>
      </c>
      <c r="K412" s="307">
        <v>425980</v>
      </c>
      <c r="L412" s="307">
        <v>0</v>
      </c>
      <c r="M412" s="291" t="s">
        <v>495</v>
      </c>
      <c r="N412" s="307">
        <v>0</v>
      </c>
      <c r="O412" s="307">
        <v>0</v>
      </c>
      <c r="P412" s="307">
        <v>0</v>
      </c>
      <c r="Q412" s="291">
        <v>1</v>
      </c>
      <c r="R412" s="291" t="s">
        <v>502</v>
      </c>
      <c r="S412" s="291">
        <v>0</v>
      </c>
      <c r="T412" s="307">
        <v>0</v>
      </c>
      <c r="U412" s="307">
        <v>0</v>
      </c>
      <c r="V412" s="291">
        <v>100</v>
      </c>
      <c r="W412" s="307">
        <v>4636169</v>
      </c>
      <c r="X412" s="291">
        <v>16</v>
      </c>
      <c r="Y412" s="291">
        <v>1160902002</v>
      </c>
      <c r="Z412" s="291">
        <v>2023</v>
      </c>
      <c r="AA412" s="291">
        <v>12</v>
      </c>
      <c r="AB412" s="291">
        <v>5026003002</v>
      </c>
      <c r="AC412" s="291">
        <v>1160903001</v>
      </c>
      <c r="AD412" s="291">
        <v>0</v>
      </c>
      <c r="AE412" s="291">
        <v>0</v>
      </c>
      <c r="AF412" s="291">
        <v>0</v>
      </c>
      <c r="AG412" s="291">
        <v>1160601004</v>
      </c>
      <c r="AH412" s="291">
        <v>0</v>
      </c>
      <c r="AI412" s="291" t="s">
        <v>500</v>
      </c>
      <c r="AJ412" s="308">
        <v>0.3</v>
      </c>
      <c r="AK412" s="309">
        <f t="shared" si="65"/>
        <v>708000</v>
      </c>
      <c r="AL412" s="309">
        <f t="shared" si="66"/>
        <v>708000</v>
      </c>
      <c r="AM412" s="309">
        <f t="shared" si="66"/>
        <v>708000</v>
      </c>
      <c r="AN412" s="309"/>
      <c r="AO412" s="309"/>
      <c r="AP412" s="309">
        <f t="shared" si="61"/>
        <v>63897</v>
      </c>
      <c r="AQ412" s="309">
        <f t="shared" si="68"/>
        <v>63897</v>
      </c>
      <c r="AR412" s="309">
        <f t="shared" si="68"/>
        <v>63897</v>
      </c>
      <c r="AS412" s="309"/>
      <c r="AT412" s="309"/>
      <c r="AV412" s="311">
        <f t="shared" si="62"/>
        <v>236000</v>
      </c>
      <c r="AW412" s="311">
        <f t="shared" si="63"/>
        <v>234289</v>
      </c>
      <c r="AX412" s="312">
        <f t="shared" si="64"/>
        <v>2360000</v>
      </c>
      <c r="AY412" s="312">
        <f>+AX412-L412</f>
        <v>2360000</v>
      </c>
    </row>
    <row r="413" spans="1:51">
      <c r="A413" s="291" t="s">
        <v>494</v>
      </c>
      <c r="B413" s="291"/>
      <c r="C413" s="291"/>
      <c r="D413" s="291">
        <v>1160501001</v>
      </c>
      <c r="E413" s="291">
        <v>0</v>
      </c>
      <c r="F413" s="291">
        <v>47016</v>
      </c>
      <c r="G413" s="306">
        <v>43646</v>
      </c>
      <c r="H413" s="306">
        <v>45838</v>
      </c>
      <c r="I413" s="291">
        <v>0</v>
      </c>
      <c r="J413" s="307">
        <v>1052000</v>
      </c>
      <c r="K413" s="307">
        <v>189886</v>
      </c>
      <c r="L413" s="307">
        <v>0</v>
      </c>
      <c r="M413" s="291" t="s">
        <v>495</v>
      </c>
      <c r="N413" s="307">
        <v>0</v>
      </c>
      <c r="O413" s="307">
        <v>0</v>
      </c>
      <c r="P413" s="307">
        <v>0</v>
      </c>
      <c r="Q413" s="291">
        <v>1</v>
      </c>
      <c r="R413" s="291" t="s">
        <v>502</v>
      </c>
      <c r="S413" s="291">
        <v>0</v>
      </c>
      <c r="T413" s="307">
        <v>0</v>
      </c>
      <c r="U413" s="307">
        <v>0</v>
      </c>
      <c r="V413" s="291">
        <v>100</v>
      </c>
      <c r="W413" s="307">
        <v>4636169</v>
      </c>
      <c r="X413" s="291">
        <v>16</v>
      </c>
      <c r="Y413" s="291">
        <v>1160902002</v>
      </c>
      <c r="Z413" s="291">
        <v>2023</v>
      </c>
      <c r="AA413" s="291">
        <v>12</v>
      </c>
      <c r="AB413" s="291">
        <v>5026003002</v>
      </c>
      <c r="AC413" s="291">
        <v>1160903001</v>
      </c>
      <c r="AD413" s="291">
        <v>0</v>
      </c>
      <c r="AE413" s="291">
        <v>0</v>
      </c>
      <c r="AF413" s="291">
        <v>0</v>
      </c>
      <c r="AG413" s="291">
        <v>1160601004</v>
      </c>
      <c r="AH413" s="291">
        <v>0</v>
      </c>
      <c r="AI413" s="291" t="s">
        <v>500</v>
      </c>
      <c r="AJ413" s="308">
        <v>0.3</v>
      </c>
      <c r="AK413" s="309">
        <f t="shared" si="65"/>
        <v>315600</v>
      </c>
      <c r="AL413" s="309">
        <f t="shared" si="66"/>
        <v>315600</v>
      </c>
      <c r="AM413" s="309">
        <f t="shared" si="66"/>
        <v>315600</v>
      </c>
      <c r="AN413" s="309"/>
      <c r="AO413" s="309"/>
      <c r="AP413" s="309">
        <f t="shared" si="61"/>
        <v>28482.899999999998</v>
      </c>
      <c r="AQ413" s="309">
        <f t="shared" si="68"/>
        <v>28482.899999999998</v>
      </c>
      <c r="AR413" s="309">
        <f t="shared" si="68"/>
        <v>28482.899999999998</v>
      </c>
      <c r="AS413" s="309"/>
      <c r="AT413" s="309"/>
      <c r="AV413" s="311">
        <f t="shared" si="62"/>
        <v>105200</v>
      </c>
      <c r="AW413" s="311">
        <f t="shared" si="63"/>
        <v>104437.30000000002</v>
      </c>
      <c r="AX413" s="312">
        <f t="shared" si="64"/>
        <v>1052000</v>
      </c>
      <c r="AY413" s="312">
        <f>+AX413-L413</f>
        <v>1052000</v>
      </c>
    </row>
    <row r="414" spans="1:51">
      <c r="A414" s="291" t="s">
        <v>494</v>
      </c>
      <c r="B414" s="291"/>
      <c r="C414" s="291"/>
      <c r="D414" s="291">
        <v>1160501001</v>
      </c>
      <c r="E414" s="291">
        <v>0</v>
      </c>
      <c r="F414" s="291">
        <v>47344</v>
      </c>
      <c r="G414" s="306">
        <v>43891</v>
      </c>
      <c r="H414" s="306">
        <v>46082</v>
      </c>
      <c r="I414" s="291">
        <v>0</v>
      </c>
      <c r="J414" s="307">
        <v>1841700</v>
      </c>
      <c r="K414" s="307">
        <v>332445</v>
      </c>
      <c r="L414" s="307">
        <v>0</v>
      </c>
      <c r="M414" s="291" t="s">
        <v>495</v>
      </c>
      <c r="N414" s="307">
        <v>0</v>
      </c>
      <c r="O414" s="307">
        <v>0</v>
      </c>
      <c r="P414" s="307">
        <v>0</v>
      </c>
      <c r="Q414" s="291">
        <v>1</v>
      </c>
      <c r="R414" s="291" t="s">
        <v>502</v>
      </c>
      <c r="S414" s="291">
        <v>0</v>
      </c>
      <c r="T414" s="307">
        <v>0</v>
      </c>
      <c r="U414" s="307">
        <v>0</v>
      </c>
      <c r="V414" s="291">
        <v>100</v>
      </c>
      <c r="W414" s="307">
        <v>4636169</v>
      </c>
      <c r="X414" s="291">
        <v>16</v>
      </c>
      <c r="Y414" s="291">
        <v>1160902002</v>
      </c>
      <c r="Z414" s="291">
        <v>2023</v>
      </c>
      <c r="AA414" s="291">
        <v>12</v>
      </c>
      <c r="AB414" s="291">
        <v>5026003002</v>
      </c>
      <c r="AC414" s="291">
        <v>1160903001</v>
      </c>
      <c r="AD414" s="291">
        <v>0</v>
      </c>
      <c r="AE414" s="291">
        <v>0</v>
      </c>
      <c r="AF414" s="291">
        <v>0</v>
      </c>
      <c r="AG414" s="291">
        <v>1160601004</v>
      </c>
      <c r="AH414" s="291">
        <v>0</v>
      </c>
      <c r="AI414" s="291" t="s">
        <v>500</v>
      </c>
      <c r="AJ414" s="308">
        <v>0.3</v>
      </c>
      <c r="AK414" s="309">
        <f t="shared" si="65"/>
        <v>552510</v>
      </c>
      <c r="AL414" s="309">
        <f t="shared" si="66"/>
        <v>552510</v>
      </c>
      <c r="AM414" s="309">
        <f t="shared" si="66"/>
        <v>552510</v>
      </c>
      <c r="AN414" s="309"/>
      <c r="AO414" s="309"/>
      <c r="AP414" s="309">
        <f t="shared" si="61"/>
        <v>49866.75</v>
      </c>
      <c r="AQ414" s="309">
        <f t="shared" si="68"/>
        <v>49866.75</v>
      </c>
      <c r="AR414" s="309">
        <f t="shared" si="68"/>
        <v>49866.75</v>
      </c>
      <c r="AS414" s="309"/>
      <c r="AT414" s="309"/>
      <c r="AV414" s="311">
        <f t="shared" si="62"/>
        <v>184170</v>
      </c>
      <c r="AW414" s="311">
        <f t="shared" si="63"/>
        <v>182844.75</v>
      </c>
      <c r="AX414" s="312">
        <f t="shared" si="64"/>
        <v>1841700</v>
      </c>
      <c r="AY414" s="312">
        <f>+AX414-L414</f>
        <v>1841700</v>
      </c>
    </row>
    <row r="415" spans="1:51">
      <c r="A415" s="291" t="s">
        <v>494</v>
      </c>
      <c r="B415" s="291"/>
      <c r="C415" s="291"/>
      <c r="D415" s="291">
        <v>1160501001</v>
      </c>
      <c r="E415" s="291">
        <v>0</v>
      </c>
      <c r="F415" s="291">
        <v>45612</v>
      </c>
      <c r="G415" s="306">
        <v>43462</v>
      </c>
      <c r="H415" s="306">
        <v>45288</v>
      </c>
      <c r="I415" s="291">
        <v>4</v>
      </c>
      <c r="J415" s="307">
        <v>9000000</v>
      </c>
      <c r="K415" s="307">
        <v>2389500</v>
      </c>
      <c r="L415" s="307">
        <v>0</v>
      </c>
      <c r="M415" s="291" t="s">
        <v>495</v>
      </c>
      <c r="N415" s="307">
        <v>9000000</v>
      </c>
      <c r="O415" s="307">
        <v>2389500</v>
      </c>
      <c r="P415" s="307">
        <v>18000</v>
      </c>
      <c r="Q415" s="291">
        <v>1</v>
      </c>
      <c r="R415" s="291" t="s">
        <v>502</v>
      </c>
      <c r="S415" s="291">
        <v>100</v>
      </c>
      <c r="T415" s="307">
        <v>9000000</v>
      </c>
      <c r="U415" s="307">
        <v>2389500</v>
      </c>
      <c r="V415" s="291">
        <v>100</v>
      </c>
      <c r="W415" s="307">
        <v>7840607</v>
      </c>
      <c r="X415" s="291">
        <v>14</v>
      </c>
      <c r="Y415" s="291">
        <v>1160902002</v>
      </c>
      <c r="Z415" s="291">
        <v>2023</v>
      </c>
      <c r="AA415" s="291">
        <v>12</v>
      </c>
      <c r="AB415" s="291">
        <v>5026003002</v>
      </c>
      <c r="AC415" s="291">
        <v>1160903001</v>
      </c>
      <c r="AD415" s="291">
        <v>0</v>
      </c>
      <c r="AE415" s="291">
        <v>0</v>
      </c>
      <c r="AF415" s="291">
        <v>0</v>
      </c>
      <c r="AG415" s="291">
        <v>1160601004</v>
      </c>
      <c r="AH415" s="291">
        <v>4</v>
      </c>
      <c r="AI415" s="291" t="s">
        <v>500</v>
      </c>
      <c r="AJ415" s="308">
        <v>0.3</v>
      </c>
      <c r="AK415" s="309">
        <f t="shared" si="65"/>
        <v>2700000</v>
      </c>
      <c r="AL415" s="309">
        <f t="shared" si="66"/>
        <v>2700000</v>
      </c>
      <c r="AM415" s="309">
        <f t="shared" si="66"/>
        <v>2700000</v>
      </c>
      <c r="AN415" s="309"/>
      <c r="AO415" s="309"/>
      <c r="AP415" s="309">
        <f t="shared" si="61"/>
        <v>358425</v>
      </c>
      <c r="AQ415" s="309">
        <f t="shared" si="68"/>
        <v>358425</v>
      </c>
      <c r="AR415" s="309">
        <f t="shared" si="68"/>
        <v>358425</v>
      </c>
      <c r="AS415" s="309"/>
      <c r="AT415" s="309"/>
      <c r="AV415" s="311">
        <f t="shared" si="62"/>
        <v>900000</v>
      </c>
      <c r="AW415" s="311">
        <f t="shared" si="63"/>
        <v>1314225</v>
      </c>
      <c r="AX415" s="312">
        <f t="shared" si="64"/>
        <v>0</v>
      </c>
    </row>
    <row r="416" spans="1:51">
      <c r="A416" s="291" t="s">
        <v>494</v>
      </c>
      <c r="B416" s="291"/>
      <c r="C416" s="291"/>
      <c r="D416" s="291">
        <v>1160501001</v>
      </c>
      <c r="E416" s="291">
        <v>0</v>
      </c>
      <c r="F416" s="291">
        <v>47021</v>
      </c>
      <c r="G416" s="306">
        <v>43646</v>
      </c>
      <c r="H416" s="306">
        <v>45838</v>
      </c>
      <c r="I416" s="291">
        <v>0</v>
      </c>
      <c r="J416" s="307">
        <v>2542000</v>
      </c>
      <c r="K416" s="307">
        <v>450781</v>
      </c>
      <c r="L416" s="307">
        <v>0</v>
      </c>
      <c r="M416" s="291" t="s">
        <v>495</v>
      </c>
      <c r="N416" s="307">
        <v>0</v>
      </c>
      <c r="O416" s="307">
        <v>0</v>
      </c>
      <c r="P416" s="307">
        <v>0</v>
      </c>
      <c r="Q416" s="291">
        <v>1</v>
      </c>
      <c r="R416" s="291" t="s">
        <v>502</v>
      </c>
      <c r="S416" s="291">
        <v>0</v>
      </c>
      <c r="T416" s="307">
        <v>0</v>
      </c>
      <c r="U416" s="307">
        <v>0</v>
      </c>
      <c r="V416" s="291">
        <v>100</v>
      </c>
      <c r="W416" s="307">
        <v>4234705</v>
      </c>
      <c r="X416" s="291">
        <v>16</v>
      </c>
      <c r="Y416" s="291">
        <v>1160902002</v>
      </c>
      <c r="Z416" s="291">
        <v>2023</v>
      </c>
      <c r="AA416" s="291">
        <v>12</v>
      </c>
      <c r="AB416" s="291">
        <v>5026003002</v>
      </c>
      <c r="AC416" s="291">
        <v>1160903001</v>
      </c>
      <c r="AD416" s="291">
        <v>0</v>
      </c>
      <c r="AE416" s="291">
        <v>0</v>
      </c>
      <c r="AF416" s="291">
        <v>0</v>
      </c>
      <c r="AG416" s="291">
        <v>1160601004</v>
      </c>
      <c r="AH416" s="291">
        <v>0</v>
      </c>
      <c r="AI416" s="291" t="s">
        <v>500</v>
      </c>
      <c r="AJ416" s="308">
        <v>0.3</v>
      </c>
      <c r="AK416" s="309">
        <f t="shared" si="65"/>
        <v>762600</v>
      </c>
      <c r="AL416" s="309">
        <f t="shared" si="66"/>
        <v>762600</v>
      </c>
      <c r="AM416" s="309">
        <f t="shared" si="66"/>
        <v>762600</v>
      </c>
      <c r="AN416" s="309"/>
      <c r="AO416" s="309"/>
      <c r="AP416" s="309">
        <f t="shared" si="61"/>
        <v>67617.149999999994</v>
      </c>
      <c r="AQ416" s="309">
        <f t="shared" si="68"/>
        <v>67617.149999999994</v>
      </c>
      <c r="AR416" s="309">
        <f t="shared" si="68"/>
        <v>67617.149999999994</v>
      </c>
      <c r="AS416" s="309"/>
      <c r="AT416" s="309"/>
      <c r="AV416" s="311">
        <f t="shared" si="62"/>
        <v>254200</v>
      </c>
      <c r="AW416" s="311">
        <f t="shared" si="63"/>
        <v>247929.54999999996</v>
      </c>
      <c r="AX416" s="312">
        <f t="shared" si="64"/>
        <v>2542000</v>
      </c>
      <c r="AY416" s="312">
        <f>+AX416-L416</f>
        <v>2542000</v>
      </c>
    </row>
    <row r="417" spans="1:51">
      <c r="A417" s="291" t="s">
        <v>494</v>
      </c>
      <c r="B417" s="291"/>
      <c r="C417" s="291"/>
      <c r="D417" s="291">
        <v>1160501001</v>
      </c>
      <c r="E417" s="291">
        <v>0</v>
      </c>
      <c r="F417" s="291">
        <v>47343</v>
      </c>
      <c r="G417" s="306">
        <v>43891</v>
      </c>
      <c r="H417" s="306">
        <v>46082</v>
      </c>
      <c r="I417" s="291">
        <v>0</v>
      </c>
      <c r="J417" s="307">
        <v>1977000</v>
      </c>
      <c r="K417" s="307">
        <v>259317</v>
      </c>
      <c r="L417" s="307">
        <v>0</v>
      </c>
      <c r="M417" s="291" t="s">
        <v>495</v>
      </c>
      <c r="N417" s="307">
        <v>0</v>
      </c>
      <c r="O417" s="307">
        <v>0</v>
      </c>
      <c r="P417" s="307">
        <v>0</v>
      </c>
      <c r="Q417" s="291">
        <v>1</v>
      </c>
      <c r="R417" s="291" t="s">
        <v>502</v>
      </c>
      <c r="S417" s="291">
        <v>0</v>
      </c>
      <c r="T417" s="307">
        <v>0</v>
      </c>
      <c r="U417" s="307">
        <v>0</v>
      </c>
      <c r="V417" s="291">
        <v>100</v>
      </c>
      <c r="W417" s="307">
        <v>4234705</v>
      </c>
      <c r="X417" s="291">
        <v>16</v>
      </c>
      <c r="Y417" s="291">
        <v>1160902002</v>
      </c>
      <c r="Z417" s="291">
        <v>2023</v>
      </c>
      <c r="AA417" s="291">
        <v>12</v>
      </c>
      <c r="AB417" s="291">
        <v>5026003002</v>
      </c>
      <c r="AC417" s="291">
        <v>1160903001</v>
      </c>
      <c r="AD417" s="291">
        <v>0</v>
      </c>
      <c r="AE417" s="291">
        <v>0</v>
      </c>
      <c r="AF417" s="291">
        <v>0</v>
      </c>
      <c r="AG417" s="291">
        <v>1160601004</v>
      </c>
      <c r="AH417" s="291">
        <v>0</v>
      </c>
      <c r="AI417" s="291" t="s">
        <v>500</v>
      </c>
      <c r="AJ417" s="308">
        <v>0.3</v>
      </c>
      <c r="AK417" s="309">
        <f t="shared" si="65"/>
        <v>593100</v>
      </c>
      <c r="AL417" s="309">
        <f t="shared" si="66"/>
        <v>593100</v>
      </c>
      <c r="AM417" s="309">
        <f t="shared" si="66"/>
        <v>593100</v>
      </c>
      <c r="AN417" s="309"/>
      <c r="AO417" s="309"/>
      <c r="AP417" s="309">
        <f t="shared" si="61"/>
        <v>38897.549999999996</v>
      </c>
      <c r="AQ417" s="309">
        <f t="shared" si="68"/>
        <v>38897.549999999996</v>
      </c>
      <c r="AR417" s="309">
        <f t="shared" si="68"/>
        <v>38897.549999999996</v>
      </c>
      <c r="AS417" s="309"/>
      <c r="AT417" s="309"/>
      <c r="AV417" s="311">
        <f t="shared" si="62"/>
        <v>197700</v>
      </c>
      <c r="AW417" s="311">
        <f t="shared" si="63"/>
        <v>142624.35000000003</v>
      </c>
      <c r="AX417" s="312">
        <f t="shared" si="64"/>
        <v>1977000</v>
      </c>
      <c r="AY417" s="312">
        <f>+AX417-L417</f>
        <v>1977000</v>
      </c>
    </row>
    <row r="418" spans="1:51">
      <c r="A418" s="291" t="s">
        <v>494</v>
      </c>
      <c r="B418" s="291"/>
      <c r="C418" s="291"/>
      <c r="D418" s="291">
        <v>1160501001</v>
      </c>
      <c r="E418" s="291">
        <v>0</v>
      </c>
      <c r="F418" s="291">
        <v>47368</v>
      </c>
      <c r="G418" s="306">
        <v>44044</v>
      </c>
      <c r="H418" s="306">
        <v>46235</v>
      </c>
      <c r="I418" s="291">
        <v>0</v>
      </c>
      <c r="J418" s="307">
        <v>1130000</v>
      </c>
      <c r="K418" s="307">
        <v>148218</v>
      </c>
      <c r="L418" s="307">
        <v>0</v>
      </c>
      <c r="M418" s="291" t="s">
        <v>495</v>
      </c>
      <c r="N418" s="307">
        <v>0</v>
      </c>
      <c r="O418" s="307">
        <v>0</v>
      </c>
      <c r="P418" s="307">
        <v>0</v>
      </c>
      <c r="Q418" s="291">
        <v>1</v>
      </c>
      <c r="R418" s="291" t="s">
        <v>502</v>
      </c>
      <c r="S418" s="291">
        <v>0</v>
      </c>
      <c r="T418" s="307">
        <v>0</v>
      </c>
      <c r="U418" s="307">
        <v>0</v>
      </c>
      <c r="V418" s="291">
        <v>100</v>
      </c>
      <c r="W418" s="307">
        <v>4234705</v>
      </c>
      <c r="X418" s="291">
        <v>16</v>
      </c>
      <c r="Y418" s="291">
        <v>1160902002</v>
      </c>
      <c r="Z418" s="291">
        <v>2023</v>
      </c>
      <c r="AA418" s="291">
        <v>12</v>
      </c>
      <c r="AB418" s="291">
        <v>5026003002</v>
      </c>
      <c r="AC418" s="291">
        <v>1160903001</v>
      </c>
      <c r="AD418" s="291">
        <v>0</v>
      </c>
      <c r="AE418" s="291">
        <v>0</v>
      </c>
      <c r="AF418" s="291">
        <v>0</v>
      </c>
      <c r="AG418" s="291">
        <v>1160601004</v>
      </c>
      <c r="AH418" s="291">
        <v>0</v>
      </c>
      <c r="AI418" s="291" t="s">
        <v>500</v>
      </c>
      <c r="AJ418" s="308">
        <v>0.3</v>
      </c>
      <c r="AK418" s="309">
        <f t="shared" si="65"/>
        <v>339000</v>
      </c>
      <c r="AL418" s="309">
        <f t="shared" si="66"/>
        <v>339000</v>
      </c>
      <c r="AM418" s="309">
        <f t="shared" si="66"/>
        <v>339000</v>
      </c>
      <c r="AN418" s="309"/>
      <c r="AO418" s="309"/>
      <c r="AP418" s="309">
        <f t="shared" si="61"/>
        <v>22232.7</v>
      </c>
      <c r="AQ418" s="309">
        <f t="shared" si="68"/>
        <v>22232.7</v>
      </c>
      <c r="AR418" s="309">
        <f t="shared" si="68"/>
        <v>22232.7</v>
      </c>
      <c r="AS418" s="309"/>
      <c r="AT418" s="309"/>
      <c r="AV418" s="311">
        <f t="shared" si="62"/>
        <v>113000</v>
      </c>
      <c r="AW418" s="311">
        <f t="shared" si="63"/>
        <v>81519.900000000009</v>
      </c>
      <c r="AX418" s="312">
        <f t="shared" si="64"/>
        <v>1130000</v>
      </c>
      <c r="AY418" s="312">
        <f>+AX418-L418</f>
        <v>1130000</v>
      </c>
    </row>
    <row r="419" spans="1:51">
      <c r="A419" s="291" t="s">
        <v>494</v>
      </c>
      <c r="B419" s="291"/>
      <c r="C419" s="291"/>
      <c r="D419" s="291">
        <v>1160505001</v>
      </c>
      <c r="E419" s="291">
        <v>0</v>
      </c>
      <c r="F419" s="291">
        <v>45697</v>
      </c>
      <c r="G419" s="306">
        <v>43478</v>
      </c>
      <c r="H419" s="306">
        <v>43843</v>
      </c>
      <c r="I419" s="291">
        <v>1429</v>
      </c>
      <c r="J419" s="307">
        <v>1000000</v>
      </c>
      <c r="K419" s="307">
        <v>120000</v>
      </c>
      <c r="L419" s="307">
        <v>0</v>
      </c>
      <c r="M419" s="291" t="s">
        <v>495</v>
      </c>
      <c r="N419" s="307">
        <v>1000000</v>
      </c>
      <c r="O419" s="307">
        <v>120000</v>
      </c>
      <c r="P419" s="307">
        <v>714500</v>
      </c>
      <c r="Q419" s="291">
        <v>1</v>
      </c>
      <c r="R419" s="291" t="s">
        <v>496</v>
      </c>
      <c r="S419" s="291">
        <v>100</v>
      </c>
      <c r="T419" s="307">
        <v>1000000</v>
      </c>
      <c r="U419" s="307">
        <v>120000</v>
      </c>
      <c r="V419" s="291">
        <v>100</v>
      </c>
      <c r="W419" s="307">
        <v>4304433</v>
      </c>
      <c r="X419" s="291">
        <v>2</v>
      </c>
      <c r="Y419" s="291">
        <v>1160902010</v>
      </c>
      <c r="Z419" s="291">
        <v>2023</v>
      </c>
      <c r="AA419" s="291">
        <v>12</v>
      </c>
      <c r="AB419" s="291">
        <v>5026003002</v>
      </c>
      <c r="AC419" s="291">
        <v>1160903005</v>
      </c>
      <c r="AD419" s="291">
        <v>0</v>
      </c>
      <c r="AE419" s="291">
        <v>0</v>
      </c>
      <c r="AF419" s="291">
        <v>0</v>
      </c>
      <c r="AG419" s="291">
        <v>1160605001</v>
      </c>
      <c r="AH419" s="291">
        <v>1429</v>
      </c>
      <c r="AI419" s="291" t="s">
        <v>497</v>
      </c>
      <c r="AJ419" s="308">
        <v>0.01</v>
      </c>
      <c r="AK419" s="309">
        <f t="shared" si="65"/>
        <v>10000</v>
      </c>
      <c r="AL419" s="309">
        <f t="shared" si="66"/>
        <v>10000</v>
      </c>
      <c r="AM419" s="309">
        <f t="shared" si="66"/>
        <v>10000</v>
      </c>
      <c r="AN419" s="309"/>
      <c r="AO419" s="309"/>
      <c r="AP419" s="309">
        <f t="shared" si="61"/>
        <v>600</v>
      </c>
      <c r="AQ419" s="309">
        <f t="shared" si="68"/>
        <v>600</v>
      </c>
      <c r="AR419" s="309">
        <f t="shared" si="68"/>
        <v>600</v>
      </c>
      <c r="AS419" s="309"/>
      <c r="AT419" s="309"/>
      <c r="AV419" s="311">
        <f t="shared" si="62"/>
        <v>970000</v>
      </c>
      <c r="AW419" s="311">
        <f t="shared" si="63"/>
        <v>118200</v>
      </c>
      <c r="AX419" s="312">
        <f t="shared" si="64"/>
        <v>0</v>
      </c>
    </row>
    <row r="420" spans="1:51">
      <c r="A420" s="291" t="s">
        <v>494</v>
      </c>
      <c r="B420" s="291"/>
      <c r="C420" s="291"/>
      <c r="D420" s="291">
        <v>1160505001</v>
      </c>
      <c r="E420" s="291">
        <v>0</v>
      </c>
      <c r="F420" s="291">
        <v>45959</v>
      </c>
      <c r="G420" s="306">
        <v>43503</v>
      </c>
      <c r="H420" s="306">
        <v>44599</v>
      </c>
      <c r="I420" s="291">
        <v>685</v>
      </c>
      <c r="J420" s="307">
        <v>2666000</v>
      </c>
      <c r="K420" s="307">
        <v>372574</v>
      </c>
      <c r="L420" s="307">
        <v>0</v>
      </c>
      <c r="M420" s="291" t="s">
        <v>495</v>
      </c>
      <c r="N420" s="307">
        <v>2666000</v>
      </c>
      <c r="O420" s="307">
        <v>372574</v>
      </c>
      <c r="P420" s="307">
        <v>913105</v>
      </c>
      <c r="Q420" s="291">
        <v>1</v>
      </c>
      <c r="R420" s="291" t="s">
        <v>496</v>
      </c>
      <c r="S420" s="291">
        <v>100</v>
      </c>
      <c r="T420" s="307">
        <v>2666000</v>
      </c>
      <c r="U420" s="307">
        <v>372574</v>
      </c>
      <c r="V420" s="291">
        <v>100</v>
      </c>
      <c r="W420" s="307">
        <v>4830194</v>
      </c>
      <c r="X420" s="291">
        <v>2</v>
      </c>
      <c r="Y420" s="291">
        <v>1160902010</v>
      </c>
      <c r="Z420" s="291">
        <v>2023</v>
      </c>
      <c r="AA420" s="291">
        <v>12</v>
      </c>
      <c r="AB420" s="291">
        <v>5026003002</v>
      </c>
      <c r="AC420" s="291">
        <v>1160903005</v>
      </c>
      <c r="AD420" s="291">
        <v>0</v>
      </c>
      <c r="AE420" s="291">
        <v>0</v>
      </c>
      <c r="AF420" s="291">
        <v>0</v>
      </c>
      <c r="AG420" s="291">
        <v>1160605001</v>
      </c>
      <c r="AH420" s="291">
        <v>685</v>
      </c>
      <c r="AI420" s="291" t="s">
        <v>498</v>
      </c>
      <c r="AJ420" s="308">
        <v>0.1</v>
      </c>
      <c r="AK420" s="309">
        <f t="shared" si="65"/>
        <v>266600</v>
      </c>
      <c r="AL420" s="309">
        <f t="shared" si="66"/>
        <v>266600</v>
      </c>
      <c r="AM420" s="309">
        <f t="shared" si="66"/>
        <v>266600</v>
      </c>
      <c r="AN420" s="309"/>
      <c r="AO420" s="309"/>
      <c r="AP420" s="309">
        <f t="shared" si="61"/>
        <v>18628.7</v>
      </c>
      <c r="AQ420" s="309">
        <f t="shared" si="68"/>
        <v>18628.7</v>
      </c>
      <c r="AR420" s="309">
        <f t="shared" si="68"/>
        <v>18628.7</v>
      </c>
      <c r="AS420" s="309"/>
      <c r="AT420" s="309"/>
      <c r="AV420" s="311">
        <f t="shared" si="62"/>
        <v>1866200</v>
      </c>
      <c r="AW420" s="311">
        <f t="shared" si="63"/>
        <v>316687.89999999997</v>
      </c>
      <c r="AX420" s="312">
        <f t="shared" si="64"/>
        <v>0</v>
      </c>
    </row>
    <row r="421" spans="1:51">
      <c r="A421" s="291" t="s">
        <v>494</v>
      </c>
      <c r="B421" s="291"/>
      <c r="C421" s="291"/>
      <c r="D421" s="291">
        <v>1160505001</v>
      </c>
      <c r="E421" s="291">
        <v>0</v>
      </c>
      <c r="F421" s="291">
        <v>43389</v>
      </c>
      <c r="G421" s="306">
        <v>43122</v>
      </c>
      <c r="H421" s="306">
        <v>43852</v>
      </c>
      <c r="I421" s="291">
        <v>1420</v>
      </c>
      <c r="J421" s="307">
        <v>5000000</v>
      </c>
      <c r="K421" s="307">
        <v>440000</v>
      </c>
      <c r="L421" s="307">
        <v>0</v>
      </c>
      <c r="M421" s="291" t="s">
        <v>495</v>
      </c>
      <c r="N421" s="307">
        <v>5000000</v>
      </c>
      <c r="O421" s="307">
        <v>440000</v>
      </c>
      <c r="P421" s="307">
        <v>3550000</v>
      </c>
      <c r="Q421" s="291">
        <v>1</v>
      </c>
      <c r="R421" s="291" t="s">
        <v>496</v>
      </c>
      <c r="S421" s="291">
        <v>100</v>
      </c>
      <c r="T421" s="307">
        <v>5000000</v>
      </c>
      <c r="U421" s="307">
        <v>440000</v>
      </c>
      <c r="V421" s="291">
        <v>200</v>
      </c>
      <c r="W421" s="307">
        <v>17631428</v>
      </c>
      <c r="X421" s="291">
        <v>2</v>
      </c>
      <c r="Y421" s="291">
        <v>1160902010</v>
      </c>
      <c r="Z421" s="291">
        <v>2023</v>
      </c>
      <c r="AA421" s="291">
        <v>12</v>
      </c>
      <c r="AB421" s="291">
        <v>5026003002</v>
      </c>
      <c r="AC421" s="291">
        <v>1160903005</v>
      </c>
      <c r="AD421" s="291">
        <v>0</v>
      </c>
      <c r="AE421" s="291">
        <v>0</v>
      </c>
      <c r="AF421" s="291">
        <v>0</v>
      </c>
      <c r="AG421" s="291">
        <v>1160605001</v>
      </c>
      <c r="AH421" s="291">
        <v>1420</v>
      </c>
      <c r="AI421" s="291" t="s">
        <v>497</v>
      </c>
      <c r="AJ421" s="308">
        <v>0.01</v>
      </c>
      <c r="AK421" s="309">
        <f t="shared" si="65"/>
        <v>50000</v>
      </c>
      <c r="AL421" s="309">
        <f t="shared" si="66"/>
        <v>50000</v>
      </c>
      <c r="AM421" s="309">
        <f t="shared" si="66"/>
        <v>50000</v>
      </c>
      <c r="AN421" s="309"/>
      <c r="AO421" s="309"/>
      <c r="AP421" s="309">
        <f t="shared" si="61"/>
        <v>2200</v>
      </c>
      <c r="AQ421" s="309">
        <f t="shared" si="68"/>
        <v>2200</v>
      </c>
      <c r="AR421" s="309">
        <f t="shared" si="68"/>
        <v>2200</v>
      </c>
      <c r="AS421" s="309"/>
      <c r="AT421" s="309"/>
      <c r="AV421" s="311">
        <f t="shared" si="62"/>
        <v>4850000</v>
      </c>
      <c r="AW421" s="311">
        <f t="shared" si="63"/>
        <v>433400</v>
      </c>
      <c r="AX421" s="312">
        <f t="shared" si="64"/>
        <v>0</v>
      </c>
    </row>
    <row r="422" spans="1:51">
      <c r="A422" s="291" t="s">
        <v>494</v>
      </c>
      <c r="B422" s="291"/>
      <c r="C422" s="291"/>
      <c r="D422" s="291">
        <v>1160505001</v>
      </c>
      <c r="E422" s="291">
        <v>0</v>
      </c>
      <c r="F422" s="291">
        <v>1443389</v>
      </c>
      <c r="G422" s="306">
        <v>43122</v>
      </c>
      <c r="H422" s="306">
        <v>43852</v>
      </c>
      <c r="I422" s="291">
        <v>1420</v>
      </c>
      <c r="J422" s="307">
        <v>15000000</v>
      </c>
      <c r="K422" s="307">
        <v>1320000</v>
      </c>
      <c r="L422" s="307">
        <v>0</v>
      </c>
      <c r="M422" s="291" t="s">
        <v>495</v>
      </c>
      <c r="N422" s="307">
        <v>15000000</v>
      </c>
      <c r="O422" s="307">
        <v>1320000</v>
      </c>
      <c r="P422" s="307">
        <v>10650000</v>
      </c>
      <c r="Q422" s="291">
        <v>1</v>
      </c>
      <c r="R422" s="291" t="s">
        <v>496</v>
      </c>
      <c r="S422" s="291">
        <v>100</v>
      </c>
      <c r="T422" s="307">
        <v>15000000</v>
      </c>
      <c r="U422" s="307">
        <v>1320000</v>
      </c>
      <c r="V422" s="291">
        <v>200</v>
      </c>
      <c r="W422" s="307">
        <v>17631428</v>
      </c>
      <c r="X422" s="291">
        <v>14</v>
      </c>
      <c r="Y422" s="291">
        <v>1160902010</v>
      </c>
      <c r="Z422" s="291">
        <v>2023</v>
      </c>
      <c r="AA422" s="291">
        <v>12</v>
      </c>
      <c r="AB422" s="291">
        <v>5026003002</v>
      </c>
      <c r="AC422" s="291">
        <v>1160903005</v>
      </c>
      <c r="AD422" s="291">
        <v>0</v>
      </c>
      <c r="AE422" s="291">
        <v>0</v>
      </c>
      <c r="AF422" s="291">
        <v>0</v>
      </c>
      <c r="AG422" s="291">
        <v>1160605001</v>
      </c>
      <c r="AH422" s="291">
        <v>1420</v>
      </c>
      <c r="AI422" s="291" t="s">
        <v>497</v>
      </c>
      <c r="AJ422" s="308">
        <v>0.01</v>
      </c>
      <c r="AK422" s="309">
        <f t="shared" si="65"/>
        <v>150000</v>
      </c>
      <c r="AL422" s="309">
        <f t="shared" si="66"/>
        <v>150000</v>
      </c>
      <c r="AM422" s="309">
        <f t="shared" si="66"/>
        <v>150000</v>
      </c>
      <c r="AN422" s="309"/>
      <c r="AO422" s="309"/>
      <c r="AP422" s="309">
        <f t="shared" si="61"/>
        <v>6600</v>
      </c>
      <c r="AQ422" s="309">
        <f t="shared" si="68"/>
        <v>6600</v>
      </c>
      <c r="AR422" s="309">
        <f t="shared" si="68"/>
        <v>6600</v>
      </c>
      <c r="AS422" s="309"/>
      <c r="AT422" s="309"/>
      <c r="AV422" s="311">
        <f t="shared" si="62"/>
        <v>14550000</v>
      </c>
      <c r="AW422" s="311">
        <f t="shared" si="63"/>
        <v>1300200</v>
      </c>
      <c r="AX422" s="312">
        <f t="shared" si="64"/>
        <v>0</v>
      </c>
    </row>
    <row r="423" spans="1:51">
      <c r="A423" s="291" t="s">
        <v>494</v>
      </c>
      <c r="B423" s="291"/>
      <c r="C423" s="291"/>
      <c r="D423" s="291">
        <v>1160505001</v>
      </c>
      <c r="E423" s="291">
        <v>0</v>
      </c>
      <c r="F423" s="291">
        <v>45280</v>
      </c>
      <c r="G423" s="306">
        <v>43350</v>
      </c>
      <c r="H423" s="306">
        <v>43715</v>
      </c>
      <c r="I423" s="291">
        <v>1555</v>
      </c>
      <c r="J423" s="307">
        <v>7760520</v>
      </c>
      <c r="K423" s="307">
        <v>0</v>
      </c>
      <c r="L423" s="307">
        <v>0</v>
      </c>
      <c r="M423" s="291" t="s">
        <v>495</v>
      </c>
      <c r="N423" s="307">
        <v>7760520</v>
      </c>
      <c r="O423" s="307">
        <v>0</v>
      </c>
      <c r="P423" s="307">
        <v>6033804</v>
      </c>
      <c r="Q423" s="291">
        <v>1</v>
      </c>
      <c r="R423" s="291" t="s">
        <v>496</v>
      </c>
      <c r="S423" s="291">
        <v>100</v>
      </c>
      <c r="T423" s="307">
        <v>7760520</v>
      </c>
      <c r="U423" s="307">
        <v>0</v>
      </c>
      <c r="V423" s="291">
        <v>100</v>
      </c>
      <c r="W423" s="307">
        <v>2317229</v>
      </c>
      <c r="X423" s="291">
        <v>14</v>
      </c>
      <c r="Y423" s="291">
        <v>1160902010</v>
      </c>
      <c r="Z423" s="291">
        <v>2023</v>
      </c>
      <c r="AA423" s="291">
        <v>12</v>
      </c>
      <c r="AB423" s="291">
        <v>5026003002</v>
      </c>
      <c r="AC423" s="291">
        <v>1160903005</v>
      </c>
      <c r="AD423" s="291">
        <v>0</v>
      </c>
      <c r="AE423" s="291">
        <v>0</v>
      </c>
      <c r="AF423" s="291">
        <v>0</v>
      </c>
      <c r="AG423" s="291">
        <v>1160605001</v>
      </c>
      <c r="AH423" s="291">
        <v>1555</v>
      </c>
      <c r="AI423" s="291" t="s">
        <v>114</v>
      </c>
      <c r="AJ423" s="308">
        <v>0.5</v>
      </c>
      <c r="AK423" s="309">
        <f t="shared" si="65"/>
        <v>3880260</v>
      </c>
      <c r="AL423" s="309">
        <f t="shared" si="66"/>
        <v>3880260</v>
      </c>
      <c r="AM423" s="309"/>
      <c r="AN423" s="309"/>
      <c r="AO423" s="309"/>
      <c r="AP423" s="309">
        <f t="shared" si="61"/>
        <v>0</v>
      </c>
      <c r="AQ423" s="309">
        <f t="shared" ref="AQ423:AR433" si="69">AP423</f>
        <v>0</v>
      </c>
      <c r="AR423" s="309">
        <f t="shared" si="69"/>
        <v>0</v>
      </c>
      <c r="AS423" s="309"/>
      <c r="AT423" s="309"/>
      <c r="AV423" s="311">
        <f t="shared" si="62"/>
        <v>0</v>
      </c>
      <c r="AW423" s="311">
        <f t="shared" si="63"/>
        <v>0</v>
      </c>
      <c r="AX423" s="312">
        <f t="shared" si="64"/>
        <v>0</v>
      </c>
    </row>
    <row r="424" spans="1:51">
      <c r="A424" s="291" t="s">
        <v>494</v>
      </c>
      <c r="B424" s="291"/>
      <c r="C424" s="291"/>
      <c r="D424" s="291">
        <v>1160501001</v>
      </c>
      <c r="E424" s="291">
        <v>0</v>
      </c>
      <c r="F424" s="291">
        <v>46172</v>
      </c>
      <c r="G424" s="306">
        <v>43519</v>
      </c>
      <c r="H424" s="306">
        <v>45711</v>
      </c>
      <c r="I424" s="291">
        <v>0</v>
      </c>
      <c r="J424" s="307">
        <v>6000000</v>
      </c>
      <c r="K424" s="307">
        <v>14000</v>
      </c>
      <c r="L424" s="307">
        <v>0</v>
      </c>
      <c r="M424" s="291" t="s">
        <v>495</v>
      </c>
      <c r="N424" s="307">
        <v>0</v>
      </c>
      <c r="O424" s="307">
        <v>0</v>
      </c>
      <c r="P424" s="307">
        <v>0</v>
      </c>
      <c r="Q424" s="291">
        <v>1</v>
      </c>
      <c r="R424" s="291" t="s">
        <v>502</v>
      </c>
      <c r="S424" s="291">
        <v>0</v>
      </c>
      <c r="T424" s="307">
        <v>0</v>
      </c>
      <c r="U424" s="307">
        <v>0</v>
      </c>
      <c r="V424" s="291">
        <v>100</v>
      </c>
      <c r="W424" s="307">
        <v>4274484</v>
      </c>
      <c r="X424" s="291">
        <v>16</v>
      </c>
      <c r="Y424" s="291">
        <v>1160902002</v>
      </c>
      <c r="Z424" s="291">
        <v>2023</v>
      </c>
      <c r="AA424" s="291">
        <v>12</v>
      </c>
      <c r="AB424" s="291">
        <v>5026003002</v>
      </c>
      <c r="AC424" s="291">
        <v>1160903001</v>
      </c>
      <c r="AD424" s="291">
        <v>0</v>
      </c>
      <c r="AE424" s="291">
        <v>0</v>
      </c>
      <c r="AF424" s="291">
        <v>0</v>
      </c>
      <c r="AG424" s="291">
        <v>1160601004</v>
      </c>
      <c r="AH424" s="291">
        <v>0</v>
      </c>
      <c r="AI424" s="291" t="s">
        <v>500</v>
      </c>
      <c r="AJ424" s="308">
        <v>0.3</v>
      </c>
      <c r="AK424" s="309">
        <f t="shared" si="65"/>
        <v>1800000</v>
      </c>
      <c r="AL424" s="309">
        <f t="shared" si="66"/>
        <v>1800000</v>
      </c>
      <c r="AM424" s="309">
        <f t="shared" si="66"/>
        <v>1800000</v>
      </c>
      <c r="AN424" s="309"/>
      <c r="AO424" s="309"/>
      <c r="AP424" s="309">
        <f t="shared" si="61"/>
        <v>2100</v>
      </c>
      <c r="AQ424" s="309">
        <f t="shared" si="69"/>
        <v>2100</v>
      </c>
      <c r="AR424" s="309">
        <f t="shared" si="69"/>
        <v>2100</v>
      </c>
      <c r="AS424" s="309"/>
      <c r="AT424" s="309"/>
      <c r="AV424" s="311">
        <f t="shared" si="62"/>
        <v>600000</v>
      </c>
      <c r="AW424" s="311">
        <f t="shared" si="63"/>
        <v>7700</v>
      </c>
      <c r="AX424" s="312">
        <f t="shared" si="64"/>
        <v>6000000</v>
      </c>
      <c r="AY424" s="312">
        <f t="shared" ref="AY424:AY429" si="70">+AX424-L424</f>
        <v>6000000</v>
      </c>
    </row>
    <row r="425" spans="1:51">
      <c r="A425" s="291" t="s">
        <v>494</v>
      </c>
      <c r="B425" s="291"/>
      <c r="C425" s="291"/>
      <c r="D425" s="291">
        <v>1160501001</v>
      </c>
      <c r="E425" s="291">
        <v>0</v>
      </c>
      <c r="F425" s="291">
        <v>46917</v>
      </c>
      <c r="G425" s="306">
        <v>43631</v>
      </c>
      <c r="H425" s="306">
        <v>45823</v>
      </c>
      <c r="I425" s="291">
        <v>0</v>
      </c>
      <c r="J425" s="307">
        <v>4822263</v>
      </c>
      <c r="K425" s="307">
        <v>551338</v>
      </c>
      <c r="L425" s="307">
        <v>0</v>
      </c>
      <c r="M425" s="291" t="s">
        <v>495</v>
      </c>
      <c r="N425" s="307">
        <v>0</v>
      </c>
      <c r="O425" s="307">
        <v>0</v>
      </c>
      <c r="P425" s="307">
        <v>0</v>
      </c>
      <c r="Q425" s="291">
        <v>1</v>
      </c>
      <c r="R425" s="291" t="s">
        <v>502</v>
      </c>
      <c r="S425" s="291">
        <v>0</v>
      </c>
      <c r="T425" s="307">
        <v>0</v>
      </c>
      <c r="U425" s="307">
        <v>0</v>
      </c>
      <c r="V425" s="291">
        <v>100</v>
      </c>
      <c r="W425" s="307">
        <v>4274484</v>
      </c>
      <c r="X425" s="291">
        <v>16</v>
      </c>
      <c r="Y425" s="291">
        <v>1160902002</v>
      </c>
      <c r="Z425" s="291">
        <v>2023</v>
      </c>
      <c r="AA425" s="291">
        <v>12</v>
      </c>
      <c r="AB425" s="291">
        <v>5026003002</v>
      </c>
      <c r="AC425" s="291">
        <v>1160903001</v>
      </c>
      <c r="AD425" s="291">
        <v>0</v>
      </c>
      <c r="AE425" s="291">
        <v>0</v>
      </c>
      <c r="AF425" s="291">
        <v>0</v>
      </c>
      <c r="AG425" s="291">
        <v>1160601004</v>
      </c>
      <c r="AH425" s="291">
        <v>0</v>
      </c>
      <c r="AI425" s="291" t="s">
        <v>500</v>
      </c>
      <c r="AJ425" s="308">
        <v>0.3</v>
      </c>
      <c r="AK425" s="309">
        <f t="shared" si="65"/>
        <v>1446678.9</v>
      </c>
      <c r="AL425" s="309">
        <f t="shared" si="66"/>
        <v>1446678.9</v>
      </c>
      <c r="AM425" s="309">
        <f t="shared" si="66"/>
        <v>1446678.9</v>
      </c>
      <c r="AN425" s="309"/>
      <c r="AO425" s="309"/>
      <c r="AP425" s="309">
        <f t="shared" si="61"/>
        <v>82700.7</v>
      </c>
      <c r="AQ425" s="309">
        <f t="shared" si="69"/>
        <v>82700.7</v>
      </c>
      <c r="AR425" s="309">
        <f t="shared" si="69"/>
        <v>82700.7</v>
      </c>
      <c r="AS425" s="309"/>
      <c r="AT425" s="309"/>
      <c r="AV425" s="311">
        <f t="shared" si="62"/>
        <v>482226.30000000028</v>
      </c>
      <c r="AW425" s="311">
        <f t="shared" si="63"/>
        <v>303235.89999999997</v>
      </c>
      <c r="AX425" s="312">
        <f t="shared" si="64"/>
        <v>4822263</v>
      </c>
      <c r="AY425" s="312">
        <f t="shared" si="70"/>
        <v>4822263</v>
      </c>
    </row>
    <row r="426" spans="1:51">
      <c r="A426" s="291" t="s">
        <v>494</v>
      </c>
      <c r="B426" s="291"/>
      <c r="C426" s="291"/>
      <c r="D426" s="291">
        <v>1160501001</v>
      </c>
      <c r="E426" s="291">
        <v>0</v>
      </c>
      <c r="F426" s="291">
        <v>45415</v>
      </c>
      <c r="G426" s="306">
        <v>43407</v>
      </c>
      <c r="H426" s="306">
        <v>45599</v>
      </c>
      <c r="I426" s="291">
        <v>0</v>
      </c>
      <c r="J426" s="307">
        <v>4162500</v>
      </c>
      <c r="K426" s="307">
        <v>517550</v>
      </c>
      <c r="L426" s="307">
        <v>0</v>
      </c>
      <c r="M426" s="291" t="s">
        <v>495</v>
      </c>
      <c r="N426" s="307">
        <v>0</v>
      </c>
      <c r="O426" s="307">
        <v>0</v>
      </c>
      <c r="P426" s="307">
        <v>0</v>
      </c>
      <c r="Q426" s="291">
        <v>1</v>
      </c>
      <c r="R426" s="291" t="s">
        <v>502</v>
      </c>
      <c r="S426" s="291">
        <v>0</v>
      </c>
      <c r="T426" s="307">
        <v>0</v>
      </c>
      <c r="U426" s="307">
        <v>0</v>
      </c>
      <c r="V426" s="291">
        <v>100</v>
      </c>
      <c r="W426" s="307">
        <v>4653159</v>
      </c>
      <c r="X426" s="291">
        <v>16</v>
      </c>
      <c r="Y426" s="291">
        <v>1160902002</v>
      </c>
      <c r="Z426" s="291">
        <v>2023</v>
      </c>
      <c r="AA426" s="291">
        <v>12</v>
      </c>
      <c r="AB426" s="291">
        <v>5026003002</v>
      </c>
      <c r="AC426" s="291">
        <v>1160903001</v>
      </c>
      <c r="AD426" s="291">
        <v>0</v>
      </c>
      <c r="AE426" s="291">
        <v>0</v>
      </c>
      <c r="AF426" s="291">
        <v>0</v>
      </c>
      <c r="AG426" s="291">
        <v>1160601004</v>
      </c>
      <c r="AH426" s="291">
        <v>0</v>
      </c>
      <c r="AI426" s="291" t="s">
        <v>500</v>
      </c>
      <c r="AJ426" s="308">
        <v>0.3</v>
      </c>
      <c r="AK426" s="309">
        <f t="shared" si="65"/>
        <v>1248750</v>
      </c>
      <c r="AL426" s="309">
        <f t="shared" si="66"/>
        <v>1248750</v>
      </c>
      <c r="AM426" s="309">
        <f t="shared" si="66"/>
        <v>1248750</v>
      </c>
      <c r="AN426" s="309"/>
      <c r="AO426" s="309"/>
      <c r="AP426" s="309">
        <f t="shared" si="61"/>
        <v>77632.5</v>
      </c>
      <c r="AQ426" s="309">
        <f t="shared" si="69"/>
        <v>77632.5</v>
      </c>
      <c r="AR426" s="309">
        <f t="shared" si="69"/>
        <v>77632.5</v>
      </c>
      <c r="AS426" s="309"/>
      <c r="AT426" s="309"/>
      <c r="AV426" s="311">
        <f t="shared" si="62"/>
        <v>416250</v>
      </c>
      <c r="AW426" s="311">
        <f t="shared" si="63"/>
        <v>284652.5</v>
      </c>
      <c r="AX426" s="312">
        <f t="shared" si="64"/>
        <v>4162500</v>
      </c>
      <c r="AY426" s="312">
        <f t="shared" si="70"/>
        <v>4162500</v>
      </c>
    </row>
    <row r="427" spans="1:51">
      <c r="A427" s="291" t="s">
        <v>494</v>
      </c>
      <c r="B427" s="291"/>
      <c r="C427" s="291"/>
      <c r="D427" s="291">
        <v>1160501001</v>
      </c>
      <c r="E427" s="291">
        <v>0</v>
      </c>
      <c r="F427" s="291">
        <v>46449</v>
      </c>
      <c r="G427" s="306">
        <v>43548</v>
      </c>
      <c r="H427" s="306">
        <v>45740</v>
      </c>
      <c r="I427" s="291">
        <v>0</v>
      </c>
      <c r="J427" s="307">
        <v>1849500</v>
      </c>
      <c r="K427" s="307">
        <v>195133</v>
      </c>
      <c r="L427" s="307">
        <v>0</v>
      </c>
      <c r="M427" s="291" t="s">
        <v>495</v>
      </c>
      <c r="N427" s="307">
        <v>0</v>
      </c>
      <c r="O427" s="307">
        <v>0</v>
      </c>
      <c r="P427" s="307">
        <v>0</v>
      </c>
      <c r="Q427" s="291">
        <v>1</v>
      </c>
      <c r="R427" s="291" t="s">
        <v>502</v>
      </c>
      <c r="S427" s="291">
        <v>0</v>
      </c>
      <c r="T427" s="307">
        <v>0</v>
      </c>
      <c r="U427" s="307">
        <v>0</v>
      </c>
      <c r="V427" s="291">
        <v>100</v>
      </c>
      <c r="W427" s="307">
        <v>4653159</v>
      </c>
      <c r="X427" s="291">
        <v>16</v>
      </c>
      <c r="Y427" s="291">
        <v>1160902002</v>
      </c>
      <c r="Z427" s="291">
        <v>2023</v>
      </c>
      <c r="AA427" s="291">
        <v>12</v>
      </c>
      <c r="AB427" s="291">
        <v>5026003002</v>
      </c>
      <c r="AC427" s="291">
        <v>1160903001</v>
      </c>
      <c r="AD427" s="291">
        <v>0</v>
      </c>
      <c r="AE427" s="291">
        <v>0</v>
      </c>
      <c r="AF427" s="291">
        <v>0</v>
      </c>
      <c r="AG427" s="291">
        <v>1160601004</v>
      </c>
      <c r="AH427" s="291">
        <v>0</v>
      </c>
      <c r="AI427" s="291" t="s">
        <v>500</v>
      </c>
      <c r="AJ427" s="308">
        <v>0.3</v>
      </c>
      <c r="AK427" s="309">
        <f t="shared" si="65"/>
        <v>554850</v>
      </c>
      <c r="AL427" s="309">
        <f t="shared" si="66"/>
        <v>554850</v>
      </c>
      <c r="AM427" s="309">
        <f t="shared" si="66"/>
        <v>554850</v>
      </c>
      <c r="AN427" s="309"/>
      <c r="AO427" s="309"/>
      <c r="AP427" s="309">
        <f t="shared" si="61"/>
        <v>29269.95</v>
      </c>
      <c r="AQ427" s="309">
        <f t="shared" si="69"/>
        <v>29269.95</v>
      </c>
      <c r="AR427" s="309">
        <f t="shared" si="69"/>
        <v>29269.95</v>
      </c>
      <c r="AS427" s="309"/>
      <c r="AT427" s="309"/>
      <c r="AV427" s="311">
        <f t="shared" si="62"/>
        <v>184950</v>
      </c>
      <c r="AW427" s="311">
        <f t="shared" si="63"/>
        <v>107323.14999999998</v>
      </c>
      <c r="AX427" s="312">
        <f t="shared" si="64"/>
        <v>1849500</v>
      </c>
      <c r="AY427" s="312">
        <f t="shared" si="70"/>
        <v>1849500</v>
      </c>
    </row>
    <row r="428" spans="1:51">
      <c r="A428" s="291" t="s">
        <v>494</v>
      </c>
      <c r="B428" s="291"/>
      <c r="C428" s="291"/>
      <c r="D428" s="291">
        <v>1160501001</v>
      </c>
      <c r="E428" s="291">
        <v>0</v>
      </c>
      <c r="F428" s="291">
        <v>47342</v>
      </c>
      <c r="G428" s="306">
        <v>43764</v>
      </c>
      <c r="H428" s="306">
        <v>45956</v>
      </c>
      <c r="I428" s="291">
        <v>0</v>
      </c>
      <c r="J428" s="307">
        <v>1709883</v>
      </c>
      <c r="K428" s="307">
        <v>212585</v>
      </c>
      <c r="L428" s="307">
        <v>0</v>
      </c>
      <c r="M428" s="291" t="s">
        <v>495</v>
      </c>
      <c r="N428" s="307">
        <v>0</v>
      </c>
      <c r="O428" s="307">
        <v>0</v>
      </c>
      <c r="P428" s="307">
        <v>0</v>
      </c>
      <c r="Q428" s="291">
        <v>1</v>
      </c>
      <c r="R428" s="291" t="s">
        <v>502</v>
      </c>
      <c r="S428" s="291">
        <v>0</v>
      </c>
      <c r="T428" s="307">
        <v>0</v>
      </c>
      <c r="U428" s="307">
        <v>0</v>
      </c>
      <c r="V428" s="291">
        <v>100</v>
      </c>
      <c r="W428" s="307">
        <v>4653159</v>
      </c>
      <c r="X428" s="291">
        <v>16</v>
      </c>
      <c r="Y428" s="291">
        <v>1160902002</v>
      </c>
      <c r="Z428" s="291">
        <v>2023</v>
      </c>
      <c r="AA428" s="291">
        <v>12</v>
      </c>
      <c r="AB428" s="291">
        <v>5026003002</v>
      </c>
      <c r="AC428" s="291">
        <v>1160903001</v>
      </c>
      <c r="AD428" s="291">
        <v>0</v>
      </c>
      <c r="AE428" s="291">
        <v>0</v>
      </c>
      <c r="AF428" s="291">
        <v>0</v>
      </c>
      <c r="AG428" s="291">
        <v>1160601004</v>
      </c>
      <c r="AH428" s="291">
        <v>0</v>
      </c>
      <c r="AI428" s="291" t="s">
        <v>500</v>
      </c>
      <c r="AJ428" s="308">
        <v>0.3</v>
      </c>
      <c r="AK428" s="309">
        <f t="shared" si="65"/>
        <v>512964.89999999997</v>
      </c>
      <c r="AL428" s="309">
        <f t="shared" si="66"/>
        <v>512964.89999999997</v>
      </c>
      <c r="AM428" s="309">
        <f t="shared" si="66"/>
        <v>512964.89999999997</v>
      </c>
      <c r="AN428" s="309"/>
      <c r="AO428" s="309"/>
      <c r="AP428" s="309">
        <f t="shared" si="61"/>
        <v>31887.75</v>
      </c>
      <c r="AQ428" s="309">
        <f t="shared" si="69"/>
        <v>31887.75</v>
      </c>
      <c r="AR428" s="309">
        <f t="shared" si="69"/>
        <v>31887.75</v>
      </c>
      <c r="AS428" s="309"/>
      <c r="AT428" s="309"/>
      <c r="AV428" s="311">
        <f t="shared" si="62"/>
        <v>170988.30000000022</v>
      </c>
      <c r="AW428" s="311">
        <f t="shared" si="63"/>
        <v>116921.75</v>
      </c>
      <c r="AX428" s="312">
        <f t="shared" si="64"/>
        <v>1709883</v>
      </c>
      <c r="AY428" s="312">
        <f t="shared" si="70"/>
        <v>1709883</v>
      </c>
    </row>
    <row r="429" spans="1:51">
      <c r="A429" s="291" t="s">
        <v>494</v>
      </c>
      <c r="B429" s="291"/>
      <c r="C429" s="291"/>
      <c r="D429" s="291">
        <v>1160501001</v>
      </c>
      <c r="E429" s="291">
        <v>0</v>
      </c>
      <c r="F429" s="291">
        <v>47346</v>
      </c>
      <c r="G429" s="306">
        <v>43905</v>
      </c>
      <c r="H429" s="306">
        <v>46096</v>
      </c>
      <c r="I429" s="291">
        <v>0</v>
      </c>
      <c r="J429" s="307">
        <v>2466000</v>
      </c>
      <c r="K429" s="307">
        <v>260163</v>
      </c>
      <c r="L429" s="307">
        <v>0</v>
      </c>
      <c r="M429" s="291" t="s">
        <v>495</v>
      </c>
      <c r="N429" s="307">
        <v>0</v>
      </c>
      <c r="O429" s="307">
        <v>0</v>
      </c>
      <c r="P429" s="307">
        <v>0</v>
      </c>
      <c r="Q429" s="291">
        <v>1</v>
      </c>
      <c r="R429" s="291" t="s">
        <v>502</v>
      </c>
      <c r="S429" s="291">
        <v>0</v>
      </c>
      <c r="T429" s="307">
        <v>0</v>
      </c>
      <c r="U429" s="307">
        <v>0</v>
      </c>
      <c r="V429" s="291">
        <v>100</v>
      </c>
      <c r="W429" s="307">
        <v>4653159</v>
      </c>
      <c r="X429" s="291">
        <v>16</v>
      </c>
      <c r="Y429" s="291">
        <v>1160902002</v>
      </c>
      <c r="Z429" s="291">
        <v>2023</v>
      </c>
      <c r="AA429" s="291">
        <v>12</v>
      </c>
      <c r="AB429" s="291">
        <v>5026003002</v>
      </c>
      <c r="AC429" s="291">
        <v>1160903001</v>
      </c>
      <c r="AD429" s="291">
        <v>0</v>
      </c>
      <c r="AE429" s="291">
        <v>0</v>
      </c>
      <c r="AF429" s="291">
        <v>0</v>
      </c>
      <c r="AG429" s="291">
        <v>1160601004</v>
      </c>
      <c r="AH429" s="291">
        <v>0</v>
      </c>
      <c r="AI429" s="291" t="s">
        <v>500</v>
      </c>
      <c r="AJ429" s="308">
        <v>0.3</v>
      </c>
      <c r="AK429" s="309">
        <f t="shared" si="65"/>
        <v>739800</v>
      </c>
      <c r="AL429" s="309">
        <f t="shared" si="66"/>
        <v>739800</v>
      </c>
      <c r="AM429" s="309">
        <f t="shared" si="66"/>
        <v>739800</v>
      </c>
      <c r="AN429" s="309"/>
      <c r="AO429" s="309"/>
      <c r="AP429" s="309">
        <f t="shared" si="61"/>
        <v>39024.449999999997</v>
      </c>
      <c r="AQ429" s="309">
        <f t="shared" si="69"/>
        <v>39024.449999999997</v>
      </c>
      <c r="AR429" s="309">
        <f t="shared" si="69"/>
        <v>39024.449999999997</v>
      </c>
      <c r="AS429" s="309"/>
      <c r="AT429" s="309"/>
      <c r="AV429" s="311">
        <f t="shared" si="62"/>
        <v>246600</v>
      </c>
      <c r="AW429" s="311">
        <f t="shared" si="63"/>
        <v>143089.64999999997</v>
      </c>
      <c r="AX429" s="312">
        <f t="shared" si="64"/>
        <v>2466000</v>
      </c>
      <c r="AY429" s="312">
        <f t="shared" si="70"/>
        <v>2466000</v>
      </c>
    </row>
    <row r="430" spans="1:51">
      <c r="A430" s="291" t="s">
        <v>494</v>
      </c>
      <c r="B430" s="291"/>
      <c r="C430" s="291"/>
      <c r="D430" s="291">
        <v>1160504001</v>
      </c>
      <c r="E430" s="291">
        <v>0</v>
      </c>
      <c r="F430" s="291">
        <v>43939</v>
      </c>
      <c r="G430" s="306">
        <v>43165</v>
      </c>
      <c r="H430" s="306">
        <v>44991</v>
      </c>
      <c r="I430" s="291">
        <v>296</v>
      </c>
      <c r="J430" s="307">
        <v>3999314</v>
      </c>
      <c r="K430" s="307">
        <v>699883</v>
      </c>
      <c r="L430" s="307">
        <v>0</v>
      </c>
      <c r="M430" s="291" t="s">
        <v>495</v>
      </c>
      <c r="N430" s="307">
        <v>3999314</v>
      </c>
      <c r="O430" s="307">
        <v>699883</v>
      </c>
      <c r="P430" s="307">
        <v>591898</v>
      </c>
      <c r="Q430" s="291">
        <v>1</v>
      </c>
      <c r="R430" s="291" t="s">
        <v>501</v>
      </c>
      <c r="S430" s="291">
        <v>100</v>
      </c>
      <c r="T430" s="307">
        <v>3999314</v>
      </c>
      <c r="U430" s="307">
        <v>699883</v>
      </c>
      <c r="V430" s="291">
        <v>300</v>
      </c>
      <c r="W430" s="307">
        <v>3480448</v>
      </c>
      <c r="X430" s="291">
        <v>14</v>
      </c>
      <c r="Y430" s="291">
        <v>1160902008</v>
      </c>
      <c r="Z430" s="291">
        <v>2023</v>
      </c>
      <c r="AA430" s="291">
        <v>12</v>
      </c>
      <c r="AB430" s="291">
        <v>5026003002</v>
      </c>
      <c r="AC430" s="291">
        <v>1160903004</v>
      </c>
      <c r="AD430" s="291">
        <v>0</v>
      </c>
      <c r="AE430" s="291">
        <v>0</v>
      </c>
      <c r="AF430" s="291">
        <v>0</v>
      </c>
      <c r="AG430" s="291">
        <v>1160604001</v>
      </c>
      <c r="AH430" s="291">
        <v>296</v>
      </c>
      <c r="AI430" s="291" t="s">
        <v>500</v>
      </c>
      <c r="AJ430" s="308">
        <v>0.3</v>
      </c>
      <c r="AK430" s="309">
        <f t="shared" si="65"/>
        <v>1199794.2</v>
      </c>
      <c r="AL430" s="309">
        <f t="shared" si="66"/>
        <v>1199794.2</v>
      </c>
      <c r="AM430" s="309">
        <f t="shared" si="66"/>
        <v>1199794.2</v>
      </c>
      <c r="AN430" s="309"/>
      <c r="AO430" s="309"/>
      <c r="AP430" s="309">
        <f t="shared" si="61"/>
        <v>104982.45</v>
      </c>
      <c r="AQ430" s="309">
        <f t="shared" si="69"/>
        <v>104982.45</v>
      </c>
      <c r="AR430" s="309">
        <f t="shared" si="69"/>
        <v>104982.45</v>
      </c>
      <c r="AS430" s="309"/>
      <c r="AT430" s="309"/>
      <c r="AV430" s="311">
        <f t="shared" si="62"/>
        <v>399931.39999999991</v>
      </c>
      <c r="AW430" s="311">
        <f t="shared" si="63"/>
        <v>384935.65</v>
      </c>
      <c r="AX430" s="312">
        <f t="shared" si="64"/>
        <v>0</v>
      </c>
    </row>
    <row r="431" spans="1:51">
      <c r="A431" s="291" t="s">
        <v>494</v>
      </c>
      <c r="B431" s="291"/>
      <c r="C431" s="291"/>
      <c r="D431" s="291">
        <v>1160505001</v>
      </c>
      <c r="E431" s="291">
        <v>0</v>
      </c>
      <c r="F431" s="291">
        <v>43014</v>
      </c>
      <c r="G431" s="306">
        <v>43041</v>
      </c>
      <c r="H431" s="306">
        <v>43406</v>
      </c>
      <c r="I431" s="291">
        <v>1860</v>
      </c>
      <c r="J431" s="307">
        <v>9693813</v>
      </c>
      <c r="K431" s="307">
        <v>0</v>
      </c>
      <c r="L431" s="307">
        <v>0</v>
      </c>
      <c r="M431" s="291" t="s">
        <v>495</v>
      </c>
      <c r="N431" s="307">
        <v>9693813</v>
      </c>
      <c r="O431" s="307">
        <v>0</v>
      </c>
      <c r="P431" s="307">
        <v>9015246</v>
      </c>
      <c r="Q431" s="291">
        <v>1</v>
      </c>
      <c r="R431" s="291" t="s">
        <v>496</v>
      </c>
      <c r="S431" s="291">
        <v>100</v>
      </c>
      <c r="T431" s="307">
        <v>9693813</v>
      </c>
      <c r="U431" s="307">
        <v>0</v>
      </c>
      <c r="V431" s="291">
        <v>300</v>
      </c>
      <c r="W431" s="307">
        <v>7240636</v>
      </c>
      <c r="X431" s="291">
        <v>2</v>
      </c>
      <c r="Y431" s="291">
        <v>1160902010</v>
      </c>
      <c r="Z431" s="291">
        <v>2023</v>
      </c>
      <c r="AA431" s="291">
        <v>12</v>
      </c>
      <c r="AB431" s="291">
        <v>5026003002</v>
      </c>
      <c r="AC431" s="291">
        <v>1160903005</v>
      </c>
      <c r="AD431" s="291">
        <v>0</v>
      </c>
      <c r="AE431" s="291">
        <v>0</v>
      </c>
      <c r="AF431" s="291">
        <v>0</v>
      </c>
      <c r="AG431" s="291">
        <v>1160605001</v>
      </c>
      <c r="AH431" s="291">
        <v>1860</v>
      </c>
      <c r="AI431" s="291" t="s">
        <v>497</v>
      </c>
      <c r="AJ431" s="308">
        <v>0.01</v>
      </c>
      <c r="AK431" s="309">
        <f t="shared" si="65"/>
        <v>96938.13</v>
      </c>
      <c r="AL431" s="309">
        <f t="shared" si="66"/>
        <v>96938.13</v>
      </c>
      <c r="AM431" s="309">
        <f t="shared" si="66"/>
        <v>96938.13</v>
      </c>
      <c r="AN431" s="309"/>
      <c r="AO431" s="309"/>
      <c r="AP431" s="309">
        <f t="shared" si="61"/>
        <v>0</v>
      </c>
      <c r="AQ431" s="309">
        <f t="shared" si="69"/>
        <v>0</v>
      </c>
      <c r="AR431" s="309">
        <f t="shared" si="69"/>
        <v>0</v>
      </c>
      <c r="AS431" s="309"/>
      <c r="AT431" s="309"/>
      <c r="AV431" s="311">
        <f t="shared" si="62"/>
        <v>9402998.6099999975</v>
      </c>
      <c r="AW431" s="311">
        <f t="shared" si="63"/>
        <v>0</v>
      </c>
      <c r="AX431" s="312">
        <f t="shared" si="64"/>
        <v>0</v>
      </c>
    </row>
    <row r="432" spans="1:51">
      <c r="A432" s="291" t="s">
        <v>494</v>
      </c>
      <c r="B432" s="291"/>
      <c r="C432" s="291"/>
      <c r="D432" s="291">
        <v>1160505001</v>
      </c>
      <c r="E432" s="291">
        <v>0</v>
      </c>
      <c r="F432" s="291">
        <v>44825</v>
      </c>
      <c r="G432" s="306">
        <v>43276</v>
      </c>
      <c r="H432" s="306">
        <v>44372</v>
      </c>
      <c r="I432" s="291">
        <v>907</v>
      </c>
      <c r="J432" s="307">
        <v>12000000</v>
      </c>
      <c r="K432" s="307">
        <v>0</v>
      </c>
      <c r="L432" s="307">
        <v>0</v>
      </c>
      <c r="M432" s="291" t="s">
        <v>495</v>
      </c>
      <c r="N432" s="307">
        <v>12000000</v>
      </c>
      <c r="O432" s="307">
        <v>0</v>
      </c>
      <c r="P432" s="307">
        <v>5442000</v>
      </c>
      <c r="Q432" s="291">
        <v>1</v>
      </c>
      <c r="R432" s="291" t="s">
        <v>496</v>
      </c>
      <c r="S432" s="291">
        <v>100</v>
      </c>
      <c r="T432" s="307">
        <v>12000000</v>
      </c>
      <c r="U432" s="307">
        <v>0</v>
      </c>
      <c r="V432" s="291">
        <v>100</v>
      </c>
      <c r="W432" s="307">
        <v>7564859</v>
      </c>
      <c r="X432" s="291">
        <v>2</v>
      </c>
      <c r="Y432" s="291">
        <v>1160902010</v>
      </c>
      <c r="Z432" s="291">
        <v>2023</v>
      </c>
      <c r="AA432" s="291">
        <v>12</v>
      </c>
      <c r="AB432" s="291">
        <v>5026003002</v>
      </c>
      <c r="AC432" s="291">
        <v>1160903005</v>
      </c>
      <c r="AD432" s="291">
        <v>0</v>
      </c>
      <c r="AE432" s="291">
        <v>0</v>
      </c>
      <c r="AF432" s="291">
        <v>0</v>
      </c>
      <c r="AG432" s="291">
        <v>1160605001</v>
      </c>
      <c r="AH432" s="291">
        <v>907</v>
      </c>
      <c r="AI432" s="291" t="s">
        <v>499</v>
      </c>
      <c r="AJ432" s="308">
        <v>0.05</v>
      </c>
      <c r="AK432" s="309">
        <f t="shared" si="65"/>
        <v>600000</v>
      </c>
      <c r="AL432" s="309">
        <f t="shared" si="66"/>
        <v>600000</v>
      </c>
      <c r="AM432" s="309">
        <f t="shared" si="66"/>
        <v>600000</v>
      </c>
      <c r="AN432" s="309"/>
      <c r="AO432" s="309"/>
      <c r="AP432" s="309">
        <f t="shared" si="61"/>
        <v>0</v>
      </c>
      <c r="AQ432" s="309">
        <f t="shared" si="69"/>
        <v>0</v>
      </c>
      <c r="AR432" s="309">
        <f t="shared" si="69"/>
        <v>0</v>
      </c>
      <c r="AS432" s="309"/>
      <c r="AT432" s="309"/>
      <c r="AV432" s="311">
        <f t="shared" si="62"/>
        <v>10200000</v>
      </c>
      <c r="AW432" s="311">
        <f t="shared" si="63"/>
        <v>0</v>
      </c>
      <c r="AX432" s="312">
        <f t="shared" si="64"/>
        <v>0</v>
      </c>
    </row>
    <row r="433" spans="1:50">
      <c r="A433" s="291" t="s">
        <v>494</v>
      </c>
      <c r="B433" s="291"/>
      <c r="C433" s="291"/>
      <c r="D433" s="291">
        <v>1160505001</v>
      </c>
      <c r="E433" s="291">
        <v>0</v>
      </c>
      <c r="F433" s="291">
        <v>46365</v>
      </c>
      <c r="G433" s="306">
        <v>43539</v>
      </c>
      <c r="H433" s="306">
        <v>44270</v>
      </c>
      <c r="I433" s="291">
        <v>1007</v>
      </c>
      <c r="J433" s="307">
        <v>7000000</v>
      </c>
      <c r="K433" s="307">
        <v>1851500</v>
      </c>
      <c r="L433" s="307">
        <v>0</v>
      </c>
      <c r="M433" s="291" t="s">
        <v>495</v>
      </c>
      <c r="N433" s="307">
        <v>7000000</v>
      </c>
      <c r="O433" s="307">
        <v>1851500</v>
      </c>
      <c r="P433" s="307">
        <v>3524500</v>
      </c>
      <c r="Q433" s="291">
        <v>1</v>
      </c>
      <c r="R433" s="291" t="s">
        <v>496</v>
      </c>
      <c r="S433" s="291">
        <v>100</v>
      </c>
      <c r="T433" s="307">
        <v>7000000</v>
      </c>
      <c r="U433" s="307">
        <v>1851500</v>
      </c>
      <c r="V433" s="291">
        <v>200</v>
      </c>
      <c r="W433" s="307">
        <v>1438797</v>
      </c>
      <c r="X433" s="291">
        <v>2</v>
      </c>
      <c r="Y433" s="291">
        <v>1160902010</v>
      </c>
      <c r="Z433" s="291">
        <v>2023</v>
      </c>
      <c r="AA433" s="291">
        <v>12</v>
      </c>
      <c r="AB433" s="291">
        <v>5026003002</v>
      </c>
      <c r="AC433" s="291">
        <v>1160903005</v>
      </c>
      <c r="AD433" s="291">
        <v>0</v>
      </c>
      <c r="AE433" s="291">
        <v>0</v>
      </c>
      <c r="AF433" s="291">
        <v>0</v>
      </c>
      <c r="AG433" s="291">
        <v>1160605001</v>
      </c>
      <c r="AH433" s="291">
        <v>1007</v>
      </c>
      <c r="AI433" s="291" t="s">
        <v>499</v>
      </c>
      <c r="AJ433" s="308">
        <v>0.05</v>
      </c>
      <c r="AK433" s="309">
        <f t="shared" si="65"/>
        <v>350000</v>
      </c>
      <c r="AL433" s="309">
        <f t="shared" si="66"/>
        <v>350000</v>
      </c>
      <c r="AM433" s="309">
        <f t="shared" si="66"/>
        <v>350000</v>
      </c>
      <c r="AN433" s="309"/>
      <c r="AO433" s="309"/>
      <c r="AP433" s="309">
        <f t="shared" si="61"/>
        <v>46287.5</v>
      </c>
      <c r="AQ433" s="309">
        <f t="shared" si="69"/>
        <v>46287.5</v>
      </c>
      <c r="AR433" s="309">
        <f t="shared" si="69"/>
        <v>46287.5</v>
      </c>
      <c r="AS433" s="309"/>
      <c r="AT433" s="309"/>
      <c r="AV433" s="311">
        <f t="shared" si="62"/>
        <v>5950000</v>
      </c>
      <c r="AW433" s="311">
        <f t="shared" si="63"/>
        <v>1712637.5</v>
      </c>
      <c r="AX433" s="312">
        <f t="shared" si="64"/>
        <v>0</v>
      </c>
    </row>
    <row r="434" spans="1:50">
      <c r="AI434" s="315" t="s">
        <v>1</v>
      </c>
      <c r="AJ434" s="315"/>
      <c r="AK434" s="314">
        <f>SUM(AK6:AK433)</f>
        <v>282567396.87999994</v>
      </c>
      <c r="AL434" s="314">
        <f>SUM(AL6:AL433)</f>
        <v>282567396.87999994</v>
      </c>
      <c r="AM434" s="314">
        <f>SUM(AM6:AM433)</f>
        <v>193306470.38</v>
      </c>
      <c r="AN434" s="315"/>
      <c r="AO434" s="315"/>
      <c r="AP434" s="315">
        <f>SUM(AP6:AP433)</f>
        <v>30873147.06999997</v>
      </c>
      <c r="AQ434" s="315">
        <f t="shared" ref="AQ434:AR434" si="71">SUM(AQ6:AQ433)</f>
        <v>30873147.06999997</v>
      </c>
      <c r="AR434" s="315">
        <f t="shared" si="71"/>
        <v>30873147.06999997</v>
      </c>
      <c r="AS434" s="315"/>
      <c r="AT434" s="315"/>
      <c r="AV434" s="311"/>
      <c r="AW434" s="311"/>
    </row>
    <row r="435" spans="1:50">
      <c r="N435" s="313">
        <f>1080-365</f>
        <v>715</v>
      </c>
      <c r="AL435" s="316"/>
      <c r="AM435" s="316"/>
      <c r="AQ435" s="316"/>
      <c r="AR435" s="316"/>
      <c r="AV435" s="311">
        <f t="shared" ref="AV435:AV444" si="72">J435-AK435-AL435-AM435</f>
        <v>0</v>
      </c>
      <c r="AW435" s="311">
        <f>+K435-AP435-AQ435-AR435</f>
        <v>0</v>
      </c>
    </row>
    <row r="436" spans="1:50">
      <c r="G436" s="317"/>
      <c r="H436" s="317"/>
      <c r="I436" s="317"/>
      <c r="AL436" s="316"/>
      <c r="AM436" s="316"/>
      <c r="AQ436" s="316"/>
      <c r="AR436" s="316"/>
      <c r="AV436" s="311">
        <f t="shared" si="72"/>
        <v>0</v>
      </c>
      <c r="AW436" s="311">
        <f>+K436-AP436-AQ436-AR436</f>
        <v>0</v>
      </c>
    </row>
    <row r="437" spans="1:50">
      <c r="G437" s="317"/>
      <c r="H437" s="317"/>
      <c r="I437" s="317"/>
      <c r="AL437" s="316"/>
      <c r="AM437" s="316"/>
      <c r="AQ437" s="316"/>
      <c r="AV437" s="311">
        <f t="shared" si="72"/>
        <v>0</v>
      </c>
      <c r="AW437" s="311" t="e">
        <f>+K437-AP437-AQ437-#REF!</f>
        <v>#REF!</v>
      </c>
    </row>
    <row r="438" spans="1:50">
      <c r="AL438" s="316"/>
      <c r="AM438" s="316"/>
      <c r="AQ438" s="316"/>
      <c r="AV438" s="311">
        <f t="shared" si="72"/>
        <v>0</v>
      </c>
      <c r="AW438" s="311" t="e">
        <f>+K438-AP438-AQ438-#REF!</f>
        <v>#REF!</v>
      </c>
    </row>
    <row r="439" spans="1:50">
      <c r="AL439" s="316"/>
      <c r="AM439" s="316"/>
      <c r="AQ439" s="316"/>
      <c r="AV439" s="311">
        <f t="shared" si="72"/>
        <v>0</v>
      </c>
      <c r="AW439" s="311" t="e">
        <f>+K439-AP439-AQ439-#REF!</f>
        <v>#REF!</v>
      </c>
    </row>
    <row r="440" spans="1:50">
      <c r="AL440" s="316"/>
      <c r="AM440" s="316"/>
      <c r="AQ440" s="316"/>
      <c r="AV440" s="311">
        <f t="shared" si="72"/>
        <v>0</v>
      </c>
      <c r="AW440" s="311" t="e">
        <f>+K440-AP440-AQ440-#REF!</f>
        <v>#REF!</v>
      </c>
    </row>
    <row r="441" spans="1:50">
      <c r="AL441" s="316"/>
      <c r="AM441" s="316"/>
      <c r="AQ441" s="316"/>
      <c r="AV441" s="311">
        <f t="shared" si="72"/>
        <v>0</v>
      </c>
      <c r="AW441" s="311" t="e">
        <f>+K441-AP441-AQ441-#REF!</f>
        <v>#REF!</v>
      </c>
    </row>
    <row r="442" spans="1:50">
      <c r="AL442" s="316"/>
      <c r="AM442" s="316"/>
      <c r="AQ442" s="316"/>
      <c r="AV442" s="311">
        <f t="shared" si="72"/>
        <v>0</v>
      </c>
      <c r="AW442" s="311" t="e">
        <f>+K442-AP442-AQ442-#REF!</f>
        <v>#REF!</v>
      </c>
    </row>
    <row r="443" spans="1:50">
      <c r="AL443" s="316"/>
      <c r="AM443" s="316"/>
      <c r="AQ443" s="316"/>
      <c r="AV443" s="311">
        <f t="shared" si="72"/>
        <v>0</v>
      </c>
      <c r="AW443" s="311" t="e">
        <f>+K443-AP443-AQ443-#REF!</f>
        <v>#REF!</v>
      </c>
    </row>
    <row r="444" spans="1:50">
      <c r="AL444" s="316"/>
      <c r="AM444" s="316"/>
      <c r="AQ444" s="316"/>
      <c r="AR444" s="316"/>
      <c r="AV444" s="311">
        <f t="shared" si="72"/>
        <v>0</v>
      </c>
      <c r="AW444" s="311">
        <f>+K444-AP444-AQ444-AR444</f>
        <v>0</v>
      </c>
    </row>
  </sheetData>
  <autoFilter ref="A5:AY444" xr:uid="{00000000-0009-0000-0000-000015000000}"/>
  <mergeCells count="5">
    <mergeCell ref="AK4:AO4"/>
    <mergeCell ref="AP4:AT4"/>
    <mergeCell ref="BA6:BH9"/>
    <mergeCell ref="BA10:BH11"/>
    <mergeCell ref="BA12:BH15"/>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5"/>
  <sheetViews>
    <sheetView showGridLines="0" workbookViewId="0">
      <selection activeCell="P6" sqref="P6"/>
    </sheetView>
  </sheetViews>
  <sheetFormatPr baseColWidth="10" defaultRowHeight="15" outlineLevelCol="1"/>
  <cols>
    <col min="1" max="1" width="34" style="147" bestFit="1" customWidth="1"/>
    <col min="2" max="2" width="11.140625" style="147" hidden="1" customWidth="1" outlineLevel="1"/>
    <col min="3" max="3" width="20" style="147" hidden="1" customWidth="1" outlineLevel="1"/>
    <col min="4" max="4" width="11.28515625" style="147" hidden="1" customWidth="1" outlineLevel="1"/>
    <col min="5" max="5" width="73.85546875" style="147" hidden="1" customWidth="1" outlineLevel="1"/>
    <col min="6" max="6" width="12.28515625" style="147" hidden="1" customWidth="1" outlineLevel="1"/>
    <col min="7" max="7" width="12.7109375" style="147" bestFit="1" customWidth="1" collapsed="1"/>
    <col min="8" max="9" width="13.85546875" style="147" bestFit="1" customWidth="1"/>
    <col min="10" max="10" width="13.42578125" style="147" customWidth="1"/>
    <col min="11" max="11" width="13.7109375" style="147" customWidth="1"/>
    <col min="12" max="12" width="14.28515625" style="147" bestFit="1" customWidth="1"/>
    <col min="13" max="14" width="11.42578125" style="147"/>
    <col min="15" max="15" width="13.7109375" style="147" customWidth="1"/>
    <col min="16" max="16" width="14" style="147" customWidth="1"/>
    <col min="17" max="16384" width="11.42578125" style="147"/>
  </cols>
  <sheetData>
    <row r="1" spans="1:26">
      <c r="H1" s="153" t="s">
        <v>436</v>
      </c>
    </row>
    <row r="2" spans="1:26">
      <c r="H2" s="374" t="s">
        <v>226</v>
      </c>
      <c r="I2" s="374" t="s">
        <v>227</v>
      </c>
      <c r="J2" s="374" t="s">
        <v>228</v>
      </c>
      <c r="K2" s="374" t="s">
        <v>229</v>
      </c>
      <c r="L2" s="374" t="s">
        <v>230</v>
      </c>
      <c r="M2" s="374" t="s">
        <v>231</v>
      </c>
      <c r="N2" s="374" t="s">
        <v>232</v>
      </c>
      <c r="O2" s="374" t="s">
        <v>233</v>
      </c>
      <c r="P2" s="374" t="s">
        <v>3010</v>
      </c>
      <c r="Q2" s="374" t="s">
        <v>3011</v>
      </c>
    </row>
    <row r="3" spans="1:26">
      <c r="H3" s="375">
        <f>+'IPC - CAFÉ'!E24</f>
        <v>0.06</v>
      </c>
      <c r="I3" s="375">
        <f>+'IPC - CAFÉ'!F24</f>
        <v>4.5975144331782153E-2</v>
      </c>
      <c r="J3" s="375">
        <f>+'IPC - CAFÉ'!G24</f>
        <v>4.7225144331782154E-2</v>
      </c>
      <c r="K3" s="375">
        <f>+'IPC - CAFÉ'!H24</f>
        <v>4.8475144331782155E-2</v>
      </c>
      <c r="L3" s="375">
        <f>+'IPC - CAFÉ'!I24</f>
        <v>4.9725144331782156E-2</v>
      </c>
      <c r="M3" s="375">
        <f>+'IPC - CAFÉ'!J24</f>
        <v>5.0975144331782157E-2</v>
      </c>
      <c r="N3" s="375">
        <f>+'IPC - CAFÉ'!K24</f>
        <v>5.2225144331782158E-2</v>
      </c>
      <c r="O3" s="375">
        <f>+'IPC - CAFÉ'!L24</f>
        <v>5.347514433178216E-2</v>
      </c>
      <c r="P3" s="375">
        <f>+'IPC - CAFÉ'!M24</f>
        <v>5.4725144331782161E-2</v>
      </c>
      <c r="Q3" s="375">
        <f>+'IPC - CAFÉ'!N24</f>
        <v>5.5975144331782162E-2</v>
      </c>
    </row>
    <row r="4" spans="1:26">
      <c r="H4" s="385"/>
      <c r="I4" s="385"/>
      <c r="J4" s="385"/>
      <c r="K4" s="385"/>
    </row>
    <row r="5" spans="1:26" ht="15.75">
      <c r="H5" s="362" t="s">
        <v>572</v>
      </c>
      <c r="S5" s="376" t="s">
        <v>439</v>
      </c>
      <c r="T5" s="149"/>
      <c r="U5" s="149"/>
      <c r="V5" s="149"/>
      <c r="W5" s="149"/>
      <c r="X5" s="149"/>
      <c r="Y5" s="149"/>
      <c r="Z5" s="149"/>
    </row>
    <row r="6" spans="1:26" ht="45">
      <c r="A6" s="296" t="s">
        <v>505</v>
      </c>
      <c r="B6" s="296" t="s">
        <v>513</v>
      </c>
      <c r="C6" s="296" t="s">
        <v>514</v>
      </c>
      <c r="D6" s="296" t="s">
        <v>515</v>
      </c>
      <c r="E6" s="296" t="s">
        <v>516</v>
      </c>
      <c r="F6" s="296" t="s">
        <v>559</v>
      </c>
      <c r="G6" s="296" t="s">
        <v>226</v>
      </c>
      <c r="H6" s="296" t="s">
        <v>227</v>
      </c>
      <c r="I6" s="296" t="s">
        <v>228</v>
      </c>
      <c r="J6" s="296" t="s">
        <v>229</v>
      </c>
      <c r="K6" s="296" t="s">
        <v>230</v>
      </c>
      <c r="L6" s="296" t="s">
        <v>231</v>
      </c>
      <c r="M6" s="296" t="s">
        <v>232</v>
      </c>
      <c r="N6" s="296" t="s">
        <v>233</v>
      </c>
      <c r="O6" s="296" t="s">
        <v>3010</v>
      </c>
      <c r="P6" s="296" t="s">
        <v>3011</v>
      </c>
      <c r="Q6"/>
      <c r="S6" s="962" t="s">
        <v>570</v>
      </c>
      <c r="T6" s="963"/>
      <c r="U6" s="963"/>
      <c r="V6" s="963"/>
      <c r="W6" s="963"/>
      <c r="X6" s="963"/>
      <c r="Y6" s="963"/>
      <c r="Z6" s="964"/>
    </row>
    <row r="7" spans="1:26">
      <c r="A7" s="291"/>
      <c r="B7" s="291"/>
      <c r="C7" s="291"/>
      <c r="D7" s="291"/>
      <c r="E7" s="291"/>
      <c r="F7" s="291"/>
      <c r="G7" s="291"/>
      <c r="H7" s="291"/>
      <c r="I7" s="291"/>
      <c r="J7" s="291"/>
      <c r="K7" s="291"/>
      <c r="L7" s="291"/>
      <c r="M7" s="291"/>
      <c r="N7" s="291"/>
      <c r="O7" s="291"/>
      <c r="P7" s="291"/>
      <c r="Q7"/>
      <c r="S7" s="965"/>
      <c r="T7" s="966"/>
      <c r="U7" s="966"/>
      <c r="V7" s="966"/>
      <c r="W7" s="966"/>
      <c r="X7" s="966"/>
      <c r="Y7" s="966"/>
      <c r="Z7" s="967"/>
    </row>
    <row r="8" spans="1:26">
      <c r="A8" s="291" t="s">
        <v>560</v>
      </c>
      <c r="B8" s="377">
        <v>5110010105</v>
      </c>
      <c r="C8" s="378" t="s">
        <v>517</v>
      </c>
      <c r="D8" s="378" t="s">
        <v>528</v>
      </c>
      <c r="E8" s="378" t="s">
        <v>529</v>
      </c>
      <c r="F8" s="379">
        <v>2301611.3333333335</v>
      </c>
      <c r="G8" s="380">
        <v>1000000</v>
      </c>
      <c r="H8" s="381">
        <f>+G8*(1+H$3)</f>
        <v>1060000</v>
      </c>
      <c r="I8" s="381">
        <f t="shared" ref="I8:K8" si="0">+H8*(1+I$3)</f>
        <v>1108733.652991689</v>
      </c>
      <c r="J8" s="381">
        <f t="shared" si="0"/>
        <v>1161093.7597797257</v>
      </c>
      <c r="K8" s="381">
        <f t="shared" si="0"/>
        <v>1217377.9473677794</v>
      </c>
      <c r="L8" s="381">
        <f t="shared" ref="L8:L14" si="1">+K8*(1+L$3)</f>
        <v>1277912.241506971</v>
      </c>
      <c r="M8" s="381">
        <f t="shared" ref="M8:M14" si="2">+L8*(1+M$3)</f>
        <v>1343054.00246114</v>
      </c>
      <c r="N8" s="381">
        <f t="shared" ref="N8:N14" si="3">+M8*(1+N$3)</f>
        <v>1413195.1915850507</v>
      </c>
      <c r="O8" s="381">
        <f t="shared" ref="O8:O14" si="4">+N8*(1+O$3)</f>
        <v>1488766.0084240418</v>
      </c>
      <c r="P8" s="381">
        <f t="shared" ref="P8:P14" si="5">+O8*(1+P$3)</f>
        <v>1570238.9431112988</v>
      </c>
      <c r="Q8"/>
      <c r="S8" s="965"/>
      <c r="T8" s="966"/>
      <c r="U8" s="966"/>
      <c r="V8" s="966"/>
      <c r="W8" s="966"/>
      <c r="X8" s="966"/>
      <c r="Y8" s="966"/>
      <c r="Z8" s="967"/>
    </row>
    <row r="9" spans="1:26">
      <c r="A9" s="291" t="s">
        <v>560</v>
      </c>
      <c r="B9" s="377">
        <v>5110010105</v>
      </c>
      <c r="C9" s="378" t="s">
        <v>517</v>
      </c>
      <c r="D9" s="378" t="s">
        <v>530</v>
      </c>
      <c r="E9" s="378" t="s">
        <v>531</v>
      </c>
      <c r="F9" s="379">
        <v>1918004</v>
      </c>
      <c r="G9" s="380">
        <v>2000000</v>
      </c>
      <c r="H9" s="381">
        <f t="shared" ref="H9:K9" si="6">+G9*(1+H$3)</f>
        <v>2120000</v>
      </c>
      <c r="I9" s="381">
        <f t="shared" si="6"/>
        <v>2217467.3059833781</v>
      </c>
      <c r="J9" s="381">
        <f t="shared" si="6"/>
        <v>2322187.5195594514</v>
      </c>
      <c r="K9" s="381">
        <f t="shared" si="6"/>
        <v>2434755.8947355589</v>
      </c>
      <c r="L9" s="381">
        <f t="shared" si="1"/>
        <v>2555824.4830139419</v>
      </c>
      <c r="M9" s="381">
        <f t="shared" si="2"/>
        <v>2686108.0049222801</v>
      </c>
      <c r="N9" s="381">
        <f t="shared" si="3"/>
        <v>2826390.3831701013</v>
      </c>
      <c r="O9" s="381">
        <f t="shared" si="4"/>
        <v>2977532.0168480836</v>
      </c>
      <c r="P9" s="381">
        <f t="shared" si="5"/>
        <v>3140477.8862225977</v>
      </c>
      <c r="Q9"/>
      <c r="S9" s="965"/>
      <c r="T9" s="966"/>
      <c r="U9" s="966"/>
      <c r="V9" s="966"/>
      <c r="W9" s="966"/>
      <c r="X9" s="966"/>
      <c r="Y9" s="966"/>
      <c r="Z9" s="967"/>
    </row>
    <row r="10" spans="1:26">
      <c r="A10" s="291" t="s">
        <v>562</v>
      </c>
      <c r="B10" s="377">
        <v>5110010105</v>
      </c>
      <c r="C10" s="378" t="s">
        <v>517</v>
      </c>
      <c r="D10" s="378" t="s">
        <v>532</v>
      </c>
      <c r="E10" s="378" t="s">
        <v>533</v>
      </c>
      <c r="F10" s="379">
        <v>5203333.333333333</v>
      </c>
      <c r="G10" s="380">
        <f t="shared" ref="G10:G12" si="7">+F10*1.05</f>
        <v>5463500</v>
      </c>
      <c r="H10" s="381">
        <f t="shared" ref="H10:K10" si="8">+G10*(1+H$3)</f>
        <v>5791310</v>
      </c>
      <c r="I10" s="381">
        <f t="shared" si="8"/>
        <v>6057566.3131200932</v>
      </c>
      <c r="J10" s="381">
        <f t="shared" si="8"/>
        <v>6343635.7565565314</v>
      </c>
      <c r="K10" s="381">
        <f t="shared" si="8"/>
        <v>6651144.4154438628</v>
      </c>
      <c r="L10" s="381">
        <f t="shared" si="1"/>
        <v>6981873.5314733358</v>
      </c>
      <c r="M10" s="381">
        <f t="shared" si="2"/>
        <v>7337775.5424464382</v>
      </c>
      <c r="N10" s="381">
        <f t="shared" si="3"/>
        <v>7720991.9292249242</v>
      </c>
      <c r="O10" s="381">
        <f t="shared" si="4"/>
        <v>8133873.087024753</v>
      </c>
      <c r="P10" s="381">
        <f t="shared" si="5"/>
        <v>8579000.4656885806</v>
      </c>
      <c r="Q10"/>
      <c r="S10" s="965"/>
      <c r="T10" s="966"/>
      <c r="U10" s="966"/>
      <c r="V10" s="966"/>
      <c r="W10" s="966"/>
      <c r="X10" s="966"/>
      <c r="Y10" s="966"/>
      <c r="Z10" s="967"/>
    </row>
    <row r="11" spans="1:26">
      <c r="A11" s="291" t="s">
        <v>561</v>
      </c>
      <c r="B11" s="377">
        <v>5110010105</v>
      </c>
      <c r="C11" s="378" t="s">
        <v>517</v>
      </c>
      <c r="D11" s="378" t="s">
        <v>538</v>
      </c>
      <c r="E11" s="378" t="s">
        <v>539</v>
      </c>
      <c r="F11" s="379">
        <v>12373333.333333334</v>
      </c>
      <c r="G11" s="380">
        <f t="shared" si="7"/>
        <v>12992000.000000002</v>
      </c>
      <c r="H11" s="381">
        <f t="shared" ref="H11:K11" si="9">+G11*(1+H$3)</f>
        <v>13771520.000000002</v>
      </c>
      <c r="I11" s="381">
        <f t="shared" si="9"/>
        <v>14404667.619668027</v>
      </c>
      <c r="J11" s="381">
        <f t="shared" si="9"/>
        <v>15084930.127058199</v>
      </c>
      <c r="K11" s="381">
        <f t="shared" si="9"/>
        <v>15816174.292202193</v>
      </c>
      <c r="L11" s="381">
        <f t="shared" si="1"/>
        <v>16602635.84165857</v>
      </c>
      <c r="M11" s="381">
        <f t="shared" si="2"/>
        <v>17448957.599975135</v>
      </c>
      <c r="N11" s="381">
        <f t="shared" si="3"/>
        <v>18360231.929072984</v>
      </c>
      <c r="O11" s="381">
        <f t="shared" si="4"/>
        <v>19342047.98144516</v>
      </c>
      <c r="P11" s="381">
        <f t="shared" si="5"/>
        <v>20400544.348902002</v>
      </c>
      <c r="Q11"/>
      <c r="S11" s="965"/>
      <c r="T11" s="966"/>
      <c r="U11" s="966"/>
      <c r="V11" s="966"/>
      <c r="W11" s="966"/>
      <c r="X11" s="966"/>
      <c r="Y11" s="966"/>
      <c r="Z11" s="967"/>
    </row>
    <row r="12" spans="1:26">
      <c r="A12" s="291" t="s">
        <v>562</v>
      </c>
      <c r="B12" s="377">
        <v>5110010105</v>
      </c>
      <c r="C12" s="378" t="s">
        <v>517</v>
      </c>
      <c r="D12" s="378" t="s">
        <v>542</v>
      </c>
      <c r="E12" s="378" t="s">
        <v>543</v>
      </c>
      <c r="F12" s="379">
        <v>2900000</v>
      </c>
      <c r="G12" s="380">
        <f t="shared" si="7"/>
        <v>3045000</v>
      </c>
      <c r="H12" s="381">
        <f t="shared" ref="H12:K12" si="10">+G12*(1+H$3)</f>
        <v>3227700</v>
      </c>
      <c r="I12" s="381">
        <f t="shared" si="10"/>
        <v>3376093.9733596933</v>
      </c>
      <c r="J12" s="381">
        <f t="shared" si="10"/>
        <v>3535530.4985292647</v>
      </c>
      <c r="K12" s="381">
        <f t="shared" si="10"/>
        <v>3706915.8497348884</v>
      </c>
      <c r="L12" s="381">
        <f t="shared" si="1"/>
        <v>3891242.7753887265</v>
      </c>
      <c r="M12" s="381">
        <f t="shared" si="2"/>
        <v>4089599.4374941713</v>
      </c>
      <c r="N12" s="381">
        <f t="shared" si="3"/>
        <v>4303179.3583764788</v>
      </c>
      <c r="O12" s="381">
        <f t="shared" si="4"/>
        <v>4533292.4956512069</v>
      </c>
      <c r="P12" s="381">
        <f t="shared" si="5"/>
        <v>4781377.5817739042</v>
      </c>
      <c r="Q12"/>
      <c r="S12" s="965"/>
      <c r="T12" s="966"/>
      <c r="U12" s="966"/>
      <c r="V12" s="966"/>
      <c r="W12" s="966"/>
      <c r="X12" s="966"/>
      <c r="Y12" s="966"/>
      <c r="Z12" s="967"/>
    </row>
    <row r="13" spans="1:26">
      <c r="A13" s="291" t="s">
        <v>561</v>
      </c>
      <c r="B13" s="377">
        <v>5110010105</v>
      </c>
      <c r="C13" s="378" t="s">
        <v>517</v>
      </c>
      <c r="D13" s="378" t="s">
        <v>544</v>
      </c>
      <c r="E13" s="378" t="s">
        <v>545</v>
      </c>
      <c r="F13" s="379">
        <v>3000000</v>
      </c>
      <c r="G13" s="380">
        <v>3500000</v>
      </c>
      <c r="H13" s="381">
        <f t="shared" ref="H13:K13" si="11">+G13*(1+H$3)</f>
        <v>3710000</v>
      </c>
      <c r="I13" s="381">
        <f t="shared" si="11"/>
        <v>3880567.7854709118</v>
      </c>
      <c r="J13" s="381">
        <f t="shared" si="11"/>
        <v>4063828.1592290397</v>
      </c>
      <c r="K13" s="381">
        <f t="shared" si="11"/>
        <v>4260822.8157872278</v>
      </c>
      <c r="L13" s="381">
        <f t="shared" si="1"/>
        <v>4472692.8452743981</v>
      </c>
      <c r="M13" s="381">
        <f t="shared" si="2"/>
        <v>4700689.0086139897</v>
      </c>
      <c r="N13" s="381">
        <f t="shared" si="3"/>
        <v>4946183.1705476772</v>
      </c>
      <c r="O13" s="381">
        <f t="shared" si="4"/>
        <v>5210681.0294841463</v>
      </c>
      <c r="P13" s="381">
        <f t="shared" si="5"/>
        <v>5495836.3008895461</v>
      </c>
      <c r="Q13"/>
      <c r="S13" s="965"/>
      <c r="T13" s="966"/>
      <c r="U13" s="966"/>
      <c r="V13" s="966"/>
      <c r="W13" s="966"/>
      <c r="X13" s="966"/>
      <c r="Y13" s="966"/>
      <c r="Z13" s="967"/>
    </row>
    <row r="14" spans="1:26">
      <c r="A14" s="291" t="s">
        <v>569</v>
      </c>
      <c r="B14" s="291"/>
      <c r="C14" s="291"/>
      <c r="D14" s="291"/>
      <c r="E14" s="291" t="s">
        <v>566</v>
      </c>
      <c r="F14" s="291"/>
      <c r="G14" s="381">
        <v>40000000</v>
      </c>
      <c r="H14" s="381">
        <f t="shared" ref="H14:K14" si="12">+G14*(1+H$3)</f>
        <v>42400000</v>
      </c>
      <c r="I14" s="381">
        <f t="shared" si="12"/>
        <v>44349346.119667567</v>
      </c>
      <c r="J14" s="381">
        <f t="shared" si="12"/>
        <v>46443750.391189031</v>
      </c>
      <c r="K14" s="381">
        <f t="shared" si="12"/>
        <v>48695117.894711182</v>
      </c>
      <c r="L14" s="381">
        <f t="shared" si="1"/>
        <v>51116489.660278842</v>
      </c>
      <c r="M14" s="381">
        <f t="shared" si="2"/>
        <v>53722160.098445602</v>
      </c>
      <c r="N14" s="381">
        <f t="shared" si="3"/>
        <v>56527807.663402028</v>
      </c>
      <c r="O14" s="381">
        <f t="shared" si="4"/>
        <v>59550640.336961679</v>
      </c>
      <c r="P14" s="381">
        <f t="shared" si="5"/>
        <v>62809557.724451959</v>
      </c>
      <c r="Q14"/>
      <c r="S14" s="965"/>
      <c r="T14" s="966"/>
      <c r="U14" s="966"/>
      <c r="V14" s="966"/>
      <c r="W14" s="966"/>
      <c r="X14" s="966"/>
      <c r="Y14" s="966"/>
      <c r="Z14" s="967"/>
    </row>
    <row r="15" spans="1:26">
      <c r="A15" s="297" t="s">
        <v>1</v>
      </c>
      <c r="B15" s="382"/>
      <c r="C15" s="382"/>
      <c r="D15" s="382"/>
      <c r="E15" s="382"/>
      <c r="F15" s="382"/>
      <c r="G15" s="383">
        <f>SUM(G8:G14)</f>
        <v>68000500</v>
      </c>
      <c r="H15" s="383">
        <f t="shared" ref="H15:K15" si="13">SUM(H8:H14)</f>
        <v>72080530</v>
      </c>
      <c r="I15" s="383">
        <f t="shared" si="13"/>
        <v>75394442.770261362</v>
      </c>
      <c r="J15" s="383">
        <f t="shared" si="13"/>
        <v>78954956.211901248</v>
      </c>
      <c r="K15" s="383">
        <f t="shared" si="13"/>
        <v>82782309.109982699</v>
      </c>
      <c r="L15" s="383">
        <f t="shared" ref="L15:P15" si="14">SUM(L8:L14)</f>
        <v>86898671.378594786</v>
      </c>
      <c r="M15" s="383">
        <f t="shared" si="14"/>
        <v>91328343.694358766</v>
      </c>
      <c r="N15" s="383">
        <f t="shared" si="14"/>
        <v>96097979.625379249</v>
      </c>
      <c r="O15" s="383">
        <f t="shared" si="14"/>
        <v>101236832.95583907</v>
      </c>
      <c r="P15" s="383">
        <f t="shared" si="14"/>
        <v>106777033.25103989</v>
      </c>
      <c r="Q15"/>
      <c r="S15" s="968"/>
      <c r="T15" s="969"/>
      <c r="U15" s="969"/>
      <c r="V15" s="969"/>
      <c r="W15" s="969"/>
      <c r="X15" s="969"/>
      <c r="Y15" s="969"/>
      <c r="Z15" s="970"/>
    </row>
  </sheetData>
  <autoFilter ref="B6:L14" xr:uid="{00000000-0009-0000-0000-000016000000}"/>
  <mergeCells count="3">
    <mergeCell ref="S6:Z9"/>
    <mergeCell ref="S10:Z11"/>
    <mergeCell ref="S12:Z15"/>
  </mergeCells>
  <phoneticPr fontId="3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C15"/>
  <sheetViews>
    <sheetView showGridLines="0" workbookViewId="0">
      <selection activeCell="P22" sqref="P22"/>
    </sheetView>
  </sheetViews>
  <sheetFormatPr baseColWidth="10" defaultRowHeight="12.75" outlineLevelCol="1"/>
  <cols>
    <col min="1" max="1" width="36.7109375" style="148" bestFit="1" customWidth="1"/>
    <col min="2" max="2" width="11.140625" style="148" hidden="1" customWidth="1" outlineLevel="1"/>
    <col min="3" max="3" width="20" style="148" hidden="1" customWidth="1" outlineLevel="1"/>
    <col min="4" max="4" width="11.28515625" style="148" hidden="1" customWidth="1" outlineLevel="1"/>
    <col min="5" max="5" width="73.85546875" style="148" hidden="1" customWidth="1" outlineLevel="1"/>
    <col min="6" max="6" width="12.28515625" style="148" hidden="1" customWidth="1" outlineLevel="1"/>
    <col min="7" max="7" width="12.7109375" style="148" bestFit="1" customWidth="1" collapsed="1"/>
    <col min="8" max="9" width="13.85546875" style="148" bestFit="1" customWidth="1"/>
    <col min="10" max="10" width="13.42578125" style="148" customWidth="1"/>
    <col min="11" max="11" width="13.7109375" style="148" customWidth="1"/>
    <col min="12" max="12" width="14.28515625" style="148" bestFit="1" customWidth="1"/>
    <col min="13" max="16384" width="11.42578125" style="148"/>
  </cols>
  <sheetData>
    <row r="1" spans="1:29">
      <c r="H1" s="155" t="s">
        <v>436</v>
      </c>
    </row>
    <row r="2" spans="1:29">
      <c r="H2" s="194">
        <v>2025</v>
      </c>
      <c r="I2" s="194">
        <v>2026</v>
      </c>
      <c r="J2" s="194">
        <v>2027</v>
      </c>
      <c r="K2" s="194">
        <v>2028</v>
      </c>
      <c r="L2" s="194">
        <v>2029</v>
      </c>
      <c r="M2" s="194">
        <v>2030</v>
      </c>
      <c r="N2" s="194">
        <v>2031</v>
      </c>
      <c r="O2" s="194">
        <v>2032</v>
      </c>
      <c r="P2" s="194">
        <v>2033</v>
      </c>
    </row>
    <row r="3" spans="1:29">
      <c r="H3" s="195">
        <f>+'IPC - CAFÉ'!E24</f>
        <v>0.06</v>
      </c>
      <c r="I3" s="195">
        <f>+'IPC - CAFÉ'!F24</f>
        <v>4.5975144331782153E-2</v>
      </c>
      <c r="J3" s="195">
        <f>+'IPC - CAFÉ'!G24</f>
        <v>4.7225144331782154E-2</v>
      </c>
      <c r="K3" s="195">
        <f>+'IPC - CAFÉ'!H24</f>
        <v>4.8475144331782155E-2</v>
      </c>
      <c r="L3" s="195">
        <f>+'IPC - CAFÉ'!I24</f>
        <v>4.9725144331782156E-2</v>
      </c>
      <c r="M3" s="195">
        <f>+'IPC - CAFÉ'!J24</f>
        <v>5.0975144331782157E-2</v>
      </c>
      <c r="N3" s="195">
        <f>+'IPC - CAFÉ'!K24</f>
        <v>5.2225144331782158E-2</v>
      </c>
      <c r="O3" s="195">
        <f>+'IPC - CAFÉ'!L24</f>
        <v>5.347514433178216E-2</v>
      </c>
      <c r="P3" s="195">
        <f>+'IPC - CAFÉ'!M24</f>
        <v>5.4725144331782161E-2</v>
      </c>
    </row>
    <row r="4" spans="1:29">
      <c r="H4" s="214"/>
      <c r="I4" s="214"/>
      <c r="J4" s="214"/>
      <c r="K4" s="214"/>
    </row>
    <row r="5" spans="1:29" ht="15.75">
      <c r="H5" s="362" t="s">
        <v>573</v>
      </c>
      <c r="V5" s="376" t="s">
        <v>439</v>
      </c>
      <c r="W5" s="149"/>
      <c r="X5" s="149"/>
      <c r="Y5" s="149"/>
      <c r="Z5" s="149"/>
      <c r="AA5" s="149"/>
      <c r="AB5" s="149"/>
      <c r="AC5" s="149"/>
    </row>
    <row r="6" spans="1:29" ht="38.25">
      <c r="A6" s="217" t="s">
        <v>505</v>
      </c>
      <c r="B6" s="217" t="s">
        <v>513</v>
      </c>
      <c r="C6" s="217" t="s">
        <v>514</v>
      </c>
      <c r="D6" s="217" t="s">
        <v>515</v>
      </c>
      <c r="E6" s="217" t="s">
        <v>516</v>
      </c>
      <c r="F6" s="217" t="s">
        <v>559</v>
      </c>
      <c r="G6" s="217" t="s">
        <v>226</v>
      </c>
      <c r="H6" s="217" t="s">
        <v>227</v>
      </c>
      <c r="I6" s="217" t="s">
        <v>228</v>
      </c>
      <c r="J6" s="217" t="s">
        <v>229</v>
      </c>
      <c r="K6" s="217" t="s">
        <v>230</v>
      </c>
      <c r="L6" s="217" t="s">
        <v>231</v>
      </c>
      <c r="M6" s="217" t="s">
        <v>232</v>
      </c>
      <c r="N6" s="217" t="s">
        <v>233</v>
      </c>
      <c r="O6" s="217" t="s">
        <v>3010</v>
      </c>
      <c r="P6" s="217" t="s">
        <v>3011</v>
      </c>
      <c r="Q6"/>
      <c r="V6" s="962" t="s">
        <v>571</v>
      </c>
      <c r="W6" s="963"/>
      <c r="X6" s="963"/>
      <c r="Y6" s="963"/>
      <c r="Z6" s="963"/>
      <c r="AA6" s="963"/>
      <c r="AB6" s="963"/>
      <c r="AC6" s="964"/>
    </row>
    <row r="7" spans="1:29">
      <c r="A7" s="231"/>
      <c r="B7" s="231"/>
      <c r="C7" s="231"/>
      <c r="D7" s="231"/>
      <c r="E7" s="231"/>
      <c r="F7" s="231"/>
      <c r="G7" s="231"/>
      <c r="H7" s="231"/>
      <c r="I7" s="231"/>
      <c r="J7" s="231"/>
      <c r="K7" s="231"/>
      <c r="L7" s="231"/>
      <c r="M7" s="231"/>
      <c r="N7" s="231"/>
      <c r="O7" s="231"/>
      <c r="P7" s="231"/>
      <c r="Q7"/>
      <c r="V7" s="965"/>
      <c r="W7" s="966"/>
      <c r="X7" s="966"/>
      <c r="Y7" s="966"/>
      <c r="Z7" s="966"/>
      <c r="AA7" s="966"/>
      <c r="AB7" s="966"/>
      <c r="AC7" s="967"/>
    </row>
    <row r="8" spans="1:29">
      <c r="A8" s="231" t="s">
        <v>564</v>
      </c>
      <c r="B8" s="369">
        <v>5110010106</v>
      </c>
      <c r="C8" s="370" t="s">
        <v>548</v>
      </c>
      <c r="D8" s="370" t="s">
        <v>549</v>
      </c>
      <c r="E8" s="370" t="s">
        <v>550</v>
      </c>
      <c r="F8" s="371">
        <v>2500000</v>
      </c>
      <c r="G8" s="372">
        <f t="shared" ref="G8" si="0">+F8*1.05</f>
        <v>2625000</v>
      </c>
      <c r="H8" s="204">
        <f t="shared" ref="H8:K12" si="1">+G8*(1+H$3)</f>
        <v>2782500</v>
      </c>
      <c r="I8" s="204">
        <f t="shared" si="1"/>
        <v>2910425.8391031837</v>
      </c>
      <c r="J8" s="204">
        <f t="shared" si="1"/>
        <v>3047871.1194217796</v>
      </c>
      <c r="K8" s="204">
        <f t="shared" si="1"/>
        <v>3195617.1118404209</v>
      </c>
      <c r="L8" s="204">
        <f t="shared" ref="L8:L12" si="2">+K8*(1+L$3)</f>
        <v>3354519.6339557986</v>
      </c>
      <c r="M8" s="204">
        <f t="shared" ref="M8:M12" si="3">+L8*(1+M$3)</f>
        <v>3525516.756460492</v>
      </c>
      <c r="N8" s="204">
        <f t="shared" ref="N8:N12" si="4">+M8*(1+N$3)</f>
        <v>3709637.3779107574</v>
      </c>
      <c r="O8" s="204">
        <f t="shared" ref="O8:O12" si="5">+N8*(1+O$3)</f>
        <v>3908010.7721131095</v>
      </c>
      <c r="P8" s="204">
        <f>+O8*(1+P$3)</f>
        <v>4121877.2256671591</v>
      </c>
      <c r="Q8"/>
      <c r="V8" s="965"/>
      <c r="W8" s="966"/>
      <c r="X8" s="966"/>
      <c r="Y8" s="966"/>
      <c r="Z8" s="966"/>
      <c r="AA8" s="966"/>
      <c r="AB8" s="966"/>
      <c r="AC8" s="967"/>
    </row>
    <row r="9" spans="1:29">
      <c r="A9" s="231" t="s">
        <v>567</v>
      </c>
      <c r="B9" s="369">
        <v>5110010105</v>
      </c>
      <c r="C9" s="370" t="s">
        <v>517</v>
      </c>
      <c r="D9" s="370" t="s">
        <v>526</v>
      </c>
      <c r="E9" s="370" t="s">
        <v>527</v>
      </c>
      <c r="F9" s="371">
        <v>6000000</v>
      </c>
      <c r="G9" s="372">
        <f>+F9*1.05</f>
        <v>6300000</v>
      </c>
      <c r="H9" s="204">
        <f t="shared" si="1"/>
        <v>6678000</v>
      </c>
      <c r="I9" s="204">
        <f t="shared" si="1"/>
        <v>6985022.0138476416</v>
      </c>
      <c r="J9" s="204">
        <f t="shared" si="1"/>
        <v>7314890.6866122717</v>
      </c>
      <c r="K9" s="204">
        <f t="shared" si="1"/>
        <v>7669481.0684170108</v>
      </c>
      <c r="L9" s="204">
        <f t="shared" si="2"/>
        <v>8050847.121493917</v>
      </c>
      <c r="M9" s="204">
        <f t="shared" si="3"/>
        <v>8461240.2155051809</v>
      </c>
      <c r="N9" s="204">
        <f t="shared" si="4"/>
        <v>8903129.7069858182</v>
      </c>
      <c r="O9" s="204">
        <f t="shared" si="5"/>
        <v>9379225.8530714624</v>
      </c>
      <c r="P9" s="204">
        <f t="shared" ref="P9:P12" si="6">+O9*(1+P$3)</f>
        <v>9892505.3416011818</v>
      </c>
      <c r="Q9"/>
      <c r="V9" s="965"/>
      <c r="W9" s="966"/>
      <c r="X9" s="966"/>
      <c r="Y9" s="966"/>
      <c r="Z9" s="966"/>
      <c r="AA9" s="966"/>
      <c r="AB9" s="966"/>
      <c r="AC9" s="967"/>
    </row>
    <row r="10" spans="1:29">
      <c r="A10" s="231" t="s">
        <v>563</v>
      </c>
      <c r="B10" s="369">
        <v>5110010105</v>
      </c>
      <c r="C10" s="370" t="s">
        <v>517</v>
      </c>
      <c r="D10" s="370" t="s">
        <v>536</v>
      </c>
      <c r="E10" s="370" t="s">
        <v>537</v>
      </c>
      <c r="F10" s="371">
        <v>12605042.020000001</v>
      </c>
      <c r="G10" s="372">
        <f>+F10*1.05</f>
        <v>13235294.121000001</v>
      </c>
      <c r="H10" s="204">
        <f t="shared" si="1"/>
        <v>14029411.768260002</v>
      </c>
      <c r="I10" s="204">
        <f t="shared" si="1"/>
        <v>14674415.99919576</v>
      </c>
      <c r="J10" s="204">
        <f t="shared" si="1"/>
        <v>15367417.412742393</v>
      </c>
      <c r="K10" s="204">
        <f t="shared" si="1"/>
        <v>16112355.189831823</v>
      </c>
      <c r="L10" s="204">
        <f t="shared" si="2"/>
        <v>16913544.377171148</v>
      </c>
      <c r="M10" s="204">
        <f t="shared" si="3"/>
        <v>17775714.742959447</v>
      </c>
      <c r="N10" s="204">
        <f t="shared" si="4"/>
        <v>18704054.01101109</v>
      </c>
      <c r="O10" s="204">
        <f t="shared" si="5"/>
        <v>19704255.99883936</v>
      </c>
      <c r="P10" s="204">
        <f t="shared" si="6"/>
        <v>20782574.252326228</v>
      </c>
      <c r="Q10"/>
      <c r="V10" s="965"/>
      <c r="W10" s="966"/>
      <c r="X10" s="966"/>
      <c r="Y10" s="966"/>
      <c r="Z10" s="966"/>
      <c r="AA10" s="966"/>
      <c r="AB10" s="966"/>
      <c r="AC10" s="967"/>
    </row>
    <row r="11" spans="1:29">
      <c r="A11" s="231" t="s">
        <v>563</v>
      </c>
      <c r="B11" s="369">
        <v>5110010105</v>
      </c>
      <c r="C11" s="370" t="s">
        <v>517</v>
      </c>
      <c r="D11" s="370" t="s">
        <v>546</v>
      </c>
      <c r="E11" s="370" t="s">
        <v>547</v>
      </c>
      <c r="F11" s="371">
        <v>7000000</v>
      </c>
      <c r="G11" s="372">
        <f>+F11*1.05</f>
        <v>7350000</v>
      </c>
      <c r="H11" s="204">
        <f t="shared" si="1"/>
        <v>7791000</v>
      </c>
      <c r="I11" s="204">
        <f t="shared" si="1"/>
        <v>8149192.3494889149</v>
      </c>
      <c r="J11" s="204">
        <f t="shared" si="1"/>
        <v>8534039.1343809832</v>
      </c>
      <c r="K11" s="204">
        <f t="shared" si="1"/>
        <v>8947727.913153179</v>
      </c>
      <c r="L11" s="204">
        <f t="shared" si="2"/>
        <v>9392654.9750762358</v>
      </c>
      <c r="M11" s="204">
        <f t="shared" si="3"/>
        <v>9871446.9180893786</v>
      </c>
      <c r="N11" s="204">
        <f t="shared" si="4"/>
        <v>10386984.658150122</v>
      </c>
      <c r="O11" s="204">
        <f t="shared" si="5"/>
        <v>10942430.161916707</v>
      </c>
      <c r="P11" s="204">
        <f t="shared" si="6"/>
        <v>11541256.231868045</v>
      </c>
      <c r="Q11"/>
      <c r="V11" s="965"/>
      <c r="W11" s="966"/>
      <c r="X11" s="966"/>
      <c r="Y11" s="966"/>
      <c r="Z11" s="966"/>
      <c r="AA11" s="966"/>
      <c r="AB11" s="966"/>
      <c r="AC11" s="967"/>
    </row>
    <row r="12" spans="1:29">
      <c r="A12" s="231" t="s">
        <v>568</v>
      </c>
      <c r="B12" s="231"/>
      <c r="C12" s="231"/>
      <c r="D12" s="231"/>
      <c r="E12" s="231" t="s">
        <v>565</v>
      </c>
      <c r="F12" s="231"/>
      <c r="G12" s="204">
        <v>5000000</v>
      </c>
      <c r="H12" s="204">
        <f t="shared" si="1"/>
        <v>5300000</v>
      </c>
      <c r="I12" s="204">
        <f t="shared" si="1"/>
        <v>5543668.2649584459</v>
      </c>
      <c r="J12" s="204">
        <f t="shared" si="1"/>
        <v>5805468.7988986289</v>
      </c>
      <c r="K12" s="204">
        <f t="shared" si="1"/>
        <v>6086889.7368388977</v>
      </c>
      <c r="L12" s="204">
        <f t="shared" si="2"/>
        <v>6389561.2075348552</v>
      </c>
      <c r="M12" s="204">
        <f t="shared" si="3"/>
        <v>6715270.0123057002</v>
      </c>
      <c r="N12" s="204">
        <f t="shared" si="4"/>
        <v>7065975.9579252535</v>
      </c>
      <c r="O12" s="204">
        <f t="shared" si="5"/>
        <v>7443830.0421202099</v>
      </c>
      <c r="P12" s="204">
        <f t="shared" si="6"/>
        <v>7851194.7155564949</v>
      </c>
      <c r="Q12"/>
      <c r="V12" s="965"/>
      <c r="W12" s="966"/>
      <c r="X12" s="966"/>
      <c r="Y12" s="966"/>
      <c r="Z12" s="966"/>
      <c r="AA12" s="966"/>
      <c r="AB12" s="966"/>
      <c r="AC12" s="967"/>
    </row>
    <row r="13" spans="1:29">
      <c r="A13" s="373"/>
      <c r="B13" s="373"/>
      <c r="C13" s="373"/>
      <c r="D13" s="373"/>
      <c r="E13" s="373"/>
      <c r="F13" s="373"/>
      <c r="G13" s="384">
        <f>SUM(G8:G12)</f>
        <v>34510294.120999999</v>
      </c>
      <c r="H13" s="384">
        <f t="shared" ref="H13:K13" si="7">SUM(H8:H12)</f>
        <v>36580911.768260002</v>
      </c>
      <c r="I13" s="384">
        <f t="shared" si="7"/>
        <v>38262724.466593951</v>
      </c>
      <c r="J13" s="384">
        <f t="shared" si="7"/>
        <v>40069687.152056053</v>
      </c>
      <c r="K13" s="384">
        <f t="shared" si="7"/>
        <v>42012071.020081334</v>
      </c>
      <c r="L13" s="384">
        <f t="shared" ref="L13:P13" si="8">SUM(L8:L12)</f>
        <v>44101127.315231957</v>
      </c>
      <c r="M13" s="384">
        <f t="shared" si="8"/>
        <v>46349188.645320199</v>
      </c>
      <c r="N13" s="384">
        <f t="shared" si="8"/>
        <v>48769781.71198304</v>
      </c>
      <c r="O13" s="384">
        <f t="shared" si="8"/>
        <v>51377752.828060843</v>
      </c>
      <c r="P13" s="384">
        <f t="shared" si="8"/>
        <v>54189407.767019108</v>
      </c>
      <c r="Q13"/>
      <c r="V13" s="965"/>
      <c r="W13" s="966"/>
      <c r="X13" s="966"/>
      <c r="Y13" s="966"/>
      <c r="Z13" s="966"/>
      <c r="AA13" s="966"/>
      <c r="AB13" s="966"/>
      <c r="AC13" s="967"/>
    </row>
    <row r="14" spans="1:29">
      <c r="V14" s="965"/>
      <c r="W14" s="966"/>
      <c r="X14" s="966"/>
      <c r="Y14" s="966"/>
      <c r="Z14" s="966"/>
      <c r="AA14" s="966"/>
      <c r="AB14" s="966"/>
      <c r="AC14" s="967"/>
    </row>
    <row r="15" spans="1:29">
      <c r="V15" s="968"/>
      <c r="W15" s="969"/>
      <c r="X15" s="969"/>
      <c r="Y15" s="969"/>
      <c r="Z15" s="969"/>
      <c r="AA15" s="969"/>
      <c r="AB15" s="969"/>
      <c r="AC15" s="970"/>
    </row>
  </sheetData>
  <autoFilter ref="B6:L10" xr:uid="{00000000-0009-0000-0000-000017000000}"/>
  <mergeCells count="3">
    <mergeCell ref="V6:AC9"/>
    <mergeCell ref="V10:AC11"/>
    <mergeCell ref="V12:AC15"/>
  </mergeCells>
  <phoneticPr fontId="3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G66"/>
  <sheetViews>
    <sheetView showGridLines="0" topLeftCell="A19" workbookViewId="0">
      <selection activeCell="U52" sqref="U52"/>
    </sheetView>
  </sheetViews>
  <sheetFormatPr baseColWidth="10" defaultColWidth="42.5703125" defaultRowHeight="15"/>
  <cols>
    <col min="1" max="1" width="40.28515625" customWidth="1"/>
    <col min="2" max="2" width="6.85546875" bestFit="1" customWidth="1"/>
    <col min="3" max="3" width="13.5703125" bestFit="1" customWidth="1"/>
    <col min="4" max="4" width="13.5703125" style="386" bestFit="1" customWidth="1"/>
    <col min="5" max="5" width="13.5703125" style="387" bestFit="1" customWidth="1"/>
    <col min="6" max="6" width="18" style="387" bestFit="1" customWidth="1"/>
    <col min="7" max="7" width="12.7109375" style="387" bestFit="1" customWidth="1"/>
    <col min="8" max="8" width="16.5703125" style="387" bestFit="1" customWidth="1"/>
    <col min="9" max="9" width="15.42578125" style="386" bestFit="1" customWidth="1"/>
    <col min="10" max="10" width="4.7109375" customWidth="1"/>
    <col min="11" max="11" width="1.42578125" style="53" customWidth="1"/>
    <col min="12" max="12" width="4.140625" customWidth="1"/>
    <col min="13" max="13" width="13.7109375" style="388" bestFit="1" customWidth="1"/>
    <col min="14" max="14" width="16.5703125" style="388" bestFit="1" customWidth="1"/>
    <col min="15" max="15" width="15.42578125" style="388" bestFit="1" customWidth="1"/>
    <col min="16" max="17" width="12" style="388" bestFit="1" customWidth="1"/>
    <col min="18" max="22" width="12" style="388" customWidth="1"/>
    <col min="23" max="23" width="6" style="388" bestFit="1" customWidth="1"/>
    <col min="24" max="24" width="1.85546875" style="389" customWidth="1"/>
    <col min="25" max="25" width="6" bestFit="1" customWidth="1"/>
    <col min="26" max="26" width="21.5703125" bestFit="1" customWidth="1"/>
    <col min="27" max="27" width="24.7109375" customWidth="1"/>
    <col min="28" max="28" width="20.7109375" customWidth="1"/>
    <col min="29" max="29" width="8.85546875" customWidth="1"/>
    <col min="30" max="34" width="12" bestFit="1" customWidth="1"/>
  </cols>
  <sheetData>
    <row r="1" spans="1:33">
      <c r="M1" s="971" t="s">
        <v>436</v>
      </c>
      <c r="N1" s="971"/>
      <c r="O1" s="971"/>
      <c r="P1" s="971"/>
      <c r="Q1" s="971"/>
      <c r="R1" s="647"/>
      <c r="S1" s="647"/>
      <c r="T1" s="647"/>
      <c r="U1" s="647"/>
      <c r="V1" s="647"/>
    </row>
    <row r="2" spans="1:33">
      <c r="M2" s="155"/>
      <c r="N2" s="148"/>
      <c r="O2" s="148"/>
      <c r="P2" s="148"/>
      <c r="Q2" s="155"/>
      <c r="R2" s="155"/>
      <c r="S2" s="155"/>
      <c r="T2" s="155"/>
      <c r="U2" s="155"/>
      <c r="V2" s="155"/>
    </row>
    <row r="3" spans="1:33">
      <c r="M3" s="194">
        <v>2024</v>
      </c>
      <c r="N3" s="194">
        <v>2025</v>
      </c>
      <c r="O3" s="194">
        <v>2026</v>
      </c>
      <c r="P3" s="194">
        <v>2027</v>
      </c>
      <c r="Q3" s="194">
        <v>2028</v>
      </c>
      <c r="R3" s="194">
        <v>2029</v>
      </c>
      <c r="S3" s="194">
        <v>2030</v>
      </c>
      <c r="T3" s="194">
        <v>2031</v>
      </c>
      <c r="U3" s="194">
        <v>2032</v>
      </c>
      <c r="V3" s="194">
        <v>2033</v>
      </c>
    </row>
    <row r="4" spans="1:33">
      <c r="M4" s="390">
        <f>+'IPC - CAFÉ'!E24</f>
        <v>0.06</v>
      </c>
      <c r="N4" s="390">
        <f>+'IPC - CAFÉ'!F24</f>
        <v>4.5975144331782153E-2</v>
      </c>
      <c r="O4" s="390">
        <f>+'IPC - CAFÉ'!G24</f>
        <v>4.7225144331782154E-2</v>
      </c>
      <c r="P4" s="390">
        <f>+'IPC - CAFÉ'!H24</f>
        <v>4.8475144331782155E-2</v>
      </c>
      <c r="Q4" s="390">
        <f>+'IPC - CAFÉ'!I24</f>
        <v>4.9725144331782156E-2</v>
      </c>
      <c r="R4" s="390">
        <f>+'IPC - CAFÉ'!J24</f>
        <v>5.0975144331782157E-2</v>
      </c>
      <c r="S4" s="390">
        <f>+'IPC - CAFÉ'!K24</f>
        <v>5.2225144331782158E-2</v>
      </c>
      <c r="T4" s="390">
        <f>+'IPC - CAFÉ'!L24</f>
        <v>5.347514433178216E-2</v>
      </c>
      <c r="U4" s="390">
        <f>+'IPC - CAFÉ'!M24</f>
        <v>5.4725144331782161E-2</v>
      </c>
      <c r="V4" s="390">
        <f>+'IPC - CAFÉ'!N24</f>
        <v>5.5975144331782162E-2</v>
      </c>
    </row>
    <row r="5" spans="1:33">
      <c r="M5" s="391"/>
      <c r="N5" s="391"/>
      <c r="O5" s="391"/>
      <c r="P5" s="391"/>
      <c r="Q5" s="391"/>
      <c r="R5" s="391"/>
      <c r="S5" s="391"/>
      <c r="T5" s="391"/>
      <c r="U5" s="391"/>
      <c r="V5" s="391"/>
      <c r="Z5" s="376" t="s">
        <v>439</v>
      </c>
      <c r="AA5" s="149"/>
      <c r="AB5" s="149"/>
      <c r="AC5" s="149"/>
      <c r="AD5" s="149"/>
      <c r="AE5" s="149"/>
      <c r="AF5" s="149"/>
      <c r="AG5" s="149"/>
    </row>
    <row r="6" spans="1:33" ht="15.75">
      <c r="M6" s="362" t="s">
        <v>574</v>
      </c>
      <c r="N6" s="391"/>
      <c r="O6" s="391"/>
      <c r="P6" s="391"/>
      <c r="Q6" s="391"/>
      <c r="R6" s="391"/>
      <c r="S6" s="391"/>
      <c r="T6" s="391"/>
      <c r="U6" s="391"/>
      <c r="V6" s="391"/>
      <c r="Z6" s="962" t="s">
        <v>643</v>
      </c>
      <c r="AA6" s="963"/>
      <c r="AB6" s="963"/>
      <c r="AC6" s="963"/>
      <c r="AD6" s="963"/>
      <c r="AE6" s="963"/>
      <c r="AF6" s="963"/>
      <c r="AG6" s="964"/>
    </row>
    <row r="7" spans="1:33">
      <c r="M7" s="392">
        <f>+M28+M41+M49+M56+M66</f>
        <v>182497391</v>
      </c>
      <c r="N7" s="392">
        <f t="shared" ref="N7:V7" si="0">+N28+N41+N49+N56+N66</f>
        <v>192628042.9209165</v>
      </c>
      <c r="O7" s="392">
        <f t="shared" si="0"/>
        <v>201560514.23063052</v>
      </c>
      <c r="P7" s="392">
        <f t="shared" si="0"/>
        <v>210749901.13986695</v>
      </c>
      <c r="Q7" s="392">
        <f t="shared" si="0"/>
        <v>221049885.63529286</v>
      </c>
      <c r="R7" s="392">
        <f t="shared" si="0"/>
        <v>225497974.03960186</v>
      </c>
      <c r="S7" s="392">
        <f t="shared" si="0"/>
        <v>236849183.79295033</v>
      </c>
      <c r="T7" s="392">
        <f t="shared" si="0"/>
        <v>248944183.24471378</v>
      </c>
      <c r="U7" s="392">
        <f t="shared" si="0"/>
        <v>261838528.52450305</v>
      </c>
      <c r="V7" s="392">
        <f t="shared" si="0"/>
        <v>275592679.47037923</v>
      </c>
      <c r="Z7" s="965"/>
      <c r="AA7" s="966"/>
      <c r="AB7" s="966"/>
      <c r="AC7" s="966"/>
      <c r="AD7" s="966"/>
      <c r="AE7" s="966"/>
      <c r="AF7" s="966"/>
      <c r="AG7" s="967"/>
    </row>
    <row r="8" spans="1:33">
      <c r="A8" s="972" t="s">
        <v>575</v>
      </c>
      <c r="B8" s="972"/>
      <c r="C8" s="972"/>
      <c r="D8" s="972"/>
      <c r="E8" s="972"/>
      <c r="F8" s="972"/>
      <c r="G8" s="972"/>
      <c r="H8" s="972"/>
      <c r="I8" s="972"/>
      <c r="Z8" s="965"/>
      <c r="AA8" s="966"/>
      <c r="AB8" s="966"/>
      <c r="AC8" s="966"/>
      <c r="AD8" s="966"/>
      <c r="AE8" s="966"/>
      <c r="AF8" s="966"/>
      <c r="AG8" s="967"/>
    </row>
    <row r="9" spans="1:33" ht="15.75">
      <c r="M9" s="362" t="s">
        <v>576</v>
      </c>
      <c r="Z9" s="965"/>
      <c r="AA9" s="966"/>
      <c r="AB9" s="966"/>
      <c r="AC9" s="966"/>
      <c r="AD9" s="966"/>
      <c r="AE9" s="966"/>
      <c r="AF9" s="966"/>
      <c r="AG9" s="967"/>
    </row>
    <row r="10" spans="1:33" s="112" customFormat="1" ht="30">
      <c r="A10" s="393" t="s">
        <v>577</v>
      </c>
      <c r="B10" s="393" t="s">
        <v>578</v>
      </c>
      <c r="C10" s="393" t="s">
        <v>579</v>
      </c>
      <c r="D10" s="394" t="s">
        <v>580</v>
      </c>
      <c r="E10" s="394" t="s">
        <v>581</v>
      </c>
      <c r="F10" s="394" t="s">
        <v>582</v>
      </c>
      <c r="G10" s="394" t="s">
        <v>583</v>
      </c>
      <c r="H10" s="394" t="s">
        <v>584</v>
      </c>
      <c r="I10" s="395" t="s">
        <v>585</v>
      </c>
      <c r="K10" s="396"/>
      <c r="M10" s="397" t="s">
        <v>226</v>
      </c>
      <c r="N10" s="397" t="s">
        <v>227</v>
      </c>
      <c r="O10" s="397" t="s">
        <v>228</v>
      </c>
      <c r="P10" s="397" t="s">
        <v>229</v>
      </c>
      <c r="Q10" s="397" t="s">
        <v>230</v>
      </c>
      <c r="R10" s="397" t="s">
        <v>231</v>
      </c>
      <c r="S10" s="397" t="s">
        <v>232</v>
      </c>
      <c r="T10" s="397" t="s">
        <v>233</v>
      </c>
      <c r="U10" s="397" t="s">
        <v>3010</v>
      </c>
      <c r="V10" s="397" t="s">
        <v>3011</v>
      </c>
      <c r="W10" s="398"/>
      <c r="X10" s="399"/>
      <c r="Z10" s="965"/>
      <c r="AA10" s="966"/>
      <c r="AB10" s="966"/>
      <c r="AC10" s="966"/>
      <c r="AD10" s="966"/>
      <c r="AE10" s="966"/>
      <c r="AF10" s="966"/>
      <c r="AG10" s="967"/>
    </row>
    <row r="11" spans="1:33">
      <c r="A11" s="400" t="s">
        <v>586</v>
      </c>
      <c r="B11" s="401">
        <v>42</v>
      </c>
      <c r="C11" s="402" t="s">
        <v>190</v>
      </c>
      <c r="D11" s="403">
        <v>1800000000</v>
      </c>
      <c r="E11" s="404"/>
      <c r="F11" s="404"/>
      <c r="G11" s="404"/>
      <c r="H11" s="403">
        <f>+D11+E11+F11+G11</f>
        <v>1800000000</v>
      </c>
      <c r="I11" s="403">
        <v>3041640</v>
      </c>
      <c r="M11" s="403">
        <v>3041640</v>
      </c>
      <c r="N11" s="405">
        <f t="shared" ref="N11:N27" si="1">+M11*(1+$N$4)</f>
        <v>3181479.838005322</v>
      </c>
      <c r="O11" s="405">
        <f>+N11*(1+$O$4)</f>
        <v>3331725.6825437783</v>
      </c>
      <c r="P11" s="405">
        <f>+O11*(1+$P$4)</f>
        <v>3493231.5658789934</v>
      </c>
      <c r="Q11" s="405">
        <f>+P11*(1+$Q$4)</f>
        <v>3666933.0096766637</v>
      </c>
      <c r="R11" s="405">
        <f t="shared" ref="R11:V26" si="2">+Q11*(1+$Q$4)</f>
        <v>3849271.7828378119</v>
      </c>
      <c r="S11" s="405">
        <f t="shared" si="2"/>
        <v>4040677.3778116782</v>
      </c>
      <c r="T11" s="405">
        <f t="shared" si="2"/>
        <v>4241600.6436215304</v>
      </c>
      <c r="U11" s="405">
        <f t="shared" si="2"/>
        <v>4452514.8478233907</v>
      </c>
      <c r="V11" s="405">
        <f t="shared" si="2"/>
        <v>4673916.791270812</v>
      </c>
      <c r="W11"/>
      <c r="X11" s="53"/>
      <c r="Z11" s="965"/>
      <c r="AA11" s="966"/>
      <c r="AB11" s="966"/>
      <c r="AC11" s="966"/>
      <c r="AD11" s="966"/>
      <c r="AE11" s="966"/>
      <c r="AF11" s="966"/>
      <c r="AG11" s="967"/>
    </row>
    <row r="12" spans="1:33">
      <c r="A12" s="406" t="s">
        <v>587</v>
      </c>
      <c r="B12" s="407">
        <v>90</v>
      </c>
      <c r="C12" s="408" t="s">
        <v>190</v>
      </c>
      <c r="D12" s="405">
        <v>500000000</v>
      </c>
      <c r="E12" s="409"/>
      <c r="F12" s="409"/>
      <c r="G12" s="409"/>
      <c r="H12" s="403">
        <f t="shared" ref="H12:H26" si="3">+D12+E12+F12+G12</f>
        <v>500000000</v>
      </c>
      <c r="I12" s="405">
        <v>844900</v>
      </c>
      <c r="M12" s="405">
        <v>844900</v>
      </c>
      <c r="N12" s="405">
        <f t="shared" si="1"/>
        <v>883744.39944592281</v>
      </c>
      <c r="O12" s="405">
        <f t="shared" ref="O12:O27" si="4">+N12*(1+$O$4)</f>
        <v>925479.3562621607</v>
      </c>
      <c r="P12" s="405">
        <f t="shared" ref="P12:P27" si="5">+O12*(1+$P$4)</f>
        <v>970342.10163305374</v>
      </c>
      <c r="Q12" s="405">
        <f t="shared" ref="Q12:Q27" si="6">+P12*(1+$Q$4)</f>
        <v>1018592.5026879621</v>
      </c>
      <c r="R12" s="405">
        <f t="shared" si="2"/>
        <v>1069242.1618993923</v>
      </c>
      <c r="S12" s="405">
        <f t="shared" si="2"/>
        <v>1122410.3827254663</v>
      </c>
      <c r="T12" s="405">
        <f t="shared" si="2"/>
        <v>1178222.4010059808</v>
      </c>
      <c r="U12" s="405">
        <f t="shared" si="2"/>
        <v>1236809.6799509421</v>
      </c>
      <c r="V12" s="405">
        <f t="shared" si="2"/>
        <v>1298310.2197974478</v>
      </c>
      <c r="W12"/>
      <c r="X12" s="53"/>
      <c r="Z12" s="965"/>
      <c r="AA12" s="966"/>
      <c r="AB12" s="966"/>
      <c r="AC12" s="966"/>
      <c r="AD12" s="966"/>
      <c r="AE12" s="966"/>
      <c r="AF12" s="966"/>
      <c r="AG12" s="967"/>
    </row>
    <row r="13" spans="1:33">
      <c r="A13" s="406" t="s">
        <v>588</v>
      </c>
      <c r="B13" s="407">
        <v>91</v>
      </c>
      <c r="C13" s="408" t="s">
        <v>190</v>
      </c>
      <c r="D13" s="405">
        <v>800000000</v>
      </c>
      <c r="E13" s="409"/>
      <c r="F13" s="409"/>
      <c r="G13" s="409"/>
      <c r="H13" s="403">
        <f t="shared" si="3"/>
        <v>800000000</v>
      </c>
      <c r="I13" s="405">
        <v>1351840</v>
      </c>
      <c r="M13" s="405">
        <v>1351840</v>
      </c>
      <c r="N13" s="405">
        <f t="shared" si="1"/>
        <v>1413991.0391134764</v>
      </c>
      <c r="O13" s="405">
        <f t="shared" si="4"/>
        <v>1480766.9700194569</v>
      </c>
      <c r="P13" s="405">
        <f t="shared" si="5"/>
        <v>1552547.3626128859</v>
      </c>
      <c r="Q13" s="405">
        <f t="shared" si="6"/>
        <v>1629748.0043007394</v>
      </c>
      <c r="R13" s="405">
        <f t="shared" si="2"/>
        <v>1710787.4590390276</v>
      </c>
      <c r="S13" s="405">
        <f t="shared" si="2"/>
        <v>1795856.6123607459</v>
      </c>
      <c r="T13" s="405">
        <f t="shared" si="2"/>
        <v>1885155.8416095693</v>
      </c>
      <c r="U13" s="405">
        <f t="shared" si="2"/>
        <v>1978895.4879215073</v>
      </c>
      <c r="V13" s="405">
        <f t="shared" si="2"/>
        <v>2077296.3516759167</v>
      </c>
      <c r="W13"/>
      <c r="X13" s="53"/>
      <c r="Z13" s="965"/>
      <c r="AA13" s="966"/>
      <c r="AB13" s="966"/>
      <c r="AC13" s="966"/>
      <c r="AD13" s="966"/>
      <c r="AE13" s="966"/>
      <c r="AF13" s="966"/>
      <c r="AG13" s="967"/>
    </row>
    <row r="14" spans="1:33">
      <c r="A14" s="406" t="s">
        <v>589</v>
      </c>
      <c r="B14" s="407">
        <v>94</v>
      </c>
      <c r="C14" s="408" t="s">
        <v>199</v>
      </c>
      <c r="D14" s="405">
        <v>1500000000</v>
      </c>
      <c r="E14" s="409"/>
      <c r="F14" s="409"/>
      <c r="G14" s="409"/>
      <c r="H14" s="403">
        <f t="shared" si="3"/>
        <v>1500000000</v>
      </c>
      <c r="I14" s="405">
        <v>2534700</v>
      </c>
      <c r="M14" s="405">
        <v>2534700</v>
      </c>
      <c r="N14" s="405">
        <f t="shared" si="1"/>
        <v>2651233.1983377682</v>
      </c>
      <c r="O14" s="405">
        <f t="shared" si="4"/>
        <v>2776438.0687864819</v>
      </c>
      <c r="P14" s="405">
        <f t="shared" si="5"/>
        <v>2911026.3048991612</v>
      </c>
      <c r="Q14" s="405">
        <f t="shared" si="6"/>
        <v>3055777.5080638863</v>
      </c>
      <c r="R14" s="405">
        <f t="shared" si="2"/>
        <v>3207726.4856981765</v>
      </c>
      <c r="S14" s="405">
        <f t="shared" si="2"/>
        <v>3367231.1481763986</v>
      </c>
      <c r="T14" s="405">
        <f t="shared" si="2"/>
        <v>3534667.2030179426</v>
      </c>
      <c r="U14" s="405">
        <f t="shared" si="2"/>
        <v>3710429.0398528264</v>
      </c>
      <c r="V14" s="405">
        <f t="shared" si="2"/>
        <v>3894930.6593923438</v>
      </c>
      <c r="W14"/>
      <c r="X14" s="53"/>
      <c r="Z14" s="965"/>
      <c r="AA14" s="966"/>
      <c r="AB14" s="966"/>
      <c r="AC14" s="966"/>
      <c r="AD14" s="966"/>
      <c r="AE14" s="966"/>
      <c r="AF14" s="966"/>
      <c r="AG14" s="967"/>
    </row>
    <row r="15" spans="1:33" ht="17.25" customHeight="1">
      <c r="A15" s="406" t="s">
        <v>590</v>
      </c>
      <c r="B15" s="407">
        <v>72</v>
      </c>
      <c r="C15" s="408" t="s">
        <v>191</v>
      </c>
      <c r="D15" s="409">
        <v>1000000000</v>
      </c>
      <c r="E15" s="409">
        <v>2800000000</v>
      </c>
      <c r="F15" s="409">
        <v>550000000</v>
      </c>
      <c r="G15" s="409"/>
      <c r="H15" s="403">
        <f>+D15+E15+F15+G15</f>
        <v>4350000000</v>
      </c>
      <c r="I15" s="405">
        <v>7350630</v>
      </c>
      <c r="M15" s="405">
        <v>7350630</v>
      </c>
      <c r="N15" s="405">
        <f t="shared" si="1"/>
        <v>7688576.2751795277</v>
      </c>
      <c r="O15" s="405">
        <f t="shared" si="4"/>
        <v>8051670.3994807974</v>
      </c>
      <c r="P15" s="405">
        <f t="shared" si="5"/>
        <v>8441976.2842075676</v>
      </c>
      <c r="Q15" s="405">
        <f t="shared" si="6"/>
        <v>8861754.7733852696</v>
      </c>
      <c r="R15" s="405">
        <f t="shared" si="2"/>
        <v>9302406.8085247111</v>
      </c>
      <c r="S15" s="405">
        <f t="shared" si="2"/>
        <v>9764970.3297115546</v>
      </c>
      <c r="T15" s="405">
        <f t="shared" si="2"/>
        <v>10250534.888752032</v>
      </c>
      <c r="U15" s="405">
        <f t="shared" si="2"/>
        <v>10760244.215573195</v>
      </c>
      <c r="V15" s="405">
        <f t="shared" si="2"/>
        <v>11295298.912237795</v>
      </c>
      <c r="W15"/>
      <c r="X15" s="53"/>
      <c r="Z15" s="968"/>
      <c r="AA15" s="969"/>
      <c r="AB15" s="969"/>
      <c r="AC15" s="969"/>
      <c r="AD15" s="969"/>
      <c r="AE15" s="969"/>
      <c r="AF15" s="969"/>
      <c r="AG15" s="970"/>
    </row>
    <row r="16" spans="1:33">
      <c r="A16" s="406" t="s">
        <v>591</v>
      </c>
      <c r="B16" s="407">
        <v>93</v>
      </c>
      <c r="C16" s="408" t="s">
        <v>191</v>
      </c>
      <c r="D16" s="410">
        <v>403349000</v>
      </c>
      <c r="E16" s="411"/>
      <c r="F16" s="411"/>
      <c r="G16" s="411"/>
      <c r="H16" s="403">
        <f t="shared" si="3"/>
        <v>403349000</v>
      </c>
      <c r="I16" s="403">
        <v>681579</v>
      </c>
      <c r="M16" s="403">
        <v>681579</v>
      </c>
      <c r="N16" s="405">
        <f t="shared" si="1"/>
        <v>712914.69289851177</v>
      </c>
      <c r="O16" s="405">
        <f t="shared" si="4"/>
        <v>746582.19216689211</v>
      </c>
      <c r="P16" s="405">
        <f t="shared" si="5"/>
        <v>782772.87168772053</v>
      </c>
      <c r="Q16" s="405">
        <f t="shared" si="6"/>
        <v>821696.36571139598</v>
      </c>
      <c r="R16" s="405">
        <f t="shared" si="2"/>
        <v>862555.33609329595</v>
      </c>
      <c r="S16" s="405">
        <f t="shared" si="2"/>
        <v>905446.02467468393</v>
      </c>
      <c r="T16" s="405">
        <f t="shared" si="2"/>
        <v>950469.45893627091</v>
      </c>
      <c r="U16" s="405">
        <f t="shared" si="2"/>
        <v>997731.68996482785</v>
      </c>
      <c r="V16" s="405">
        <f t="shared" si="2"/>
        <v>1047344.0422527217</v>
      </c>
      <c r="W16"/>
      <c r="X16" s="53"/>
    </row>
    <row r="17" spans="1:31">
      <c r="A17" s="406" t="s">
        <v>592</v>
      </c>
      <c r="B17" s="407">
        <v>101</v>
      </c>
      <c r="C17" s="408" t="s">
        <v>191</v>
      </c>
      <c r="D17" s="410">
        <v>1500000000</v>
      </c>
      <c r="E17" s="409"/>
      <c r="F17" s="409"/>
      <c r="G17" s="409"/>
      <c r="H17" s="403">
        <f t="shared" si="3"/>
        <v>1500000000</v>
      </c>
      <c r="I17" s="405">
        <v>2534700</v>
      </c>
      <c r="M17" s="405">
        <v>2534700</v>
      </c>
      <c r="N17" s="405">
        <f t="shared" si="1"/>
        <v>2651233.1983377682</v>
      </c>
      <c r="O17" s="405">
        <f t="shared" si="4"/>
        <v>2776438.0687864819</v>
      </c>
      <c r="P17" s="405">
        <f t="shared" si="5"/>
        <v>2911026.3048991612</v>
      </c>
      <c r="Q17" s="405">
        <f t="shared" si="6"/>
        <v>3055777.5080638863</v>
      </c>
      <c r="R17" s="405">
        <f t="shared" si="2"/>
        <v>3207726.4856981765</v>
      </c>
      <c r="S17" s="405">
        <f t="shared" si="2"/>
        <v>3367231.1481763986</v>
      </c>
      <c r="T17" s="405">
        <f t="shared" si="2"/>
        <v>3534667.2030179426</v>
      </c>
      <c r="U17" s="405">
        <f t="shared" si="2"/>
        <v>3710429.0398528264</v>
      </c>
      <c r="V17" s="405">
        <f t="shared" si="2"/>
        <v>3894930.6593923438</v>
      </c>
      <c r="W17"/>
      <c r="X17" s="53"/>
    </row>
    <row r="18" spans="1:31">
      <c r="A18" s="406" t="s">
        <v>593</v>
      </c>
      <c r="B18" s="407">
        <v>104</v>
      </c>
      <c r="C18" s="408" t="s">
        <v>191</v>
      </c>
      <c r="D18" s="410">
        <v>1400000000</v>
      </c>
      <c r="E18" s="409"/>
      <c r="F18" s="409"/>
      <c r="G18" s="409"/>
      <c r="H18" s="403">
        <f t="shared" si="3"/>
        <v>1400000000</v>
      </c>
      <c r="I18" s="405">
        <v>2365720</v>
      </c>
      <c r="M18" s="405">
        <v>2365720</v>
      </c>
      <c r="N18" s="405">
        <f t="shared" si="1"/>
        <v>2474484.3184485836</v>
      </c>
      <c r="O18" s="405">
        <f t="shared" si="4"/>
        <v>2591342.1975340494</v>
      </c>
      <c r="P18" s="405">
        <f t="shared" si="5"/>
        <v>2716957.8845725497</v>
      </c>
      <c r="Q18" s="405">
        <f t="shared" si="6"/>
        <v>2852059.0075262929</v>
      </c>
      <c r="R18" s="405">
        <f t="shared" si="2"/>
        <v>2993878.053318297</v>
      </c>
      <c r="S18" s="405">
        <f t="shared" si="2"/>
        <v>3142749.071631304</v>
      </c>
      <c r="T18" s="405">
        <f t="shared" si="2"/>
        <v>3299022.7228167448</v>
      </c>
      <c r="U18" s="405">
        <f t="shared" si="2"/>
        <v>3463067.1038626363</v>
      </c>
      <c r="V18" s="405">
        <f t="shared" si="2"/>
        <v>3635268.6154328524</v>
      </c>
      <c r="W18"/>
      <c r="X18" s="53"/>
    </row>
    <row r="19" spans="1:31">
      <c r="A19" s="406" t="s">
        <v>594</v>
      </c>
      <c r="B19" s="407">
        <v>86</v>
      </c>
      <c r="C19" s="408" t="s">
        <v>240</v>
      </c>
      <c r="D19" s="410">
        <v>2300000000</v>
      </c>
      <c r="E19" s="409"/>
      <c r="F19" s="405">
        <v>245000000</v>
      </c>
      <c r="G19" s="405">
        <v>300000000</v>
      </c>
      <c r="H19" s="403">
        <f t="shared" si="3"/>
        <v>2845000000</v>
      </c>
      <c r="I19" s="405">
        <v>4807481</v>
      </c>
      <c r="M19" s="405">
        <v>4807481</v>
      </c>
      <c r="N19" s="405">
        <f t="shared" si="1"/>
        <v>5028505.6328473007</v>
      </c>
      <c r="O19" s="405">
        <f t="shared" si="4"/>
        <v>5265977.5371316941</v>
      </c>
      <c r="P19" s="405">
        <f t="shared" si="5"/>
        <v>5521246.558292076</v>
      </c>
      <c r="Q19" s="405">
        <f t="shared" si="6"/>
        <v>5795791.3402945045</v>
      </c>
      <c r="R19" s="405">
        <f t="shared" si="2"/>
        <v>6083987.901207542</v>
      </c>
      <c r="S19" s="405">
        <f t="shared" si="2"/>
        <v>6386515.0777079035</v>
      </c>
      <c r="T19" s="405">
        <f t="shared" si="2"/>
        <v>6704085.4617240317</v>
      </c>
      <c r="U19" s="405">
        <f t="shared" si="2"/>
        <v>7037447.0789208608</v>
      </c>
      <c r="V19" s="405">
        <f t="shared" si="2"/>
        <v>7387385.1506474791</v>
      </c>
      <c r="W19"/>
      <c r="X19" s="53"/>
    </row>
    <row r="20" spans="1:31">
      <c r="A20" s="406" t="s">
        <v>595</v>
      </c>
      <c r="B20" s="407">
        <v>87</v>
      </c>
      <c r="C20" s="408" t="s">
        <v>240</v>
      </c>
      <c r="D20" s="410">
        <v>800000000</v>
      </c>
      <c r="E20" s="409"/>
      <c r="F20" s="405">
        <v>44000000</v>
      </c>
      <c r="G20" s="409"/>
      <c r="H20" s="403">
        <f t="shared" si="3"/>
        <v>844000000</v>
      </c>
      <c r="I20" s="405">
        <v>1426191</v>
      </c>
      <c r="M20" s="405">
        <v>1426191</v>
      </c>
      <c r="N20" s="405">
        <f t="shared" si="1"/>
        <v>1491760.3370696888</v>
      </c>
      <c r="O20" s="405">
        <f t="shared" si="4"/>
        <v>1562208.9342962329</v>
      </c>
      <c r="P20" s="405">
        <f t="shared" si="5"/>
        <v>1637937.2378626424</v>
      </c>
      <c r="Q20" s="405">
        <f t="shared" si="6"/>
        <v>1719383.9034217629</v>
      </c>
      <c r="R20" s="405">
        <f t="shared" si="2"/>
        <v>1804880.516181153</v>
      </c>
      <c r="S20" s="405">
        <f t="shared" si="2"/>
        <v>1894628.4603498823</v>
      </c>
      <c r="T20" s="405">
        <f t="shared" si="2"/>
        <v>1988839.1339958822</v>
      </c>
      <c r="U20" s="405">
        <f t="shared" si="2"/>
        <v>2087734.4469865239</v>
      </c>
      <c r="V20" s="405">
        <f t="shared" si="2"/>
        <v>2191547.3436893621</v>
      </c>
      <c r="W20"/>
      <c r="X20" s="53"/>
    </row>
    <row r="21" spans="1:31">
      <c r="A21" s="406" t="s">
        <v>596</v>
      </c>
      <c r="B21" s="407">
        <v>100</v>
      </c>
      <c r="C21" s="408" t="s">
        <v>240</v>
      </c>
      <c r="D21" s="405">
        <v>500000000</v>
      </c>
      <c r="E21" s="409"/>
      <c r="F21" s="409"/>
      <c r="G21" s="409"/>
      <c r="H21" s="403">
        <f t="shared" si="3"/>
        <v>500000000</v>
      </c>
      <c r="I21" s="403">
        <v>844900</v>
      </c>
      <c r="M21" s="403">
        <v>844900</v>
      </c>
      <c r="N21" s="405">
        <f t="shared" si="1"/>
        <v>883744.39944592281</v>
      </c>
      <c r="O21" s="405">
        <f t="shared" si="4"/>
        <v>925479.3562621607</v>
      </c>
      <c r="P21" s="405">
        <f t="shared" si="5"/>
        <v>970342.10163305374</v>
      </c>
      <c r="Q21" s="405">
        <f t="shared" si="6"/>
        <v>1018592.5026879621</v>
      </c>
      <c r="R21" s="405">
        <f t="shared" si="2"/>
        <v>1069242.1618993923</v>
      </c>
      <c r="S21" s="405">
        <f t="shared" si="2"/>
        <v>1122410.3827254663</v>
      </c>
      <c r="T21" s="405">
        <f t="shared" si="2"/>
        <v>1178222.4010059808</v>
      </c>
      <c r="U21" s="405">
        <f t="shared" si="2"/>
        <v>1236809.6799509421</v>
      </c>
      <c r="V21" s="405">
        <f t="shared" si="2"/>
        <v>1298310.2197974478</v>
      </c>
      <c r="W21"/>
      <c r="X21" s="53"/>
    </row>
    <row r="22" spans="1:31">
      <c r="A22" s="406" t="s">
        <v>597</v>
      </c>
      <c r="B22" s="407">
        <v>88</v>
      </c>
      <c r="C22" s="408" t="s">
        <v>240</v>
      </c>
      <c r="D22" s="405">
        <v>516860000</v>
      </c>
      <c r="E22" s="411"/>
      <c r="F22" s="411"/>
      <c r="G22" s="411"/>
      <c r="H22" s="403">
        <f t="shared" si="3"/>
        <v>516860000</v>
      </c>
      <c r="I22" s="405">
        <v>873390</v>
      </c>
      <c r="M22" s="405">
        <v>873390</v>
      </c>
      <c r="N22" s="405">
        <f t="shared" si="1"/>
        <v>913544.2313079352</v>
      </c>
      <c r="O22" s="405">
        <f t="shared" si="4"/>
        <v>956686.48948491947</v>
      </c>
      <c r="P22" s="405">
        <f t="shared" si="5"/>
        <v>1003062.0051429669</v>
      </c>
      <c r="Q22" s="405">
        <f t="shared" si="6"/>
        <v>1052939.4081224278</v>
      </c>
      <c r="R22" s="405">
        <f t="shared" si="2"/>
        <v>1105296.9721639366</v>
      </c>
      <c r="S22" s="405">
        <f t="shared" si="2"/>
        <v>1160258.0236342701</v>
      </c>
      <c r="T22" s="405">
        <f t="shared" si="2"/>
        <v>1217952.0213215924</v>
      </c>
      <c r="U22" s="405">
        <f t="shared" si="2"/>
        <v>1278514.8613709942</v>
      </c>
      <c r="V22" s="405">
        <f t="shared" si="2"/>
        <v>1342089.1973829954</v>
      </c>
      <c r="W22"/>
      <c r="X22" s="53"/>
    </row>
    <row r="23" spans="1:31">
      <c r="A23" s="406" t="s">
        <v>598</v>
      </c>
      <c r="B23" s="407">
        <v>89</v>
      </c>
      <c r="C23" s="408" t="s">
        <v>240</v>
      </c>
      <c r="D23" s="405">
        <v>500000000</v>
      </c>
      <c r="E23" s="411"/>
      <c r="F23" s="411"/>
      <c r="G23" s="411"/>
      <c r="H23" s="403">
        <f t="shared" si="3"/>
        <v>500000000</v>
      </c>
      <c r="I23" s="405">
        <v>844900</v>
      </c>
      <c r="M23" s="405">
        <v>844900</v>
      </c>
      <c r="N23" s="405">
        <f t="shared" si="1"/>
        <v>883744.39944592281</v>
      </c>
      <c r="O23" s="405">
        <f t="shared" si="4"/>
        <v>925479.3562621607</v>
      </c>
      <c r="P23" s="405">
        <f t="shared" si="5"/>
        <v>970342.10163305374</v>
      </c>
      <c r="Q23" s="405">
        <f t="shared" si="6"/>
        <v>1018592.5026879621</v>
      </c>
      <c r="R23" s="405">
        <f t="shared" si="2"/>
        <v>1069242.1618993923</v>
      </c>
      <c r="S23" s="405">
        <f t="shared" si="2"/>
        <v>1122410.3827254663</v>
      </c>
      <c r="T23" s="405">
        <f t="shared" si="2"/>
        <v>1178222.4010059808</v>
      </c>
      <c r="U23" s="405">
        <f t="shared" si="2"/>
        <v>1236809.6799509421</v>
      </c>
      <c r="V23" s="405">
        <f t="shared" si="2"/>
        <v>1298310.2197974478</v>
      </c>
      <c r="W23"/>
      <c r="X23" s="53"/>
    </row>
    <row r="24" spans="1:31">
      <c r="A24" s="406" t="s">
        <v>599</v>
      </c>
      <c r="B24" s="407">
        <v>103</v>
      </c>
      <c r="C24" s="408" t="s">
        <v>240</v>
      </c>
      <c r="D24" s="405">
        <v>1500000000</v>
      </c>
      <c r="E24" s="409"/>
      <c r="F24" s="409"/>
      <c r="G24" s="409"/>
      <c r="H24" s="403">
        <f t="shared" si="3"/>
        <v>1500000000</v>
      </c>
      <c r="I24" s="405">
        <v>2534700</v>
      </c>
      <c r="M24" s="405">
        <v>2534700</v>
      </c>
      <c r="N24" s="405">
        <f t="shared" si="1"/>
        <v>2651233.1983377682</v>
      </c>
      <c r="O24" s="405">
        <f t="shared" si="4"/>
        <v>2776438.0687864819</v>
      </c>
      <c r="P24" s="405">
        <f t="shared" si="5"/>
        <v>2911026.3048991612</v>
      </c>
      <c r="Q24" s="405">
        <f t="shared" si="6"/>
        <v>3055777.5080638863</v>
      </c>
      <c r="R24" s="405">
        <f t="shared" si="2"/>
        <v>3207726.4856981765</v>
      </c>
      <c r="S24" s="405">
        <f t="shared" si="2"/>
        <v>3367231.1481763986</v>
      </c>
      <c r="T24" s="405">
        <f t="shared" si="2"/>
        <v>3534667.2030179426</v>
      </c>
      <c r="U24" s="405">
        <f t="shared" si="2"/>
        <v>3710429.0398528264</v>
      </c>
      <c r="V24" s="405">
        <f t="shared" si="2"/>
        <v>3894930.6593923438</v>
      </c>
      <c r="W24"/>
      <c r="X24" s="53"/>
    </row>
    <row r="25" spans="1:31">
      <c r="A25" s="406" t="s">
        <v>600</v>
      </c>
      <c r="B25" s="407">
        <v>107</v>
      </c>
      <c r="C25" s="408" t="s">
        <v>240</v>
      </c>
      <c r="D25" s="405">
        <v>2000000000</v>
      </c>
      <c r="E25" s="405">
        <v>6500000000</v>
      </c>
      <c r="F25" s="405">
        <v>600000000</v>
      </c>
      <c r="G25" s="411"/>
      <c r="H25" s="403">
        <f t="shared" si="3"/>
        <v>9100000000</v>
      </c>
      <c r="I25" s="405">
        <v>15377180</v>
      </c>
      <c r="M25" s="405">
        <v>15377180</v>
      </c>
      <c r="N25" s="405">
        <f t="shared" si="1"/>
        <v>16084148.069915794</v>
      </c>
      <c r="O25" s="405">
        <f t="shared" si="4"/>
        <v>16843724.283971321</v>
      </c>
      <c r="P25" s="405">
        <f t="shared" si="5"/>
        <v>17660226.249721576</v>
      </c>
      <c r="Q25" s="405">
        <f t="shared" si="6"/>
        <v>18538383.548920907</v>
      </c>
      <c r="R25" s="405">
        <f t="shared" si="2"/>
        <v>19460207.346568935</v>
      </c>
      <c r="S25" s="405">
        <f t="shared" si="2"/>
        <v>20427868.965603482</v>
      </c>
      <c r="T25" s="405">
        <f t="shared" si="2"/>
        <v>21443647.698308848</v>
      </c>
      <c r="U25" s="405">
        <f t="shared" si="2"/>
        <v>22509936.175107144</v>
      </c>
      <c r="V25" s="405">
        <f t="shared" si="2"/>
        <v>23629246.00031355</v>
      </c>
      <c r="W25"/>
      <c r="X25" s="53"/>
    </row>
    <row r="26" spans="1:31">
      <c r="A26" s="406" t="s">
        <v>30</v>
      </c>
      <c r="B26" s="407">
        <v>97</v>
      </c>
      <c r="C26" s="408" t="s">
        <v>240</v>
      </c>
      <c r="D26" s="405">
        <v>2500000000</v>
      </c>
      <c r="E26" s="405">
        <v>1707000000</v>
      </c>
      <c r="F26" s="405">
        <v>1500000000</v>
      </c>
      <c r="G26" s="411"/>
      <c r="H26" s="403">
        <f t="shared" si="3"/>
        <v>5707000000</v>
      </c>
      <c r="I26" s="403">
        <v>10488589</v>
      </c>
      <c r="M26" s="403">
        <v>10488589</v>
      </c>
      <c r="N26" s="405">
        <f t="shared" si="1"/>
        <v>10970803.393111743</v>
      </c>
      <c r="O26" s="405">
        <f t="shared" si="4"/>
        <v>11488901.166787051</v>
      </c>
      <c r="P26" s="405">
        <f t="shared" si="5"/>
        <v>12045827.309060633</v>
      </c>
      <c r="Q26" s="405">
        <f t="shared" si="6"/>
        <v>12644807.810599396</v>
      </c>
      <c r="R26" s="405">
        <f t="shared" si="2"/>
        <v>13273572.704029096</v>
      </c>
      <c r="S26" s="405">
        <f t="shared" si="2"/>
        <v>13933603.022535346</v>
      </c>
      <c r="T26" s="405">
        <f t="shared" si="2"/>
        <v>14626453.443892673</v>
      </c>
      <c r="U26" s="405">
        <f t="shared" si="2"/>
        <v>15353755.952452328</v>
      </c>
      <c r="V26" s="405">
        <f t="shared" si="2"/>
        <v>16117223.683222979</v>
      </c>
      <c r="W26"/>
      <c r="X26" s="53"/>
    </row>
    <row r="27" spans="1:31">
      <c r="A27" s="412" t="s">
        <v>601</v>
      </c>
      <c r="B27" s="413">
        <v>96</v>
      </c>
      <c r="C27" s="414" t="s">
        <v>193</v>
      </c>
      <c r="D27" s="415">
        <v>283920000</v>
      </c>
      <c r="E27" s="416"/>
      <c r="F27" s="416"/>
      <c r="G27" s="416"/>
      <c r="H27" s="403">
        <f>+D27+E27+F27+G27</f>
        <v>283920000</v>
      </c>
      <c r="I27" s="405">
        <v>506940</v>
      </c>
      <c r="M27" s="405">
        <v>506940</v>
      </c>
      <c r="N27" s="405">
        <f t="shared" si="1"/>
        <v>530246.63966755371</v>
      </c>
      <c r="O27" s="405">
        <f t="shared" si="4"/>
        <v>555287.61375729647</v>
      </c>
      <c r="P27" s="405">
        <f t="shared" si="5"/>
        <v>582205.26097983227</v>
      </c>
      <c r="Q27" s="405">
        <f t="shared" si="6"/>
        <v>611155.50161277724</v>
      </c>
      <c r="R27" s="405">
        <f t="shared" ref="R27" si="7">+Q27*(1+$Q$4)</f>
        <v>641545.29713963531</v>
      </c>
      <c r="S27" s="405">
        <f t="shared" ref="S27" si="8">+R27*(1+$Q$4)</f>
        <v>673446.22963527974</v>
      </c>
      <c r="T27" s="405">
        <f t="shared" ref="T27" si="9">+S27*(1+$Q$4)</f>
        <v>706933.44060358847</v>
      </c>
      <c r="U27" s="405">
        <f t="shared" ref="U27" si="10">+T27*(1+$Q$4)</f>
        <v>742085.80797056528</v>
      </c>
      <c r="V27" s="405">
        <f t="shared" ref="V27" si="11">+U27*(1+$Q$4)</f>
        <v>778986.13187846879</v>
      </c>
      <c r="W27"/>
      <c r="X27" s="53"/>
    </row>
    <row r="28" spans="1:31">
      <c r="A28" s="973" t="s">
        <v>88</v>
      </c>
      <c r="B28" s="974"/>
      <c r="C28" s="974"/>
      <c r="D28" s="974"/>
      <c r="E28" s="974"/>
      <c r="F28" s="974"/>
      <c r="G28" s="975"/>
      <c r="H28" s="417">
        <v>34566209000</v>
      </c>
      <c r="I28" s="417">
        <f>+I11+I12+I13+I14+I15+I16+I17+I18+I19+I20+I22+I23+I21+I24+I25+I26+I27</f>
        <v>58409980</v>
      </c>
      <c r="M28" s="392">
        <f>SUM(M11:M27)</f>
        <v>58409980</v>
      </c>
      <c r="N28" s="392">
        <f t="shared" ref="N28:Q28" si="12">SUM(N11:N27)</f>
        <v>61095387.260916509</v>
      </c>
      <c r="O28" s="392">
        <f t="shared" si="12"/>
        <v>63980625.742319427</v>
      </c>
      <c r="P28" s="392">
        <f t="shared" si="12"/>
        <v>67082095.809616089</v>
      </c>
      <c r="Q28" s="392">
        <f t="shared" si="12"/>
        <v>70417762.705827683</v>
      </c>
      <c r="R28" s="392">
        <f t="shared" ref="R28:V28" si="13">SUM(R11:R27)</f>
        <v>73919296.119896144</v>
      </c>
      <c r="S28" s="392">
        <f t="shared" si="13"/>
        <v>77594943.788361743</v>
      </c>
      <c r="T28" s="392">
        <f t="shared" si="13"/>
        <v>81453363.56765455</v>
      </c>
      <c r="U28" s="392">
        <f t="shared" si="13"/>
        <v>85503643.827365294</v>
      </c>
      <c r="V28" s="392">
        <f t="shared" si="13"/>
        <v>89755324.857574299</v>
      </c>
    </row>
    <row r="29" spans="1:31">
      <c r="A29" s="418"/>
      <c r="B29" s="418"/>
      <c r="C29" s="418"/>
      <c r="D29" s="418"/>
      <c r="E29" s="418"/>
      <c r="F29" s="418"/>
      <c r="G29" s="418"/>
      <c r="H29" s="419"/>
      <c r="I29" s="419">
        <v>58409980</v>
      </c>
      <c r="M29" s="420"/>
      <c r="N29" s="420"/>
      <c r="O29" s="420"/>
      <c r="P29" s="420"/>
      <c r="Q29" s="420"/>
      <c r="R29" s="420"/>
      <c r="S29" s="420"/>
      <c r="T29" s="420"/>
      <c r="U29" s="420"/>
      <c r="V29" s="420"/>
    </row>
    <row r="30" spans="1:31">
      <c r="A30" s="418"/>
      <c r="B30" s="418"/>
      <c r="C30" s="418"/>
      <c r="D30" s="418"/>
      <c r="E30" s="418"/>
      <c r="F30" s="418"/>
      <c r="G30" s="418"/>
      <c r="H30" s="419"/>
      <c r="I30" s="419"/>
      <c r="M30"/>
      <c r="N30"/>
      <c r="O30"/>
      <c r="P30"/>
      <c r="Q30"/>
      <c r="R30"/>
      <c r="S30"/>
      <c r="T30"/>
      <c r="U30"/>
      <c r="V30"/>
    </row>
    <row r="31" spans="1:31" ht="15.75">
      <c r="M31" s="362"/>
      <c r="Z31" s="388"/>
      <c r="AA31" s="388"/>
      <c r="AB31" s="388"/>
      <c r="AC31" s="388"/>
      <c r="AD31" s="388"/>
      <c r="AE31" s="388"/>
    </row>
    <row r="32" spans="1:31">
      <c r="M32" s="976" t="s">
        <v>436</v>
      </c>
      <c r="N32" s="977"/>
      <c r="O32" s="977"/>
      <c r="P32" s="977"/>
      <c r="Q32" s="978"/>
      <c r="R32" s="976" t="s">
        <v>436</v>
      </c>
      <c r="S32" s="977"/>
      <c r="T32" s="977"/>
      <c r="U32" s="977"/>
      <c r="V32" s="978"/>
      <c r="Z32" s="388"/>
      <c r="AA32" s="388"/>
      <c r="AB32" s="388"/>
      <c r="AC32" s="388"/>
    </row>
    <row r="33" spans="4:29">
      <c r="M33" s="194">
        <v>2024</v>
      </c>
      <c r="N33" s="194">
        <v>2025</v>
      </c>
      <c r="O33" s="194">
        <v>2026</v>
      </c>
      <c r="P33" s="194">
        <v>2027</v>
      </c>
      <c r="Q33" s="194">
        <v>2028</v>
      </c>
      <c r="R33" s="194">
        <v>2029</v>
      </c>
      <c r="S33" s="194">
        <v>2030</v>
      </c>
      <c r="T33" s="194">
        <v>2031</v>
      </c>
      <c r="U33" s="194">
        <v>2032</v>
      </c>
      <c r="V33" s="194">
        <v>2033</v>
      </c>
      <c r="Z33" s="388"/>
      <c r="AA33" s="388"/>
      <c r="AB33" s="388"/>
      <c r="AC33" s="388"/>
    </row>
    <row r="34" spans="4:29">
      <c r="M34" s="390">
        <f>+M4</f>
        <v>0.06</v>
      </c>
      <c r="N34" s="390">
        <f>+'IPC - CAFÉ'!E24</f>
        <v>0.06</v>
      </c>
      <c r="O34" s="390">
        <f>+'IPC - CAFÉ'!F24</f>
        <v>4.5975144331782153E-2</v>
      </c>
      <c r="P34" s="390">
        <f>+'IPC - CAFÉ'!G24</f>
        <v>4.7225144331782154E-2</v>
      </c>
      <c r="Q34" s="390">
        <f>+'IPC - CAFÉ'!H24</f>
        <v>4.8475144331782155E-2</v>
      </c>
      <c r="R34" s="390">
        <v>0</v>
      </c>
      <c r="S34" s="390">
        <f>+'IPC - CAFÉ'!J24</f>
        <v>5.0975144331782157E-2</v>
      </c>
      <c r="T34" s="390">
        <f>+'IPC - CAFÉ'!K24</f>
        <v>5.2225144331782158E-2</v>
      </c>
      <c r="U34" s="390">
        <f>+'IPC - CAFÉ'!L24</f>
        <v>5.347514433178216E-2</v>
      </c>
      <c r="V34" s="390">
        <f>+'IPC - CAFÉ'!M24</f>
        <v>5.4725144331782161E-2</v>
      </c>
      <c r="Z34" s="388"/>
      <c r="AA34" s="388"/>
      <c r="AB34" s="388"/>
      <c r="AC34" s="388"/>
    </row>
    <row r="35" spans="4:29">
      <c r="Z35" s="979" t="s">
        <v>602</v>
      </c>
      <c r="AA35" s="980"/>
      <c r="AB35" s="980"/>
    </row>
    <row r="36" spans="4:29" ht="15.75">
      <c r="M36" s="362" t="s">
        <v>603</v>
      </c>
      <c r="Z36" s="387"/>
      <c r="AA36" s="387"/>
      <c r="AB36" s="386"/>
    </row>
    <row r="37" spans="4:29">
      <c r="M37" s="397" t="s">
        <v>226</v>
      </c>
      <c r="N37" s="397" t="s">
        <v>227</v>
      </c>
      <c r="O37" s="397" t="s">
        <v>228</v>
      </c>
      <c r="P37" s="397" t="s">
        <v>229</v>
      </c>
      <c r="Q37" s="397" t="s">
        <v>230</v>
      </c>
      <c r="R37" s="397"/>
      <c r="S37" s="397"/>
      <c r="T37" s="397"/>
      <c r="U37" s="397"/>
      <c r="V37" s="397"/>
      <c r="Z37" s="395" t="s">
        <v>604</v>
      </c>
      <c r="AA37" s="395" t="s">
        <v>605</v>
      </c>
      <c r="AB37" s="395" t="s">
        <v>585</v>
      </c>
    </row>
    <row r="38" spans="4:29">
      <c r="E38" s="421"/>
      <c r="M38" s="422">
        <v>5340038</v>
      </c>
      <c r="N38" s="422">
        <f>+M38*(1+$N$34)</f>
        <v>5660440.2800000003</v>
      </c>
      <c r="O38" s="422">
        <f>+N38*(1+$O$34)</f>
        <v>5920679.838854434</v>
      </c>
      <c r="P38" s="422">
        <f t="shared" ref="P38:P40" si="14">+O38*(1+P34)</f>
        <v>6200284.7987866076</v>
      </c>
      <c r="Q38" s="422">
        <f>+P38*(1+$Q$34)</f>
        <v>6500844.499305943</v>
      </c>
      <c r="R38" s="422">
        <f t="shared" ref="R38:V40" si="15">+Q38*(1+$Q$34)</f>
        <v>6815973.8746882705</v>
      </c>
      <c r="S38" s="422">
        <f t="shared" si="15"/>
        <v>7146379.1920254407</v>
      </c>
      <c r="T38" s="422">
        <f t="shared" si="15"/>
        <v>7492800.9548085183</v>
      </c>
      <c r="U38" s="422">
        <f t="shared" si="15"/>
        <v>7856015.5625421759</v>
      </c>
      <c r="V38" s="422">
        <f t="shared" si="15"/>
        <v>8236837.0508091347</v>
      </c>
      <c r="Z38" s="422" t="s">
        <v>606</v>
      </c>
      <c r="AA38" s="422">
        <v>100000000</v>
      </c>
      <c r="AB38" s="422">
        <v>5340038</v>
      </c>
    </row>
    <row r="39" spans="4:29">
      <c r="E39" s="421"/>
      <c r="M39" s="422">
        <v>4081373</v>
      </c>
      <c r="N39" s="422">
        <f t="shared" ref="N39:N40" si="16">+M39*(1+$N$34)</f>
        <v>4326255.38</v>
      </c>
      <c r="O39" s="422">
        <f t="shared" ref="O39:O40" si="17">+N39*(1+$O$34)</f>
        <v>4525155.5955116488</v>
      </c>
      <c r="P39" s="422">
        <f t="shared" si="14"/>
        <v>4525155.5955116488</v>
      </c>
      <c r="Q39" s="422">
        <f t="shared" ref="Q39:Q40" si="18">+P39*(1+$Q$34)</f>
        <v>4744513.1661278475</v>
      </c>
      <c r="R39" s="422">
        <f t="shared" si="15"/>
        <v>4974504.1266399352</v>
      </c>
      <c r="S39" s="422">
        <f t="shared" si="15"/>
        <v>5215643.9321578518</v>
      </c>
      <c r="T39" s="422">
        <f t="shared" si="15"/>
        <v>5468473.0245523872</v>
      </c>
      <c r="U39" s="422">
        <f t="shared" si="15"/>
        <v>5733558.0436920216</v>
      </c>
      <c r="V39" s="422">
        <f t="shared" si="15"/>
        <v>6011493.0973946424</v>
      </c>
      <c r="Z39" s="422" t="s">
        <v>607</v>
      </c>
      <c r="AA39" s="422">
        <v>91319922</v>
      </c>
      <c r="AB39" s="422">
        <v>4081373</v>
      </c>
    </row>
    <row r="40" spans="4:29">
      <c r="E40" s="421"/>
      <c r="M40" s="422">
        <v>3735900</v>
      </c>
      <c r="N40" s="422">
        <f t="shared" si="16"/>
        <v>3960054</v>
      </c>
      <c r="O40" s="422">
        <f t="shared" si="17"/>
        <v>4142118.0542116514</v>
      </c>
      <c r="P40" s="422">
        <f t="shared" si="14"/>
        <v>4142118.0542116514</v>
      </c>
      <c r="Q40" s="422">
        <f t="shared" si="18"/>
        <v>4342907.8247288419</v>
      </c>
      <c r="R40" s="422">
        <f t="shared" si="15"/>
        <v>4553430.9083521981</v>
      </c>
      <c r="S40" s="422">
        <f t="shared" si="15"/>
        <v>4774159.1288393689</v>
      </c>
      <c r="T40" s="422">
        <f t="shared" si="15"/>
        <v>5005587.1816727528</v>
      </c>
      <c r="U40" s="422">
        <f t="shared" si="15"/>
        <v>5248233.7427696576</v>
      </c>
      <c r="V40" s="422">
        <f t="shared" si="15"/>
        <v>5502642.6309373463</v>
      </c>
      <c r="Z40" s="422" t="s">
        <v>608</v>
      </c>
      <c r="AA40" s="422">
        <v>99400000</v>
      </c>
      <c r="AB40" s="422">
        <v>3735900</v>
      </c>
    </row>
    <row r="41" spans="4:29">
      <c r="E41" s="421"/>
      <c r="M41" s="392">
        <f>SUM(M38:M40)</f>
        <v>13157311</v>
      </c>
      <c r="N41" s="392">
        <f t="shared" ref="N41:Q41" si="19">SUM(N38:N40)</f>
        <v>13946749.66</v>
      </c>
      <c r="O41" s="392">
        <f t="shared" si="19"/>
        <v>14587953.488577735</v>
      </c>
      <c r="P41" s="392">
        <f t="shared" si="19"/>
        <v>14867558.448509907</v>
      </c>
      <c r="Q41" s="392">
        <f t="shared" si="19"/>
        <v>15588265.490162633</v>
      </c>
      <c r="R41" s="392">
        <f t="shared" ref="R41:V41" si="20">SUM(R38:R40)</f>
        <v>16343908.909680404</v>
      </c>
      <c r="S41" s="392">
        <f t="shared" si="20"/>
        <v>17136182.253022663</v>
      </c>
      <c r="T41" s="392">
        <f t="shared" si="20"/>
        <v>17966861.161033656</v>
      </c>
      <c r="U41" s="392">
        <f t="shared" si="20"/>
        <v>18837807.349003855</v>
      </c>
      <c r="V41" s="392">
        <f t="shared" si="20"/>
        <v>19750972.779141124</v>
      </c>
      <c r="Z41" s="392" t="s">
        <v>88</v>
      </c>
      <c r="AA41" s="392">
        <v>290719922</v>
      </c>
      <c r="AB41" s="392">
        <f>SUM(AB38:AB40)</f>
        <v>13157311</v>
      </c>
    </row>
    <row r="42" spans="4:29">
      <c r="M42"/>
      <c r="N42"/>
      <c r="O42"/>
      <c r="P42"/>
      <c r="Q42"/>
      <c r="R42"/>
      <c r="S42"/>
      <c r="T42"/>
      <c r="U42"/>
      <c r="V42"/>
      <c r="AB42" s="423"/>
    </row>
    <row r="43" spans="4:29">
      <c r="M43"/>
      <c r="N43"/>
      <c r="O43"/>
      <c r="P43"/>
      <c r="Q43"/>
      <c r="R43"/>
      <c r="S43"/>
      <c r="T43"/>
      <c r="U43"/>
      <c r="V43"/>
      <c r="AB43" s="423"/>
    </row>
    <row r="44" spans="4:29">
      <c r="M44"/>
      <c r="N44"/>
      <c r="O44"/>
      <c r="P44"/>
      <c r="Q44"/>
      <c r="R44"/>
      <c r="S44"/>
      <c r="T44"/>
      <c r="U44"/>
      <c r="V44"/>
    </row>
    <row r="45" spans="4:29">
      <c r="M45"/>
      <c r="N45"/>
      <c r="O45"/>
      <c r="P45"/>
      <c r="Q45"/>
      <c r="R45"/>
      <c r="S45"/>
      <c r="T45"/>
      <c r="U45"/>
      <c r="V45"/>
    </row>
    <row r="46" spans="4:29" ht="33" customHeight="1">
      <c r="M46"/>
      <c r="N46"/>
      <c r="O46"/>
      <c r="P46"/>
      <c r="Q46"/>
      <c r="R46"/>
      <c r="S46"/>
      <c r="T46"/>
      <c r="U46"/>
      <c r="V46"/>
      <c r="Z46" s="981" t="s">
        <v>609</v>
      </c>
      <c r="AA46" s="981"/>
    </row>
    <row r="47" spans="4:29" ht="15.75">
      <c r="D47" s="424"/>
      <c r="E47" s="425"/>
      <c r="F47" s="425"/>
      <c r="G47" s="425"/>
      <c r="H47" s="425"/>
      <c r="I47" s="424"/>
      <c r="M47" s="362" t="s">
        <v>610</v>
      </c>
      <c r="N47"/>
      <c r="O47"/>
      <c r="P47"/>
      <c r="Q47"/>
      <c r="R47"/>
      <c r="S47"/>
      <c r="T47"/>
      <c r="U47"/>
      <c r="V47"/>
      <c r="Z47" s="426"/>
      <c r="AA47" s="426"/>
    </row>
    <row r="48" spans="4:29">
      <c r="M48" s="397" t="s">
        <v>226</v>
      </c>
      <c r="N48" s="397" t="s">
        <v>227</v>
      </c>
      <c r="O48" s="397" t="s">
        <v>228</v>
      </c>
      <c r="P48" s="397" t="s">
        <v>229</v>
      </c>
      <c r="Q48" s="397" t="s">
        <v>230</v>
      </c>
      <c r="R48" s="397" t="s">
        <v>231</v>
      </c>
      <c r="S48" s="397" t="s">
        <v>232</v>
      </c>
      <c r="T48" s="397" t="s">
        <v>233</v>
      </c>
      <c r="U48" s="397" t="s">
        <v>3010</v>
      </c>
      <c r="V48" s="397" t="s">
        <v>3011</v>
      </c>
      <c r="Z48" s="395" t="s">
        <v>605</v>
      </c>
      <c r="AA48" s="395" t="s">
        <v>585</v>
      </c>
    </row>
    <row r="49" spans="4:27">
      <c r="M49" s="422">
        <v>1785000</v>
      </c>
      <c r="N49" s="422">
        <f>+M49*(1+N34)</f>
        <v>1892100</v>
      </c>
      <c r="O49" s="422">
        <f t="shared" ref="O49:Q49" si="21">+N49*(1+O34)</f>
        <v>1979089.570590165</v>
      </c>
      <c r="P49" s="422">
        <f t="shared" si="21"/>
        <v>2072552.3612068102</v>
      </c>
      <c r="Q49" s="422">
        <f t="shared" si="21"/>
        <v>2173019.6360514862</v>
      </c>
      <c r="R49" s="422">
        <f t="shared" ref="R49" si="22">+Q49*(1+R34)</f>
        <v>2173019.6360514862</v>
      </c>
      <c r="S49" s="422">
        <f t="shared" ref="S49" si="23">+R49*(1+S34)</f>
        <v>2283789.6256350074</v>
      </c>
      <c r="T49" s="422">
        <f t="shared" ref="T49" si="24">+S49*(1+T34)</f>
        <v>2403060.8684572224</v>
      </c>
      <c r="U49" s="422">
        <f t="shared" ref="U49" si="25">+T49*(1+U34)</f>
        <v>2531564.8952360302</v>
      </c>
      <c r="V49" s="422">
        <f t="shared" ref="V49" si="26">+U49*(1+V34)</f>
        <v>2670105.1495130952</v>
      </c>
      <c r="Z49" s="422">
        <v>1000000000</v>
      </c>
      <c r="AA49" s="422">
        <v>1785000</v>
      </c>
    </row>
    <row r="50" spans="4:27">
      <c r="M50"/>
      <c r="N50"/>
      <c r="O50"/>
      <c r="P50"/>
      <c r="Q50"/>
      <c r="R50"/>
      <c r="S50"/>
      <c r="T50"/>
      <c r="U50"/>
      <c r="V50"/>
    </row>
    <row r="51" spans="4:27">
      <c r="M51"/>
      <c r="N51"/>
      <c r="O51"/>
      <c r="P51"/>
      <c r="Q51"/>
      <c r="R51"/>
      <c r="S51"/>
      <c r="T51"/>
      <c r="U51"/>
      <c r="V51"/>
    </row>
    <row r="52" spans="4:27">
      <c r="M52"/>
      <c r="N52"/>
      <c r="O52"/>
      <c r="P52"/>
      <c r="Q52"/>
      <c r="R52"/>
      <c r="S52"/>
      <c r="T52"/>
      <c r="U52"/>
      <c r="V52"/>
    </row>
    <row r="53" spans="4:27">
      <c r="M53"/>
      <c r="N53"/>
      <c r="O53"/>
      <c r="P53"/>
      <c r="Q53"/>
      <c r="R53"/>
      <c r="S53"/>
      <c r="T53"/>
      <c r="U53"/>
      <c r="V53"/>
      <c r="Z53" s="980" t="s">
        <v>611</v>
      </c>
      <c r="AA53" s="980"/>
    </row>
    <row r="54" spans="4:27" ht="15.75">
      <c r="D54" s="424"/>
      <c r="E54" s="425"/>
      <c r="F54" s="425"/>
      <c r="G54" s="425"/>
      <c r="H54" s="425"/>
      <c r="I54" s="424"/>
      <c r="M54" s="362" t="s">
        <v>612</v>
      </c>
      <c r="N54"/>
      <c r="O54"/>
      <c r="P54"/>
      <c r="Q54"/>
      <c r="R54"/>
      <c r="S54"/>
      <c r="T54"/>
      <c r="U54"/>
      <c r="V54"/>
      <c r="Z54" s="426"/>
      <c r="AA54" s="426"/>
    </row>
    <row r="55" spans="4:27">
      <c r="M55" s="397" t="s">
        <v>226</v>
      </c>
      <c r="N55" s="397" t="s">
        <v>227</v>
      </c>
      <c r="O55" s="397" t="s">
        <v>228</v>
      </c>
      <c r="P55" s="397" t="s">
        <v>229</v>
      </c>
      <c r="Q55" s="397" t="s">
        <v>230</v>
      </c>
      <c r="R55" s="397" t="s">
        <v>231</v>
      </c>
      <c r="S55" s="397" t="s">
        <v>232</v>
      </c>
      <c r="T55" s="397" t="s">
        <v>233</v>
      </c>
      <c r="U55" s="397" t="s">
        <v>3010</v>
      </c>
      <c r="V55" s="397" t="s">
        <v>3011</v>
      </c>
      <c r="Z55" s="395" t="s">
        <v>605</v>
      </c>
      <c r="AA55" s="395" t="s">
        <v>585</v>
      </c>
    </row>
    <row r="56" spans="4:27">
      <c r="M56" s="422">
        <v>105910000</v>
      </c>
      <c r="N56" s="422">
        <f>+M56*(1+N34)</f>
        <v>112264600</v>
      </c>
      <c r="O56" s="422">
        <f t="shared" ref="O56:Q56" si="27">+N56*(1+O34)</f>
        <v>117425981.1883498</v>
      </c>
      <c r="P56" s="422">
        <f t="shared" si="27"/>
        <v>122971440.09827076</v>
      </c>
      <c r="Q56" s="422">
        <f t="shared" si="27"/>
        <v>128932498.40572153</v>
      </c>
      <c r="R56" s="422">
        <f t="shared" ref="R56" si="28">+Q56*(1+R34)</f>
        <v>128932498.40572153</v>
      </c>
      <c r="S56" s="422">
        <f t="shared" ref="S56" si="29">+R56*(1+S34)</f>
        <v>135504851.12101045</v>
      </c>
      <c r="T56" s="422">
        <f t="shared" ref="T56" si="30">+S56*(1+T34)</f>
        <v>142581611.52846187</v>
      </c>
      <c r="U56" s="422">
        <f t="shared" ref="U56" si="31">+T56*(1+U34)</f>
        <v>150206183.78400448</v>
      </c>
      <c r="V56" s="422">
        <f t="shared" ref="V56" si="32">+U56*(1+V34)</f>
        <v>158426238.87111032</v>
      </c>
      <c r="Z56" s="422">
        <v>1000000000</v>
      </c>
      <c r="AA56" s="422">
        <v>105910000</v>
      </c>
    </row>
    <row r="57" spans="4:27">
      <c r="M57"/>
      <c r="N57"/>
      <c r="O57"/>
      <c r="P57"/>
      <c r="Q57"/>
      <c r="R57"/>
      <c r="S57"/>
      <c r="T57"/>
      <c r="U57"/>
      <c r="V57"/>
    </row>
    <row r="58" spans="4:27">
      <c r="M58"/>
      <c r="N58"/>
      <c r="O58"/>
      <c r="P58"/>
      <c r="Q58"/>
      <c r="R58"/>
      <c r="S58"/>
      <c r="T58"/>
      <c r="U58"/>
      <c r="V58"/>
    </row>
    <row r="59" spans="4:27">
      <c r="M59"/>
      <c r="N59"/>
      <c r="O59"/>
      <c r="P59"/>
      <c r="Q59"/>
      <c r="R59"/>
      <c r="S59"/>
      <c r="T59"/>
      <c r="U59"/>
      <c r="V59"/>
    </row>
    <row r="60" spans="4:27">
      <c r="M60"/>
      <c r="N60"/>
      <c r="O60"/>
      <c r="P60"/>
      <c r="Q60"/>
      <c r="R60"/>
      <c r="S60"/>
      <c r="T60"/>
      <c r="U60"/>
      <c r="V60"/>
      <c r="Z60" s="980" t="s">
        <v>613</v>
      </c>
      <c r="AA60" s="980"/>
    </row>
    <row r="61" spans="4:27" ht="15.75">
      <c r="D61" s="424"/>
      <c r="E61" s="425"/>
      <c r="F61" s="425"/>
      <c r="G61" s="425"/>
      <c r="H61" s="425"/>
      <c r="I61" s="424"/>
      <c r="M61" s="362" t="s">
        <v>614</v>
      </c>
      <c r="N61"/>
      <c r="O61"/>
      <c r="P61"/>
      <c r="Q61"/>
      <c r="R61"/>
      <c r="S61"/>
      <c r="T61"/>
      <c r="U61"/>
      <c r="V61"/>
      <c r="Z61" s="427"/>
      <c r="AA61" s="427"/>
    </row>
    <row r="62" spans="4:27">
      <c r="M62" s="397" t="s">
        <v>226</v>
      </c>
      <c r="N62" s="397" t="s">
        <v>227</v>
      </c>
      <c r="O62" s="397" t="s">
        <v>228</v>
      </c>
      <c r="P62" s="397" t="s">
        <v>229</v>
      </c>
      <c r="Q62" s="397" t="s">
        <v>230</v>
      </c>
      <c r="R62" s="397" t="s">
        <v>231</v>
      </c>
      <c r="S62" s="397" t="s">
        <v>232</v>
      </c>
      <c r="T62" s="397" t="s">
        <v>233</v>
      </c>
      <c r="U62" s="397" t="s">
        <v>3010</v>
      </c>
      <c r="V62" s="397" t="s">
        <v>3011</v>
      </c>
      <c r="Z62" s="395" t="s">
        <v>615</v>
      </c>
      <c r="AA62" s="395" t="s">
        <v>585</v>
      </c>
    </row>
    <row r="63" spans="4:27">
      <c r="M63" s="422">
        <v>871900</v>
      </c>
      <c r="N63" s="422">
        <f>+M63*(1+$N$34)</f>
        <v>924214</v>
      </c>
      <c r="O63" s="422">
        <f>+N63*(1+$O$34)</f>
        <v>966704.87204345374</v>
      </c>
      <c r="P63" s="422">
        <f>+O63*(1+$P$34)</f>
        <v>1012357.6491519428</v>
      </c>
      <c r="Q63" s="422">
        <f>+P63*(1+$Q$34)</f>
        <v>1061431.8323099669</v>
      </c>
      <c r="R63" s="422">
        <f t="shared" ref="R63:V63" si="33">+Q63*(1+$Q$34)</f>
        <v>1112884.8935795405</v>
      </c>
      <c r="S63" s="422">
        <f t="shared" si="33"/>
        <v>1166832.1494204688</v>
      </c>
      <c r="T63" s="422">
        <f t="shared" si="33"/>
        <v>1223394.5062745896</v>
      </c>
      <c r="U63" s="422">
        <f t="shared" si="33"/>
        <v>1282698.7315409596</v>
      </c>
      <c r="V63" s="422">
        <f t="shared" si="33"/>
        <v>1344877.7376866015</v>
      </c>
      <c r="Z63" s="428" t="s">
        <v>616</v>
      </c>
      <c r="AA63" s="422">
        <v>871900</v>
      </c>
    </row>
    <row r="64" spans="4:27">
      <c r="M64" s="422">
        <v>1181600</v>
      </c>
      <c r="N64" s="422">
        <f>+M64*(1+$N$34)</f>
        <v>1252496</v>
      </c>
      <c r="O64" s="422">
        <f>+N64*(1+$O$34)</f>
        <v>1310079.6843749799</v>
      </c>
      <c r="P64" s="422">
        <f>+O64*(1+$P$34)</f>
        <v>1371948.3865557241</v>
      </c>
      <c r="Q64" s="422">
        <f>+P64*(1+$Q$34)</f>
        <v>1438453.7826097684</v>
      </c>
      <c r="R64" s="422">
        <f t="shared" ref="R64:V64" si="34">+Q64*(1+$Q$34)</f>
        <v>1508183.0373363749</v>
      </c>
      <c r="S64" s="422">
        <f t="shared" si="34"/>
        <v>1581292.4277500012</v>
      </c>
      <c r="T64" s="422">
        <f t="shared" si="34"/>
        <v>1657945.8064159367</v>
      </c>
      <c r="U64" s="422">
        <f t="shared" si="34"/>
        <v>1738314.968676222</v>
      </c>
      <c r="V64" s="422">
        <f t="shared" si="34"/>
        <v>1822580.0376768992</v>
      </c>
      <c r="Z64" s="428" t="s">
        <v>617</v>
      </c>
      <c r="AA64" s="422">
        <v>1181600</v>
      </c>
    </row>
    <row r="65" spans="13:27">
      <c r="M65" s="422">
        <v>1181600</v>
      </c>
      <c r="N65" s="422">
        <f>+M65*(1+$N$34)</f>
        <v>1252496</v>
      </c>
      <c r="O65" s="422">
        <f>+N65*(1+$O$34)</f>
        <v>1310079.6843749799</v>
      </c>
      <c r="P65" s="422">
        <f>+O65*(1+$P$34)</f>
        <v>1371948.3865557241</v>
      </c>
      <c r="Q65" s="422">
        <f>+P65*(1+$Q$34)</f>
        <v>1438453.7826097684</v>
      </c>
      <c r="R65" s="422">
        <f t="shared" ref="R65:V65" si="35">+Q65*(1+$Q$34)</f>
        <v>1508183.0373363749</v>
      </c>
      <c r="S65" s="422">
        <f t="shared" si="35"/>
        <v>1581292.4277500012</v>
      </c>
      <c r="T65" s="422">
        <f t="shared" si="35"/>
        <v>1657945.8064159367</v>
      </c>
      <c r="U65" s="422">
        <f t="shared" si="35"/>
        <v>1738314.968676222</v>
      </c>
      <c r="V65" s="422">
        <f t="shared" si="35"/>
        <v>1822580.0376768992</v>
      </c>
      <c r="Z65" s="428" t="s">
        <v>618</v>
      </c>
      <c r="AA65" s="422">
        <v>1181600</v>
      </c>
    </row>
    <row r="66" spans="13:27">
      <c r="M66" s="392">
        <f>SUM(M63:M65)</f>
        <v>3235100</v>
      </c>
      <c r="N66" s="392">
        <f t="shared" ref="N66:Q66" si="36">SUM(N63:N65)</f>
        <v>3429206</v>
      </c>
      <c r="O66" s="392">
        <f t="shared" si="36"/>
        <v>3586864.2407934135</v>
      </c>
      <c r="P66" s="392">
        <f t="shared" si="36"/>
        <v>3756254.4222633913</v>
      </c>
      <c r="Q66" s="392">
        <f t="shared" si="36"/>
        <v>3938339.3975295033</v>
      </c>
      <c r="R66" s="392">
        <f t="shared" ref="R66:V66" si="37">SUM(R63:R65)</f>
        <v>4129250.96825229</v>
      </c>
      <c r="S66" s="392">
        <f t="shared" si="37"/>
        <v>4329417.0049204715</v>
      </c>
      <c r="T66" s="392">
        <f t="shared" si="37"/>
        <v>4539286.1191064632</v>
      </c>
      <c r="U66" s="392">
        <f t="shared" si="37"/>
        <v>4759328.6688934043</v>
      </c>
      <c r="V66" s="392">
        <f t="shared" si="37"/>
        <v>4990037.8130403999</v>
      </c>
    </row>
  </sheetData>
  <mergeCells count="12">
    <mergeCell ref="Z53:AA53"/>
    <mergeCell ref="Z60:AA60"/>
    <mergeCell ref="Z6:AG9"/>
    <mergeCell ref="Z10:AG11"/>
    <mergeCell ref="Z12:AG15"/>
    <mergeCell ref="Z46:AA46"/>
    <mergeCell ref="M1:Q1"/>
    <mergeCell ref="A8:I8"/>
    <mergeCell ref="A28:G28"/>
    <mergeCell ref="M32:Q32"/>
    <mergeCell ref="Z35:AB35"/>
    <mergeCell ref="R32:V32"/>
  </mergeCells>
  <phoneticPr fontId="30" type="noConversion"/>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2:N21"/>
  <sheetViews>
    <sheetView showGridLines="0" workbookViewId="0">
      <selection activeCell="I7" sqref="I7:N8"/>
    </sheetView>
  </sheetViews>
  <sheetFormatPr baseColWidth="10" defaultRowHeight="15"/>
  <cols>
    <col min="1" max="1" width="22.140625" style="147" customWidth="1"/>
    <col min="2" max="2" width="23.85546875" style="147" customWidth="1"/>
    <col min="3" max="3" width="19.140625" style="147" customWidth="1"/>
    <col min="4" max="4" width="13" style="147" bestFit="1" customWidth="1"/>
    <col min="5" max="9" width="14.140625" style="147" bestFit="1" customWidth="1"/>
    <col min="10" max="16384" width="11.42578125" style="147"/>
  </cols>
  <sheetData>
    <row r="2" spans="1:14">
      <c r="F2" s="155" t="s">
        <v>436</v>
      </c>
      <c r="G2" s="148"/>
      <c r="H2" s="148"/>
      <c r="I2" s="148"/>
    </row>
    <row r="3" spans="1:14">
      <c r="F3" s="194">
        <v>2025</v>
      </c>
      <c r="G3" s="194">
        <v>2026</v>
      </c>
      <c r="H3" s="194">
        <v>2027</v>
      </c>
      <c r="I3" s="194">
        <v>2028</v>
      </c>
      <c r="J3" s="194">
        <v>2029</v>
      </c>
      <c r="K3" s="194">
        <v>2030</v>
      </c>
      <c r="L3" s="194">
        <v>2031</v>
      </c>
      <c r="M3" s="194">
        <v>2032</v>
      </c>
      <c r="N3" s="194">
        <v>2033</v>
      </c>
    </row>
    <row r="4" spans="1:14">
      <c r="F4" s="429">
        <f>+'IPC - CAFÉ'!E24</f>
        <v>0.06</v>
      </c>
      <c r="G4" s="429">
        <f>+'IPC - CAFÉ'!F24</f>
        <v>4.5975144331782153E-2</v>
      </c>
      <c r="H4" s="429">
        <f>+'IPC - CAFÉ'!G24</f>
        <v>4.7225144331782154E-2</v>
      </c>
      <c r="I4" s="429">
        <f>+'IPC - CAFÉ'!H24</f>
        <v>4.8475144331782155E-2</v>
      </c>
      <c r="J4" s="429">
        <f>+'IPC - CAFÉ'!I24</f>
        <v>4.9725144331782156E-2</v>
      </c>
      <c r="K4" s="429">
        <f>+'IPC - CAFÉ'!J24</f>
        <v>5.0975144331782157E-2</v>
      </c>
      <c r="L4" s="429">
        <f>+'IPC - CAFÉ'!K24</f>
        <v>5.2225144331782158E-2</v>
      </c>
      <c r="M4" s="429">
        <f>+'IPC - CAFÉ'!L24</f>
        <v>5.347514433178216E-2</v>
      </c>
      <c r="N4" s="429">
        <f>+'IPC - CAFÉ'!M24</f>
        <v>5.4725144331782161E-2</v>
      </c>
    </row>
    <row r="5" spans="1:14">
      <c r="A5" s="982" t="s">
        <v>619</v>
      </c>
      <c r="B5" s="982"/>
      <c r="C5" s="982"/>
    </row>
    <row r="6" spans="1:14" ht="15.75">
      <c r="E6" s="362" t="s">
        <v>641</v>
      </c>
    </row>
    <row r="7" spans="1:14" ht="30">
      <c r="A7" s="430" t="s">
        <v>514</v>
      </c>
      <c r="B7" s="430" t="s">
        <v>516</v>
      </c>
      <c r="C7" s="430" t="s">
        <v>620</v>
      </c>
      <c r="D7" s="431"/>
      <c r="E7" s="290" t="s">
        <v>226</v>
      </c>
      <c r="F7" s="290" t="s">
        <v>227</v>
      </c>
      <c r="G7" s="290" t="s">
        <v>228</v>
      </c>
      <c r="H7" s="290" t="s">
        <v>229</v>
      </c>
      <c r="I7" s="290" t="s">
        <v>230</v>
      </c>
      <c r="J7" s="290" t="s">
        <v>231</v>
      </c>
      <c r="K7" s="290" t="s">
        <v>232</v>
      </c>
      <c r="L7" s="290" t="s">
        <v>233</v>
      </c>
      <c r="M7" s="290" t="s">
        <v>3010</v>
      </c>
      <c r="N7" s="290" t="s">
        <v>3011</v>
      </c>
    </row>
    <row r="8" spans="1:14">
      <c r="A8" s="432" t="s">
        <v>621</v>
      </c>
      <c r="B8" s="432" t="s">
        <v>644</v>
      </c>
      <c r="C8" s="292">
        <v>7372217.8560000006</v>
      </c>
      <c r="E8" s="433">
        <f>+C11</f>
        <v>54392342.016000003</v>
      </c>
      <c r="F8" s="433">
        <f>+E8*(1+F4)</f>
        <v>57655882.536960006</v>
      </c>
      <c r="G8" s="433">
        <f t="shared" ref="G8:I8" si="0">+F8*(1+G4)</f>
        <v>60306620.058173023</v>
      </c>
      <c r="H8" s="433">
        <f t="shared" si="0"/>
        <v>63154608.89458219</v>
      </c>
      <c r="I8" s="433">
        <f t="shared" si="0"/>
        <v>66216037.675964311</v>
      </c>
      <c r="J8" s="433">
        <f t="shared" ref="J8" si="1">+I8*(1+J4)</f>
        <v>69508639.706480354</v>
      </c>
      <c r="K8" s="433">
        <f t="shared" ref="K8" si="2">+J8*(1+K4)</f>
        <v>73051852.647824034</v>
      </c>
      <c r="L8" s="433">
        <f t="shared" ref="L8" si="3">+K8*(1+L4)</f>
        <v>76866996.196060717</v>
      </c>
      <c r="M8" s="433">
        <f t="shared" ref="M8" si="4">+L8*(1+M4)</f>
        <v>80977469.91199562</v>
      </c>
      <c r="N8" s="433">
        <f t="shared" ref="N8" si="5">+M8*(1+N4)</f>
        <v>85408973.640552133</v>
      </c>
    </row>
    <row r="9" spans="1:14">
      <c r="A9" s="432" t="s">
        <v>621</v>
      </c>
      <c r="B9" s="432" t="s">
        <v>645</v>
      </c>
      <c r="C9" s="292">
        <f>'[5]hoja calculo'!G4</f>
        <v>18359040</v>
      </c>
    </row>
    <row r="10" spans="1:14">
      <c r="A10" s="432" t="s">
        <v>621</v>
      </c>
      <c r="B10" s="432" t="s">
        <v>622</v>
      </c>
      <c r="C10" s="292">
        <f>'[5]hoja calculo'!G5</f>
        <v>28661084.160000004</v>
      </c>
    </row>
    <row r="11" spans="1:14">
      <c r="A11" s="434"/>
      <c r="B11" s="435" t="s">
        <v>1</v>
      </c>
      <c r="C11" s="436">
        <f>SUM(C8:C10)</f>
        <v>54392342.016000003</v>
      </c>
    </row>
    <row r="12" spans="1:14">
      <c r="A12" s="434"/>
      <c r="B12" s="434"/>
      <c r="C12" s="437"/>
    </row>
    <row r="13" spans="1:14">
      <c r="A13" s="434"/>
      <c r="B13" s="434"/>
      <c r="C13" s="437"/>
    </row>
    <row r="14" spans="1:14">
      <c r="B14" s="317"/>
    </row>
    <row r="15" spans="1:14">
      <c r="B15" s="317"/>
    </row>
    <row r="19" spans="3:4">
      <c r="C19" s="438"/>
    </row>
    <row r="20" spans="3:4">
      <c r="C20" s="438"/>
      <c r="D20" s="439"/>
    </row>
    <row r="21" spans="3:4">
      <c r="D21" s="438"/>
    </row>
  </sheetData>
  <mergeCells count="1">
    <mergeCell ref="A5:C5"/>
  </mergeCells>
  <phoneticPr fontId="30" type="noConversion"/>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3863"/>
  <sheetViews>
    <sheetView showGridLines="0" workbookViewId="0">
      <pane xSplit="6" ySplit="7" topLeftCell="M8" activePane="bottomRight" state="frozen"/>
      <selection pane="topRight" activeCell="G1" sqref="G1"/>
      <selection pane="bottomLeft" activeCell="A6" sqref="A6"/>
      <selection pane="bottomRight" activeCell="R9" sqref="R9"/>
    </sheetView>
  </sheetViews>
  <sheetFormatPr baseColWidth="10" defaultRowHeight="15"/>
  <cols>
    <col min="1" max="3" width="11.42578125" style="147"/>
    <col min="4" max="5" width="11.5703125" style="147" bestFit="1" customWidth="1"/>
    <col min="6" max="6" width="12.42578125" style="147" bestFit="1" customWidth="1"/>
    <col min="7" max="7" width="27.42578125" style="147" customWidth="1"/>
    <col min="8" max="8" width="11.42578125" style="147"/>
    <col min="9" max="13" width="11.5703125" style="147" bestFit="1" customWidth="1"/>
    <col min="14" max="18" width="11.5703125" style="147" customWidth="1"/>
    <col min="19" max="21" width="11.42578125" style="147"/>
    <col min="22" max="22" width="7.28515625" style="147" customWidth="1"/>
    <col min="23" max="24" width="11.42578125" style="147"/>
    <col min="25" max="25" width="3.42578125" style="147" customWidth="1"/>
    <col min="26" max="26" width="4" style="147" customWidth="1"/>
    <col min="27" max="27" width="4.42578125" style="147" customWidth="1"/>
    <col min="28" max="28" width="3.5703125" style="147" customWidth="1"/>
    <col min="29" max="16384" width="11.42578125" style="147"/>
  </cols>
  <sheetData>
    <row r="1" spans="1:28">
      <c r="J1" s="155" t="s">
        <v>436</v>
      </c>
      <c r="K1" s="148"/>
      <c r="L1" s="148"/>
      <c r="M1" s="148"/>
      <c r="N1" s="148"/>
      <c r="O1" s="148"/>
      <c r="P1" s="148"/>
      <c r="Q1" s="148"/>
      <c r="R1" s="148"/>
    </row>
    <row r="2" spans="1:28">
      <c r="I2" s="440"/>
      <c r="J2" s="194">
        <v>2025</v>
      </c>
      <c r="K2" s="194">
        <v>2026</v>
      </c>
      <c r="L2" s="194">
        <v>2027</v>
      </c>
      <c r="M2" s="194">
        <v>2028</v>
      </c>
      <c r="N2" s="194">
        <v>2029</v>
      </c>
      <c r="O2" s="194">
        <v>2030</v>
      </c>
      <c r="P2" s="194">
        <v>2031</v>
      </c>
      <c r="Q2" s="194">
        <v>2032</v>
      </c>
      <c r="R2" s="194">
        <v>2033</v>
      </c>
    </row>
    <row r="3" spans="1:28">
      <c r="I3" s="440"/>
      <c r="J3" s="429">
        <f>+'IPC - CAFÉ'!E24</f>
        <v>0.06</v>
      </c>
      <c r="K3" s="429">
        <f>+'IPC - CAFÉ'!F24</f>
        <v>4.5975144331782153E-2</v>
      </c>
      <c r="L3" s="429">
        <f>+'IPC - CAFÉ'!G24</f>
        <v>4.7225144331782154E-2</v>
      </c>
      <c r="M3" s="429">
        <f>+'IPC - CAFÉ'!H24</f>
        <v>4.8475144331782155E-2</v>
      </c>
      <c r="N3" s="429">
        <f>+'IPC - CAFÉ'!I24</f>
        <v>4.9725144331782156E-2</v>
      </c>
      <c r="O3" s="429">
        <f>+'IPC - CAFÉ'!J24</f>
        <v>5.0975144331782157E-2</v>
      </c>
      <c r="P3" s="429">
        <f>+'IPC - CAFÉ'!K24</f>
        <v>5.2225144331782158E-2</v>
      </c>
      <c r="Q3" s="429">
        <f>+'IPC - CAFÉ'!L24</f>
        <v>5.347514433178216E-2</v>
      </c>
      <c r="R3" s="429">
        <f>+'IPC - CAFÉ'!M24</f>
        <v>5.4725144331782161E-2</v>
      </c>
    </row>
    <row r="4" spans="1:28">
      <c r="I4" s="441"/>
    </row>
    <row r="5" spans="1:28">
      <c r="A5" s="983" t="s">
        <v>623</v>
      </c>
      <c r="B5" s="983"/>
      <c r="C5" s="983"/>
      <c r="D5" s="983"/>
      <c r="E5" s="983"/>
      <c r="F5" s="983"/>
      <c r="G5" s="983"/>
      <c r="I5" s="441"/>
    </row>
    <row r="6" spans="1:28" ht="15.75">
      <c r="I6" s="362" t="s">
        <v>642</v>
      </c>
    </row>
    <row r="7" spans="1:28" s="443" customFormat="1" ht="45">
      <c r="A7" s="442" t="s">
        <v>624</v>
      </c>
      <c r="B7" s="442" t="s">
        <v>625</v>
      </c>
      <c r="C7" s="442" t="s">
        <v>626</v>
      </c>
      <c r="D7" s="442" t="s">
        <v>627</v>
      </c>
      <c r="E7" s="442" t="s">
        <v>628</v>
      </c>
      <c r="F7" s="442" t="s">
        <v>629</v>
      </c>
      <c r="G7" s="442" t="s">
        <v>630</v>
      </c>
      <c r="I7" s="296" t="s">
        <v>226</v>
      </c>
      <c r="J7" s="296" t="s">
        <v>227</v>
      </c>
      <c r="K7" s="296" t="s">
        <v>228</v>
      </c>
      <c r="L7" s="296" t="s">
        <v>229</v>
      </c>
      <c r="M7" s="296" t="s">
        <v>230</v>
      </c>
      <c r="N7" s="296" t="s">
        <v>231</v>
      </c>
      <c r="O7" s="296" t="s">
        <v>232</v>
      </c>
      <c r="P7" s="296" t="s">
        <v>233</v>
      </c>
      <c r="Q7" s="296" t="s">
        <v>3010</v>
      </c>
      <c r="R7" s="296" t="s">
        <v>3011</v>
      </c>
      <c r="U7" s="376" t="s">
        <v>439</v>
      </c>
      <c r="V7" s="149"/>
      <c r="W7" s="149"/>
      <c r="X7" s="149"/>
      <c r="Y7" s="149"/>
      <c r="Z7" s="149"/>
      <c r="AA7" s="149"/>
      <c r="AB7" s="149"/>
    </row>
    <row r="8" spans="1:28">
      <c r="A8" s="440">
        <v>4700376556</v>
      </c>
      <c r="B8" s="440">
        <v>6100002344</v>
      </c>
      <c r="C8" s="440" t="s">
        <v>631</v>
      </c>
      <c r="D8" s="444">
        <v>43839</v>
      </c>
      <c r="E8" s="445">
        <v>3320</v>
      </c>
      <c r="F8" s="440">
        <v>1001010001</v>
      </c>
      <c r="G8" s="440" t="s">
        <v>632</v>
      </c>
      <c r="I8" s="292">
        <f>+E1513</f>
        <v>23278792</v>
      </c>
      <c r="J8" s="292">
        <f>+I8*(1+J3)</f>
        <v>24675519.52</v>
      </c>
      <c r="K8" s="292">
        <f>+J8*(1+K3)</f>
        <v>25809980.091393709</v>
      </c>
      <c r="L8" s="292">
        <f>+K8*(1+L3)</f>
        <v>27028860.126410201</v>
      </c>
      <c r="M8" s="292">
        <f>+L8*(1+M3)</f>
        <v>28339088.022161487</v>
      </c>
      <c r="N8" s="292">
        <f t="shared" ref="N8:Q8" si="0">+M8*(1+N3)</f>
        <v>29748253.264294546</v>
      </c>
      <c r="O8" s="292">
        <f t="shared" si="0"/>
        <v>31264674.768060368</v>
      </c>
      <c r="P8" s="292">
        <f t="shared" si="0"/>
        <v>32897476.920308545</v>
      </c>
      <c r="Q8" s="292">
        <f t="shared" si="0"/>
        <v>34656674.246773519</v>
      </c>
      <c r="R8" s="292">
        <f>+Q8*(1+R3)</f>
        <v>36553265.74698776</v>
      </c>
      <c r="U8" s="962" t="s">
        <v>646</v>
      </c>
      <c r="V8" s="963"/>
      <c r="W8" s="963"/>
      <c r="X8" s="963"/>
      <c r="Y8" s="963"/>
      <c r="Z8" s="963"/>
      <c r="AA8" s="963"/>
      <c r="AB8" s="964"/>
    </row>
    <row r="9" spans="1:28">
      <c r="A9" s="440">
        <v>4700376556</v>
      </c>
      <c r="B9" s="440">
        <v>6100002344</v>
      </c>
      <c r="C9" s="440" t="s">
        <v>631</v>
      </c>
      <c r="D9" s="444">
        <v>43839</v>
      </c>
      <c r="E9" s="445">
        <v>30252</v>
      </c>
      <c r="F9" s="440">
        <v>1001010001</v>
      </c>
      <c r="G9" s="440" t="s">
        <v>632</v>
      </c>
      <c r="U9" s="965"/>
      <c r="V9" s="966"/>
      <c r="W9" s="966"/>
      <c r="X9" s="966"/>
      <c r="Y9" s="966"/>
      <c r="Z9" s="966"/>
      <c r="AA9" s="966"/>
      <c r="AB9" s="967"/>
    </row>
    <row r="10" spans="1:28">
      <c r="A10" s="440">
        <v>4700376556</v>
      </c>
      <c r="B10" s="440">
        <v>6100002344</v>
      </c>
      <c r="C10" s="440" t="s">
        <v>631</v>
      </c>
      <c r="D10" s="444">
        <v>43839</v>
      </c>
      <c r="E10" s="445">
        <v>22016</v>
      </c>
      <c r="F10" s="440">
        <v>1001010001</v>
      </c>
      <c r="G10" s="440" t="s">
        <v>632</v>
      </c>
      <c r="U10" s="965"/>
      <c r="V10" s="966"/>
      <c r="W10" s="966"/>
      <c r="X10" s="966"/>
      <c r="Y10" s="966"/>
      <c r="Z10" s="966"/>
      <c r="AA10" s="966"/>
      <c r="AB10" s="967"/>
    </row>
    <row r="11" spans="1:28">
      <c r="A11" s="440">
        <v>4700376556</v>
      </c>
      <c r="B11" s="440">
        <v>6100002344</v>
      </c>
      <c r="C11" s="440" t="s">
        <v>631</v>
      </c>
      <c r="D11" s="444">
        <v>43839</v>
      </c>
      <c r="E11" s="445">
        <v>24200</v>
      </c>
      <c r="F11" s="440">
        <v>1001010001</v>
      </c>
      <c r="G11" s="440" t="s">
        <v>632</v>
      </c>
      <c r="U11" s="965"/>
      <c r="V11" s="966"/>
      <c r="W11" s="966"/>
      <c r="X11" s="966"/>
      <c r="Y11" s="966"/>
      <c r="Z11" s="966"/>
      <c r="AA11" s="966"/>
      <c r="AB11" s="967"/>
    </row>
    <row r="12" spans="1:28">
      <c r="A12" s="440">
        <v>4700376556</v>
      </c>
      <c r="B12" s="440">
        <v>6100002344</v>
      </c>
      <c r="C12" s="440" t="s">
        <v>631</v>
      </c>
      <c r="D12" s="444">
        <v>43839</v>
      </c>
      <c r="E12" s="445">
        <v>5715</v>
      </c>
      <c r="F12" s="440">
        <v>1001010001</v>
      </c>
      <c r="G12" s="440" t="s">
        <v>632</v>
      </c>
      <c r="U12" s="965"/>
      <c r="V12" s="966"/>
      <c r="W12" s="966"/>
      <c r="X12" s="966"/>
      <c r="Y12" s="966"/>
      <c r="Z12" s="966"/>
      <c r="AA12" s="966"/>
      <c r="AB12" s="967"/>
    </row>
    <row r="13" spans="1:28">
      <c r="A13" s="440">
        <v>4700394695</v>
      </c>
      <c r="B13" s="440">
        <v>6100014403</v>
      </c>
      <c r="C13" s="440" t="s">
        <v>631</v>
      </c>
      <c r="D13" s="444">
        <v>43875</v>
      </c>
      <c r="E13" s="445">
        <v>7733</v>
      </c>
      <c r="F13" s="440">
        <v>1001010001</v>
      </c>
      <c r="G13" s="440" t="s">
        <v>632</v>
      </c>
      <c r="U13" s="965"/>
      <c r="V13" s="966"/>
      <c r="W13" s="966"/>
      <c r="X13" s="966"/>
      <c r="Y13" s="966"/>
      <c r="Z13" s="966"/>
      <c r="AA13" s="966"/>
      <c r="AB13" s="967"/>
    </row>
    <row r="14" spans="1:28">
      <c r="A14" s="440">
        <v>4700394695</v>
      </c>
      <c r="B14" s="440">
        <v>6100014403</v>
      </c>
      <c r="C14" s="440" t="s">
        <v>631</v>
      </c>
      <c r="D14" s="444">
        <v>43875</v>
      </c>
      <c r="E14" s="445">
        <v>24200</v>
      </c>
      <c r="F14" s="440">
        <v>1001010001</v>
      </c>
      <c r="G14" s="440" t="s">
        <v>632</v>
      </c>
      <c r="U14" s="965"/>
      <c r="V14" s="966"/>
      <c r="W14" s="966"/>
      <c r="X14" s="966"/>
      <c r="Y14" s="966"/>
      <c r="Z14" s="966"/>
      <c r="AA14" s="966"/>
      <c r="AB14" s="967"/>
    </row>
    <row r="15" spans="1:28">
      <c r="A15" s="440">
        <v>4700410673</v>
      </c>
      <c r="B15" s="440">
        <v>6100024639</v>
      </c>
      <c r="C15" s="440" t="s">
        <v>631</v>
      </c>
      <c r="D15" s="444">
        <v>43905</v>
      </c>
      <c r="E15" s="445">
        <v>31596</v>
      </c>
      <c r="F15" s="440">
        <v>1001010001</v>
      </c>
      <c r="G15" s="440" t="s">
        <v>632</v>
      </c>
      <c r="U15" s="965"/>
      <c r="V15" s="966"/>
      <c r="W15" s="966"/>
      <c r="X15" s="966"/>
      <c r="Y15" s="966"/>
      <c r="Z15" s="966"/>
      <c r="AA15" s="966"/>
      <c r="AB15" s="967"/>
    </row>
    <row r="16" spans="1:28">
      <c r="A16" s="440">
        <v>4700410673</v>
      </c>
      <c r="B16" s="440">
        <v>6100024639</v>
      </c>
      <c r="C16" s="440" t="s">
        <v>631</v>
      </c>
      <c r="D16" s="444">
        <v>43905</v>
      </c>
      <c r="E16" s="445">
        <v>17900</v>
      </c>
      <c r="F16" s="440">
        <v>1001010001</v>
      </c>
      <c r="G16" s="440" t="s">
        <v>632</v>
      </c>
      <c r="U16" s="965"/>
      <c r="V16" s="966"/>
      <c r="W16" s="966"/>
      <c r="X16" s="966"/>
      <c r="Y16" s="966"/>
      <c r="Z16" s="966"/>
      <c r="AA16" s="966"/>
      <c r="AB16" s="967"/>
    </row>
    <row r="17" spans="1:28">
      <c r="A17" s="440">
        <v>4700410673</v>
      </c>
      <c r="B17" s="440">
        <v>6100024639</v>
      </c>
      <c r="C17" s="440" t="s">
        <v>631</v>
      </c>
      <c r="D17" s="444">
        <v>43905</v>
      </c>
      <c r="E17" s="445">
        <v>19791</v>
      </c>
      <c r="F17" s="440">
        <v>1001010001</v>
      </c>
      <c r="G17" s="440" t="s">
        <v>632</v>
      </c>
      <c r="U17" s="968"/>
      <c r="V17" s="969"/>
      <c r="W17" s="969"/>
      <c r="X17" s="969"/>
      <c r="Y17" s="969"/>
      <c r="Z17" s="969"/>
      <c r="AA17" s="969"/>
      <c r="AB17" s="970"/>
    </row>
    <row r="18" spans="1:28">
      <c r="A18" s="440">
        <v>4700410673</v>
      </c>
      <c r="B18" s="440">
        <v>6100024639</v>
      </c>
      <c r="C18" s="440" t="s">
        <v>631</v>
      </c>
      <c r="D18" s="444">
        <v>43905</v>
      </c>
      <c r="E18" s="445">
        <v>5714</v>
      </c>
      <c r="F18" s="440">
        <v>1001010001</v>
      </c>
      <c r="G18" s="440" t="s">
        <v>632</v>
      </c>
    </row>
    <row r="19" spans="1:28">
      <c r="A19" s="440">
        <v>4700417108</v>
      </c>
      <c r="B19" s="440">
        <v>6100036989</v>
      </c>
      <c r="C19" s="440" t="s">
        <v>631</v>
      </c>
      <c r="D19" s="444">
        <v>43942</v>
      </c>
      <c r="E19" s="445">
        <v>3530</v>
      </c>
      <c r="F19" s="440">
        <v>1001010001</v>
      </c>
      <c r="G19" s="440" t="s">
        <v>632</v>
      </c>
    </row>
    <row r="20" spans="1:28">
      <c r="A20" s="440">
        <v>4700417108</v>
      </c>
      <c r="B20" s="440">
        <v>6100036989</v>
      </c>
      <c r="C20" s="440" t="s">
        <v>631</v>
      </c>
      <c r="D20" s="444">
        <v>43942</v>
      </c>
      <c r="E20" s="445">
        <v>5546</v>
      </c>
      <c r="F20" s="440">
        <v>1001010001</v>
      </c>
      <c r="G20" s="440" t="s">
        <v>632</v>
      </c>
    </row>
    <row r="21" spans="1:28">
      <c r="A21" s="440">
        <v>4700417108</v>
      </c>
      <c r="B21" s="440">
        <v>6100036989</v>
      </c>
      <c r="C21" s="440" t="s">
        <v>631</v>
      </c>
      <c r="D21" s="444">
        <v>43942</v>
      </c>
      <c r="E21" s="445">
        <v>65547</v>
      </c>
      <c r="F21" s="440">
        <v>1001010001</v>
      </c>
      <c r="G21" s="440" t="s">
        <v>632</v>
      </c>
    </row>
    <row r="22" spans="1:28">
      <c r="A22" s="440">
        <v>4700417108</v>
      </c>
      <c r="B22" s="440">
        <v>6100036989</v>
      </c>
      <c r="C22" s="440" t="s">
        <v>631</v>
      </c>
      <c r="D22" s="444">
        <v>43942</v>
      </c>
      <c r="E22" s="445">
        <v>35800</v>
      </c>
      <c r="F22" s="440">
        <v>1001010001</v>
      </c>
      <c r="G22" s="440" t="s">
        <v>632</v>
      </c>
    </row>
    <row r="23" spans="1:28">
      <c r="A23" s="440">
        <v>4700417108</v>
      </c>
      <c r="B23" s="440">
        <v>6100036989</v>
      </c>
      <c r="C23" s="440" t="s">
        <v>631</v>
      </c>
      <c r="D23" s="444">
        <v>43942</v>
      </c>
      <c r="E23" s="445">
        <v>11764</v>
      </c>
      <c r="F23" s="440">
        <v>1001010001</v>
      </c>
      <c r="G23" s="440" t="s">
        <v>632</v>
      </c>
    </row>
    <row r="24" spans="1:28">
      <c r="A24" s="440">
        <v>4700417108</v>
      </c>
      <c r="B24" s="440">
        <v>6100036989</v>
      </c>
      <c r="C24" s="440" t="s">
        <v>631</v>
      </c>
      <c r="D24" s="444">
        <v>43942</v>
      </c>
      <c r="E24" s="445">
        <v>5042</v>
      </c>
      <c r="F24" s="440">
        <v>1001010001</v>
      </c>
      <c r="G24" s="440" t="s">
        <v>632</v>
      </c>
    </row>
    <row r="25" spans="1:28">
      <c r="A25" s="440">
        <v>4700417108</v>
      </c>
      <c r="B25" s="440">
        <v>6100036989</v>
      </c>
      <c r="C25" s="440" t="s">
        <v>631</v>
      </c>
      <c r="D25" s="444">
        <v>43942</v>
      </c>
      <c r="E25" s="445">
        <v>21176</v>
      </c>
      <c r="F25" s="440">
        <v>1001010001</v>
      </c>
      <c r="G25" s="440" t="s">
        <v>632</v>
      </c>
    </row>
    <row r="26" spans="1:28">
      <c r="A26" s="440">
        <v>4700417108</v>
      </c>
      <c r="B26" s="440">
        <v>6100036989</v>
      </c>
      <c r="C26" s="440" t="s">
        <v>631</v>
      </c>
      <c r="D26" s="444">
        <v>43942</v>
      </c>
      <c r="E26" s="445">
        <v>19788</v>
      </c>
      <c r="F26" s="440">
        <v>1001010001</v>
      </c>
      <c r="G26" s="440" t="s">
        <v>632</v>
      </c>
    </row>
    <row r="27" spans="1:28">
      <c r="A27" s="440">
        <v>4700425170</v>
      </c>
      <c r="B27" s="440">
        <v>6100049373</v>
      </c>
      <c r="C27" s="440" t="s">
        <v>631</v>
      </c>
      <c r="D27" s="444">
        <v>43973</v>
      </c>
      <c r="E27" s="445">
        <v>1848</v>
      </c>
      <c r="F27" s="440">
        <v>1001010001</v>
      </c>
      <c r="G27" s="440" t="s">
        <v>632</v>
      </c>
    </row>
    <row r="28" spans="1:28">
      <c r="A28" s="440">
        <v>4700425170</v>
      </c>
      <c r="B28" s="440">
        <v>6100049373</v>
      </c>
      <c r="C28" s="440" t="s">
        <v>631</v>
      </c>
      <c r="D28" s="444">
        <v>43973</v>
      </c>
      <c r="E28" s="445">
        <v>31592</v>
      </c>
      <c r="F28" s="440">
        <v>1001010001</v>
      </c>
      <c r="G28" s="440" t="s">
        <v>632</v>
      </c>
    </row>
    <row r="29" spans="1:28">
      <c r="A29" s="440">
        <v>4700425170</v>
      </c>
      <c r="B29" s="440">
        <v>6100049373</v>
      </c>
      <c r="C29" s="440" t="s">
        <v>631</v>
      </c>
      <c r="D29" s="444">
        <v>43973</v>
      </c>
      <c r="E29" s="445">
        <v>44040</v>
      </c>
      <c r="F29" s="440">
        <v>1001010001</v>
      </c>
      <c r="G29" s="440" t="s">
        <v>632</v>
      </c>
    </row>
    <row r="30" spans="1:28">
      <c r="A30" s="440">
        <v>4700425170</v>
      </c>
      <c r="B30" s="440">
        <v>6100049373</v>
      </c>
      <c r="C30" s="440" t="s">
        <v>631</v>
      </c>
      <c r="D30" s="444">
        <v>43973</v>
      </c>
      <c r="E30" s="445">
        <v>23100</v>
      </c>
      <c r="F30" s="440">
        <v>1001010001</v>
      </c>
      <c r="G30" s="440" t="s">
        <v>632</v>
      </c>
    </row>
    <row r="31" spans="1:28">
      <c r="A31" s="440">
        <v>4700425170</v>
      </c>
      <c r="B31" s="440">
        <v>6100049373</v>
      </c>
      <c r="C31" s="440" t="s">
        <v>631</v>
      </c>
      <c r="D31" s="444">
        <v>43973</v>
      </c>
      <c r="E31" s="445">
        <v>11000</v>
      </c>
      <c r="F31" s="440">
        <v>1001010001</v>
      </c>
      <c r="G31" s="440" t="s">
        <v>632</v>
      </c>
    </row>
    <row r="32" spans="1:28">
      <c r="A32" s="440">
        <v>4700425170</v>
      </c>
      <c r="B32" s="440">
        <v>6100049373</v>
      </c>
      <c r="C32" s="440" t="s">
        <v>631</v>
      </c>
      <c r="D32" s="444">
        <v>43973</v>
      </c>
      <c r="E32" s="445">
        <v>5100</v>
      </c>
      <c r="F32" s="440">
        <v>1001010001</v>
      </c>
      <c r="G32" s="440" t="s">
        <v>632</v>
      </c>
    </row>
    <row r="33" spans="1:7">
      <c r="A33" s="440">
        <v>4700435259</v>
      </c>
      <c r="B33" s="440">
        <v>6100057594</v>
      </c>
      <c r="C33" s="440" t="s">
        <v>631</v>
      </c>
      <c r="D33" s="444">
        <v>44000</v>
      </c>
      <c r="E33" s="445">
        <v>21300</v>
      </c>
      <c r="F33" s="440">
        <v>1001010001</v>
      </c>
      <c r="G33" s="440" t="s">
        <v>632</v>
      </c>
    </row>
    <row r="34" spans="1:7">
      <c r="A34" s="440">
        <v>4700435259</v>
      </c>
      <c r="B34" s="440">
        <v>6100057594</v>
      </c>
      <c r="C34" s="440" t="s">
        <v>631</v>
      </c>
      <c r="D34" s="444">
        <v>44000</v>
      </c>
      <c r="E34" s="445">
        <v>12984</v>
      </c>
      <c r="F34" s="440">
        <v>1001010001</v>
      </c>
      <c r="G34" s="440" t="s">
        <v>632</v>
      </c>
    </row>
    <row r="35" spans="1:7">
      <c r="A35" s="440">
        <v>4700435259</v>
      </c>
      <c r="B35" s="440">
        <v>6100057594</v>
      </c>
      <c r="C35" s="440" t="s">
        <v>631</v>
      </c>
      <c r="D35" s="444">
        <v>44000</v>
      </c>
      <c r="E35" s="445">
        <v>5100</v>
      </c>
      <c r="F35" s="440">
        <v>1001010001</v>
      </c>
      <c r="G35" s="440" t="s">
        <v>632</v>
      </c>
    </row>
    <row r="36" spans="1:7">
      <c r="A36" s="440">
        <v>4700435259</v>
      </c>
      <c r="B36" s="440">
        <v>6100057594</v>
      </c>
      <c r="C36" s="440" t="s">
        <v>631</v>
      </c>
      <c r="D36" s="444">
        <v>44000</v>
      </c>
      <c r="E36" s="445">
        <v>2772</v>
      </c>
      <c r="F36" s="440">
        <v>1001010001</v>
      </c>
      <c r="G36" s="440" t="s">
        <v>632</v>
      </c>
    </row>
    <row r="37" spans="1:7">
      <c r="A37" s="440">
        <v>4700435259</v>
      </c>
      <c r="B37" s="440">
        <v>6100057594</v>
      </c>
      <c r="C37" s="440" t="s">
        <v>631</v>
      </c>
      <c r="D37" s="444">
        <v>44000</v>
      </c>
      <c r="E37" s="445">
        <v>5400</v>
      </c>
      <c r="F37" s="440">
        <v>1001010001</v>
      </c>
      <c r="G37" s="440" t="s">
        <v>632</v>
      </c>
    </row>
    <row r="38" spans="1:7">
      <c r="A38" s="440">
        <v>4700445821</v>
      </c>
      <c r="B38" s="440">
        <v>6100064430</v>
      </c>
      <c r="C38" s="440" t="s">
        <v>631</v>
      </c>
      <c r="D38" s="444">
        <v>44028</v>
      </c>
      <c r="E38" s="445">
        <v>6399</v>
      </c>
      <c r="F38" s="440">
        <v>1001010001</v>
      </c>
      <c r="G38" s="440" t="s">
        <v>632</v>
      </c>
    </row>
    <row r="39" spans="1:7">
      <c r="A39" s="440">
        <v>4700445821</v>
      </c>
      <c r="B39" s="440">
        <v>6100064430</v>
      </c>
      <c r="C39" s="440" t="s">
        <v>631</v>
      </c>
      <c r="D39" s="444">
        <v>44028</v>
      </c>
      <c r="E39" s="445">
        <v>35800</v>
      </c>
      <c r="F39" s="440">
        <v>1001010001</v>
      </c>
      <c r="G39" s="440" t="s">
        <v>632</v>
      </c>
    </row>
    <row r="40" spans="1:7">
      <c r="A40" s="440">
        <v>4700445821</v>
      </c>
      <c r="B40" s="440">
        <v>6100064430</v>
      </c>
      <c r="C40" s="440" t="s">
        <v>631</v>
      </c>
      <c r="D40" s="444">
        <v>44028</v>
      </c>
      <c r="E40" s="445">
        <v>23600</v>
      </c>
      <c r="F40" s="440">
        <v>1001010001</v>
      </c>
      <c r="G40" s="440" t="s">
        <v>632</v>
      </c>
    </row>
    <row r="41" spans="1:7">
      <c r="A41" s="440">
        <v>4700445821</v>
      </c>
      <c r="B41" s="440">
        <v>6100064430</v>
      </c>
      <c r="C41" s="440" t="s">
        <v>631</v>
      </c>
      <c r="D41" s="444">
        <v>44028</v>
      </c>
      <c r="E41" s="445">
        <v>15966</v>
      </c>
      <c r="F41" s="440">
        <v>1001010001</v>
      </c>
      <c r="G41" s="440" t="s">
        <v>632</v>
      </c>
    </row>
    <row r="42" spans="1:7">
      <c r="A42" s="440">
        <v>4700445821</v>
      </c>
      <c r="B42" s="440">
        <v>6100064430</v>
      </c>
      <c r="C42" s="440" t="s">
        <v>631</v>
      </c>
      <c r="D42" s="444">
        <v>44028</v>
      </c>
      <c r="E42" s="445">
        <v>5100</v>
      </c>
      <c r="F42" s="440">
        <v>1001010001</v>
      </c>
      <c r="G42" s="440" t="s">
        <v>632</v>
      </c>
    </row>
    <row r="43" spans="1:7">
      <c r="A43" s="440">
        <v>4700445821</v>
      </c>
      <c r="B43" s="440">
        <v>6100064430</v>
      </c>
      <c r="C43" s="440" t="s">
        <v>631</v>
      </c>
      <c r="D43" s="444">
        <v>44028</v>
      </c>
      <c r="E43" s="445">
        <v>4300</v>
      </c>
      <c r="F43" s="440">
        <v>1001010001</v>
      </c>
      <c r="G43" s="440" t="s">
        <v>632</v>
      </c>
    </row>
    <row r="44" spans="1:7">
      <c r="A44" s="440">
        <v>4700459531</v>
      </c>
      <c r="B44" s="440">
        <v>6100072924</v>
      </c>
      <c r="C44" s="440" t="s">
        <v>631</v>
      </c>
      <c r="D44" s="444">
        <v>44063</v>
      </c>
      <c r="E44" s="445">
        <v>20100</v>
      </c>
      <c r="F44" s="440">
        <v>1001010001</v>
      </c>
      <c r="G44" s="440" t="s">
        <v>632</v>
      </c>
    </row>
    <row r="45" spans="1:7">
      <c r="A45" s="440">
        <v>4700459531</v>
      </c>
      <c r="B45" s="440">
        <v>6100072924</v>
      </c>
      <c r="C45" s="440" t="s">
        <v>631</v>
      </c>
      <c r="D45" s="444">
        <v>44063</v>
      </c>
      <c r="E45" s="445">
        <v>53700</v>
      </c>
      <c r="F45" s="440">
        <v>1001010001</v>
      </c>
      <c r="G45" s="440" t="s">
        <v>632</v>
      </c>
    </row>
    <row r="46" spans="1:7">
      <c r="A46" s="440">
        <v>4700459531</v>
      </c>
      <c r="B46" s="440">
        <v>6100072924</v>
      </c>
      <c r="C46" s="440" t="s">
        <v>631</v>
      </c>
      <c r="D46" s="444">
        <v>44063</v>
      </c>
      <c r="E46" s="445">
        <v>4300</v>
      </c>
      <c r="F46" s="440">
        <v>1001010001</v>
      </c>
      <c r="G46" s="440" t="s">
        <v>632</v>
      </c>
    </row>
    <row r="47" spans="1:7">
      <c r="A47" s="440">
        <v>4700459531</v>
      </c>
      <c r="B47" s="440">
        <v>6100072924</v>
      </c>
      <c r="C47" s="440" t="s">
        <v>631</v>
      </c>
      <c r="D47" s="444">
        <v>44063</v>
      </c>
      <c r="E47" s="445">
        <v>5100</v>
      </c>
      <c r="F47" s="440">
        <v>1001010001</v>
      </c>
      <c r="G47" s="440" t="s">
        <v>632</v>
      </c>
    </row>
    <row r="48" spans="1:7">
      <c r="A48" s="440">
        <v>4700475424</v>
      </c>
      <c r="B48" s="440">
        <v>6100084560</v>
      </c>
      <c r="C48" s="440" t="s">
        <v>631</v>
      </c>
      <c r="D48" s="444">
        <v>44095</v>
      </c>
      <c r="E48" s="445">
        <v>44500</v>
      </c>
      <c r="F48" s="440">
        <v>1001010001</v>
      </c>
      <c r="G48" s="440" t="s">
        <v>632</v>
      </c>
    </row>
    <row r="49" spans="1:7">
      <c r="A49" s="440">
        <v>4700475424</v>
      </c>
      <c r="B49" s="440">
        <v>6100084560</v>
      </c>
      <c r="C49" s="440" t="s">
        <v>631</v>
      </c>
      <c r="D49" s="444">
        <v>44095</v>
      </c>
      <c r="E49" s="445">
        <v>1100</v>
      </c>
      <c r="F49" s="440">
        <v>1001010001</v>
      </c>
      <c r="G49" s="440" t="s">
        <v>632</v>
      </c>
    </row>
    <row r="50" spans="1:7">
      <c r="A50" s="440">
        <v>4700475424</v>
      </c>
      <c r="B50" s="440">
        <v>6100084560</v>
      </c>
      <c r="C50" s="440" t="s">
        <v>631</v>
      </c>
      <c r="D50" s="444">
        <v>44095</v>
      </c>
      <c r="E50" s="445">
        <v>33024</v>
      </c>
      <c r="F50" s="440">
        <v>1001010001</v>
      </c>
      <c r="G50" s="440" t="s">
        <v>632</v>
      </c>
    </row>
    <row r="51" spans="1:7">
      <c r="A51" s="440">
        <v>4700475424</v>
      </c>
      <c r="B51" s="440">
        <v>6100084560</v>
      </c>
      <c r="C51" s="440" t="s">
        <v>631</v>
      </c>
      <c r="D51" s="444">
        <v>44095</v>
      </c>
      <c r="E51" s="445">
        <v>20100</v>
      </c>
      <c r="F51" s="440">
        <v>1001010001</v>
      </c>
      <c r="G51" s="440" t="s">
        <v>632</v>
      </c>
    </row>
    <row r="52" spans="1:7">
      <c r="A52" s="440">
        <v>4700475424</v>
      </c>
      <c r="B52" s="440">
        <v>6100084560</v>
      </c>
      <c r="C52" s="440" t="s">
        <v>631</v>
      </c>
      <c r="D52" s="444">
        <v>44095</v>
      </c>
      <c r="E52" s="445">
        <v>5400</v>
      </c>
      <c r="F52" s="440">
        <v>1001010001</v>
      </c>
      <c r="G52" s="440" t="s">
        <v>632</v>
      </c>
    </row>
    <row r="53" spans="1:7">
      <c r="A53" s="440">
        <v>4700475424</v>
      </c>
      <c r="B53" s="440">
        <v>6100084560</v>
      </c>
      <c r="C53" s="440" t="s">
        <v>631</v>
      </c>
      <c r="D53" s="444">
        <v>44095</v>
      </c>
      <c r="E53" s="445">
        <v>1700</v>
      </c>
      <c r="F53" s="440">
        <v>1001010001</v>
      </c>
      <c r="G53" s="440" t="s">
        <v>632</v>
      </c>
    </row>
    <row r="54" spans="1:7">
      <c r="A54" s="440">
        <v>4700491528</v>
      </c>
      <c r="B54" s="440">
        <v>6100104737</v>
      </c>
      <c r="C54" s="440" t="s">
        <v>631</v>
      </c>
      <c r="D54" s="444">
        <v>44132</v>
      </c>
      <c r="E54" s="445">
        <v>1900</v>
      </c>
      <c r="F54" s="440">
        <v>1001010001</v>
      </c>
      <c r="G54" s="440" t="s">
        <v>632</v>
      </c>
    </row>
    <row r="55" spans="1:7">
      <c r="A55" s="440">
        <v>4700491528</v>
      </c>
      <c r="B55" s="440">
        <v>6100104737</v>
      </c>
      <c r="C55" s="440" t="s">
        <v>631</v>
      </c>
      <c r="D55" s="444">
        <v>44132</v>
      </c>
      <c r="E55" s="445">
        <v>18400</v>
      </c>
      <c r="F55" s="440">
        <v>1001010001</v>
      </c>
      <c r="G55" s="440" t="s">
        <v>632</v>
      </c>
    </row>
    <row r="56" spans="1:7">
      <c r="A56" s="440">
        <v>4700491528</v>
      </c>
      <c r="B56" s="440">
        <v>6100104737</v>
      </c>
      <c r="C56" s="440" t="s">
        <v>631</v>
      </c>
      <c r="D56" s="444">
        <v>44132</v>
      </c>
      <c r="E56" s="445">
        <v>29745</v>
      </c>
      <c r="F56" s="440">
        <v>1001010001</v>
      </c>
      <c r="G56" s="440" t="s">
        <v>632</v>
      </c>
    </row>
    <row r="57" spans="1:7">
      <c r="A57" s="440">
        <v>4700491528</v>
      </c>
      <c r="B57" s="440">
        <v>6100104737</v>
      </c>
      <c r="C57" s="440" t="s">
        <v>631</v>
      </c>
      <c r="D57" s="444">
        <v>44132</v>
      </c>
      <c r="E57" s="445">
        <v>53700</v>
      </c>
      <c r="F57" s="440">
        <v>1001010001</v>
      </c>
      <c r="G57" s="440" t="s">
        <v>632</v>
      </c>
    </row>
    <row r="58" spans="1:7">
      <c r="A58" s="440">
        <v>4700491528</v>
      </c>
      <c r="B58" s="440">
        <v>6100104737</v>
      </c>
      <c r="C58" s="440" t="s">
        <v>631</v>
      </c>
      <c r="D58" s="444">
        <v>44132</v>
      </c>
      <c r="E58" s="445">
        <v>4950</v>
      </c>
      <c r="F58" s="440">
        <v>1001010001</v>
      </c>
      <c r="G58" s="440" t="s">
        <v>632</v>
      </c>
    </row>
    <row r="59" spans="1:7">
      <c r="A59" s="440">
        <v>4700491528</v>
      </c>
      <c r="B59" s="440">
        <v>6100104737</v>
      </c>
      <c r="C59" s="440" t="s">
        <v>631</v>
      </c>
      <c r="D59" s="444">
        <v>44132</v>
      </c>
      <c r="E59" s="445">
        <v>10800</v>
      </c>
      <c r="F59" s="440">
        <v>1001010001</v>
      </c>
      <c r="G59" s="440" t="s">
        <v>632</v>
      </c>
    </row>
    <row r="60" spans="1:7">
      <c r="A60" s="440">
        <v>4700491542</v>
      </c>
      <c r="B60" s="440">
        <v>6100104739</v>
      </c>
      <c r="C60" s="440" t="s">
        <v>631</v>
      </c>
      <c r="D60" s="444">
        <v>44132</v>
      </c>
      <c r="E60" s="445">
        <v>49050</v>
      </c>
      <c r="F60" s="440">
        <v>1001010001</v>
      </c>
      <c r="G60" s="440" t="s">
        <v>632</v>
      </c>
    </row>
    <row r="61" spans="1:7">
      <c r="A61" s="440">
        <v>4700500087</v>
      </c>
      <c r="B61" s="440">
        <v>6100118218</v>
      </c>
      <c r="C61" s="440" t="s">
        <v>631</v>
      </c>
      <c r="D61" s="444">
        <v>44153</v>
      </c>
      <c r="E61" s="445">
        <v>3067</v>
      </c>
      <c r="F61" s="440">
        <v>1001010001</v>
      </c>
      <c r="G61" s="440" t="s">
        <v>632</v>
      </c>
    </row>
    <row r="62" spans="1:7">
      <c r="A62" s="440">
        <v>4700500087</v>
      </c>
      <c r="B62" s="440">
        <v>6100118218</v>
      </c>
      <c r="C62" s="440" t="s">
        <v>631</v>
      </c>
      <c r="D62" s="444">
        <v>44153</v>
      </c>
      <c r="E62" s="445">
        <v>9200</v>
      </c>
      <c r="F62" s="440">
        <v>1001010001</v>
      </c>
      <c r="G62" s="440" t="s">
        <v>632</v>
      </c>
    </row>
    <row r="63" spans="1:7">
      <c r="A63" s="440">
        <v>4700500087</v>
      </c>
      <c r="B63" s="440">
        <v>6100118218</v>
      </c>
      <c r="C63" s="440" t="s">
        <v>631</v>
      </c>
      <c r="D63" s="444">
        <v>44153</v>
      </c>
      <c r="E63" s="445">
        <v>5300</v>
      </c>
      <c r="F63" s="440">
        <v>1001010001</v>
      </c>
      <c r="G63" s="440" t="s">
        <v>632</v>
      </c>
    </row>
    <row r="64" spans="1:7">
      <c r="A64" s="440">
        <v>4700500087</v>
      </c>
      <c r="B64" s="440">
        <v>6100118218</v>
      </c>
      <c r="C64" s="440" t="s">
        <v>631</v>
      </c>
      <c r="D64" s="444">
        <v>44153</v>
      </c>
      <c r="E64" s="445">
        <v>31764</v>
      </c>
      <c r="F64" s="440">
        <v>1001010001</v>
      </c>
      <c r="G64" s="440" t="s">
        <v>632</v>
      </c>
    </row>
    <row r="65" spans="1:7">
      <c r="A65" s="440">
        <v>4700500087</v>
      </c>
      <c r="B65" s="440">
        <v>6100118218</v>
      </c>
      <c r="C65" s="440" t="s">
        <v>631</v>
      </c>
      <c r="D65" s="444">
        <v>44153</v>
      </c>
      <c r="E65" s="445">
        <v>9500</v>
      </c>
      <c r="F65" s="440">
        <v>1001010001</v>
      </c>
      <c r="G65" s="440" t="s">
        <v>632</v>
      </c>
    </row>
    <row r="66" spans="1:7">
      <c r="A66" s="440">
        <v>4700500087</v>
      </c>
      <c r="B66" s="440">
        <v>6100118218</v>
      </c>
      <c r="C66" s="440" t="s">
        <v>631</v>
      </c>
      <c r="D66" s="444">
        <v>44153</v>
      </c>
      <c r="E66" s="445">
        <v>4370</v>
      </c>
      <c r="F66" s="440">
        <v>1001010001</v>
      </c>
      <c r="G66" s="440" t="s">
        <v>632</v>
      </c>
    </row>
    <row r="67" spans="1:7">
      <c r="A67" s="440">
        <v>4700500087</v>
      </c>
      <c r="B67" s="440">
        <v>6100118218</v>
      </c>
      <c r="C67" s="440" t="s">
        <v>631</v>
      </c>
      <c r="D67" s="444">
        <v>44153</v>
      </c>
      <c r="E67" s="445">
        <v>33024</v>
      </c>
      <c r="F67" s="440">
        <v>1001010001</v>
      </c>
      <c r="G67" s="440" t="s">
        <v>632</v>
      </c>
    </row>
    <row r="68" spans="1:7">
      <c r="A68" s="440">
        <v>4700510574</v>
      </c>
      <c r="B68" s="440">
        <v>6100130260</v>
      </c>
      <c r="C68" s="440" t="s">
        <v>631</v>
      </c>
      <c r="D68" s="444">
        <v>44170</v>
      </c>
      <c r="E68" s="445">
        <v>9200</v>
      </c>
      <c r="F68" s="440">
        <v>1001010001</v>
      </c>
      <c r="G68" s="440" t="s">
        <v>632</v>
      </c>
    </row>
    <row r="69" spans="1:7">
      <c r="A69" s="440">
        <v>4700510574</v>
      </c>
      <c r="B69" s="440">
        <v>6100130260</v>
      </c>
      <c r="C69" s="440" t="s">
        <v>631</v>
      </c>
      <c r="D69" s="444">
        <v>44170</v>
      </c>
      <c r="E69" s="445">
        <v>33500</v>
      </c>
      <c r="F69" s="440">
        <v>1001010001</v>
      </c>
      <c r="G69" s="440" t="s">
        <v>632</v>
      </c>
    </row>
    <row r="70" spans="1:7">
      <c r="A70" s="440">
        <v>4700510574</v>
      </c>
      <c r="B70" s="440">
        <v>6100130260</v>
      </c>
      <c r="C70" s="440" t="s">
        <v>631</v>
      </c>
      <c r="D70" s="444">
        <v>44170</v>
      </c>
      <c r="E70" s="445">
        <v>32940</v>
      </c>
      <c r="F70" s="440">
        <v>1001010001</v>
      </c>
      <c r="G70" s="440" t="s">
        <v>632</v>
      </c>
    </row>
    <row r="71" spans="1:7">
      <c r="A71" s="440">
        <v>4700510574</v>
      </c>
      <c r="B71" s="440">
        <v>6100130260</v>
      </c>
      <c r="C71" s="440" t="s">
        <v>631</v>
      </c>
      <c r="D71" s="444">
        <v>44170</v>
      </c>
      <c r="E71" s="445">
        <v>53700</v>
      </c>
      <c r="F71" s="440">
        <v>1001010001</v>
      </c>
      <c r="G71" s="440" t="s">
        <v>632</v>
      </c>
    </row>
    <row r="72" spans="1:7">
      <c r="A72" s="440">
        <v>4700526017</v>
      </c>
      <c r="B72" s="440">
        <v>6100005258</v>
      </c>
      <c r="C72" s="440" t="s">
        <v>631</v>
      </c>
      <c r="D72" s="444">
        <v>44211</v>
      </c>
      <c r="E72" s="445">
        <v>9200</v>
      </c>
      <c r="F72" s="440">
        <v>1001010001</v>
      </c>
      <c r="G72" s="440" t="s">
        <v>632</v>
      </c>
    </row>
    <row r="73" spans="1:7">
      <c r="A73" s="440">
        <v>4700526017</v>
      </c>
      <c r="B73" s="440">
        <v>6100005258</v>
      </c>
      <c r="C73" s="440" t="s">
        <v>631</v>
      </c>
      <c r="D73" s="444">
        <v>44211</v>
      </c>
      <c r="E73" s="445">
        <v>20100</v>
      </c>
      <c r="F73" s="440">
        <v>1001010001</v>
      </c>
      <c r="G73" s="440" t="s">
        <v>632</v>
      </c>
    </row>
    <row r="74" spans="1:7">
      <c r="A74" s="440">
        <v>4700526017</v>
      </c>
      <c r="B74" s="440">
        <v>6100005258</v>
      </c>
      <c r="C74" s="440" t="s">
        <v>631</v>
      </c>
      <c r="D74" s="444">
        <v>44211</v>
      </c>
      <c r="E74" s="445">
        <v>21300</v>
      </c>
      <c r="F74" s="440">
        <v>1001010001</v>
      </c>
      <c r="G74" s="440" t="s">
        <v>632</v>
      </c>
    </row>
    <row r="75" spans="1:7">
      <c r="A75" s="440">
        <v>4700526017</v>
      </c>
      <c r="B75" s="440">
        <v>6100005258</v>
      </c>
      <c r="C75" s="440" t="s">
        <v>631</v>
      </c>
      <c r="D75" s="444">
        <v>44211</v>
      </c>
      <c r="E75" s="445">
        <v>26850</v>
      </c>
      <c r="F75" s="440">
        <v>1001010001</v>
      </c>
      <c r="G75" s="440" t="s">
        <v>632</v>
      </c>
    </row>
    <row r="76" spans="1:7">
      <c r="A76" s="440">
        <v>4700526017</v>
      </c>
      <c r="B76" s="440">
        <v>6100005258</v>
      </c>
      <c r="C76" s="440" t="s">
        <v>631</v>
      </c>
      <c r="D76" s="444">
        <v>44211</v>
      </c>
      <c r="E76" s="445">
        <v>65547</v>
      </c>
      <c r="F76" s="440">
        <v>1001010001</v>
      </c>
      <c r="G76" s="440" t="s">
        <v>632</v>
      </c>
    </row>
    <row r="77" spans="1:7">
      <c r="A77" s="440">
        <v>4700542876</v>
      </c>
      <c r="B77" s="440">
        <v>6100017450</v>
      </c>
      <c r="C77" s="440" t="s">
        <v>631</v>
      </c>
      <c r="D77" s="444">
        <v>44242</v>
      </c>
      <c r="E77" s="445">
        <v>9200</v>
      </c>
      <c r="F77" s="440">
        <v>1001010001</v>
      </c>
      <c r="G77" s="440" t="s">
        <v>632</v>
      </c>
    </row>
    <row r="78" spans="1:7">
      <c r="A78" s="440">
        <v>4700542876</v>
      </c>
      <c r="B78" s="440">
        <v>6100017450</v>
      </c>
      <c r="C78" s="440" t="s">
        <v>631</v>
      </c>
      <c r="D78" s="444">
        <v>44242</v>
      </c>
      <c r="E78" s="445">
        <v>20100</v>
      </c>
      <c r="F78" s="440">
        <v>1001010001</v>
      </c>
      <c r="G78" s="440" t="s">
        <v>632</v>
      </c>
    </row>
    <row r="79" spans="1:7">
      <c r="A79" s="440">
        <v>4700542876</v>
      </c>
      <c r="B79" s="440">
        <v>6100017450</v>
      </c>
      <c r="C79" s="440" t="s">
        <v>631</v>
      </c>
      <c r="D79" s="444">
        <v>44242</v>
      </c>
      <c r="E79" s="445">
        <v>26850</v>
      </c>
      <c r="F79" s="440">
        <v>1001010001</v>
      </c>
      <c r="G79" s="440" t="s">
        <v>632</v>
      </c>
    </row>
    <row r="80" spans="1:7">
      <c r="A80" s="440">
        <v>4700557127</v>
      </c>
      <c r="B80" s="440">
        <v>6100024577</v>
      </c>
      <c r="C80" s="440" t="s">
        <v>631</v>
      </c>
      <c r="D80" s="444">
        <v>44267</v>
      </c>
      <c r="E80" s="445">
        <v>9200</v>
      </c>
      <c r="F80" s="440">
        <v>1001010001</v>
      </c>
      <c r="G80" s="440" t="s">
        <v>632</v>
      </c>
    </row>
    <row r="81" spans="1:7">
      <c r="A81" s="440">
        <v>4700557127</v>
      </c>
      <c r="B81" s="440">
        <v>6100024577</v>
      </c>
      <c r="C81" s="440" t="s">
        <v>631</v>
      </c>
      <c r="D81" s="444">
        <v>44267</v>
      </c>
      <c r="E81" s="445">
        <v>10600</v>
      </c>
      <c r="F81" s="440">
        <v>1001010001</v>
      </c>
      <c r="G81" s="440" t="s">
        <v>632</v>
      </c>
    </row>
    <row r="82" spans="1:7">
      <c r="A82" s="440">
        <v>4700557127</v>
      </c>
      <c r="B82" s="440">
        <v>6100024577</v>
      </c>
      <c r="C82" s="440" t="s">
        <v>631</v>
      </c>
      <c r="D82" s="444">
        <v>44267</v>
      </c>
      <c r="E82" s="445">
        <v>31850</v>
      </c>
      <c r="F82" s="440">
        <v>1001010001</v>
      </c>
      <c r="G82" s="440" t="s">
        <v>632</v>
      </c>
    </row>
    <row r="83" spans="1:7">
      <c r="A83" s="440">
        <v>4700557127</v>
      </c>
      <c r="B83" s="440">
        <v>6100024577</v>
      </c>
      <c r="C83" s="440" t="s">
        <v>631</v>
      </c>
      <c r="D83" s="444">
        <v>44267</v>
      </c>
      <c r="E83" s="445">
        <v>19287</v>
      </c>
      <c r="F83" s="440">
        <v>1001010001</v>
      </c>
      <c r="G83" s="440" t="s">
        <v>632</v>
      </c>
    </row>
    <row r="84" spans="1:7">
      <c r="A84" s="440">
        <v>4700557153</v>
      </c>
      <c r="B84" s="440">
        <v>6100024580</v>
      </c>
      <c r="C84" s="440" t="s">
        <v>631</v>
      </c>
      <c r="D84" s="444">
        <v>44267</v>
      </c>
      <c r="E84" s="445">
        <v>32940</v>
      </c>
      <c r="F84" s="440">
        <v>1001010001</v>
      </c>
      <c r="G84" s="440" t="s">
        <v>632</v>
      </c>
    </row>
    <row r="85" spans="1:7">
      <c r="A85" s="440">
        <v>4700569267</v>
      </c>
      <c r="B85" s="440">
        <v>6100030321</v>
      </c>
      <c r="C85" s="440" t="s">
        <v>631</v>
      </c>
      <c r="D85" s="444">
        <v>44295</v>
      </c>
      <c r="E85" s="445">
        <v>9200</v>
      </c>
      <c r="F85" s="440">
        <v>1001010001</v>
      </c>
      <c r="G85" s="440" t="s">
        <v>632</v>
      </c>
    </row>
    <row r="86" spans="1:7">
      <c r="A86" s="440">
        <v>4700569267</v>
      </c>
      <c r="B86" s="440">
        <v>6100030321</v>
      </c>
      <c r="C86" s="440" t="s">
        <v>631</v>
      </c>
      <c r="D86" s="444">
        <v>44295</v>
      </c>
      <c r="E86" s="445">
        <v>6150</v>
      </c>
      <c r="F86" s="440">
        <v>1001010001</v>
      </c>
      <c r="G86" s="440" t="s">
        <v>632</v>
      </c>
    </row>
    <row r="87" spans="1:7">
      <c r="A87" s="440">
        <v>4700569267</v>
      </c>
      <c r="B87" s="440">
        <v>6100030321</v>
      </c>
      <c r="C87" s="440" t="s">
        <v>631</v>
      </c>
      <c r="D87" s="444">
        <v>44295</v>
      </c>
      <c r="E87" s="445">
        <v>32940</v>
      </c>
      <c r="F87" s="440">
        <v>1001010001</v>
      </c>
      <c r="G87" s="440" t="s">
        <v>632</v>
      </c>
    </row>
    <row r="88" spans="1:7">
      <c r="A88" s="440">
        <v>4700569267</v>
      </c>
      <c r="B88" s="440">
        <v>6100030321</v>
      </c>
      <c r="C88" s="440" t="s">
        <v>631</v>
      </c>
      <c r="D88" s="444">
        <v>44295</v>
      </c>
      <c r="E88" s="445">
        <v>9204</v>
      </c>
      <c r="F88" s="440">
        <v>1001010001</v>
      </c>
      <c r="G88" s="440" t="s">
        <v>632</v>
      </c>
    </row>
    <row r="89" spans="1:7">
      <c r="A89" s="440">
        <v>4700579829</v>
      </c>
      <c r="B89" s="440">
        <v>6100035868</v>
      </c>
      <c r="C89" s="440" t="s">
        <v>631</v>
      </c>
      <c r="D89" s="444">
        <v>44321</v>
      </c>
      <c r="E89" s="445">
        <v>11300</v>
      </c>
      <c r="F89" s="440">
        <v>1001010001</v>
      </c>
      <c r="G89" s="440" t="s">
        <v>632</v>
      </c>
    </row>
    <row r="90" spans="1:7">
      <c r="A90" s="440">
        <v>4700579829</v>
      </c>
      <c r="B90" s="440">
        <v>6100035868</v>
      </c>
      <c r="C90" s="440" t="s">
        <v>631</v>
      </c>
      <c r="D90" s="444">
        <v>44321</v>
      </c>
      <c r="E90" s="445">
        <v>10200</v>
      </c>
      <c r="F90" s="440">
        <v>1001010001</v>
      </c>
      <c r="G90" s="440" t="s">
        <v>632</v>
      </c>
    </row>
    <row r="91" spans="1:7">
      <c r="A91" s="440">
        <v>4700579829</v>
      </c>
      <c r="B91" s="440">
        <v>6100035868</v>
      </c>
      <c r="C91" s="440" t="s">
        <v>631</v>
      </c>
      <c r="D91" s="444">
        <v>44321</v>
      </c>
      <c r="E91" s="445">
        <v>6000</v>
      </c>
      <c r="F91" s="440">
        <v>1001010001</v>
      </c>
      <c r="G91" s="440" t="s">
        <v>632</v>
      </c>
    </row>
    <row r="92" spans="1:7">
      <c r="A92" s="440">
        <v>4700579829</v>
      </c>
      <c r="B92" s="440">
        <v>6100035868</v>
      </c>
      <c r="C92" s="440" t="s">
        <v>631</v>
      </c>
      <c r="D92" s="444">
        <v>44321</v>
      </c>
      <c r="E92" s="445">
        <v>9201</v>
      </c>
      <c r="F92" s="440">
        <v>1001010001</v>
      </c>
      <c r="G92" s="440" t="s">
        <v>632</v>
      </c>
    </row>
    <row r="93" spans="1:7">
      <c r="A93" s="440">
        <v>4700593892</v>
      </c>
      <c r="B93" s="440">
        <v>6100043544</v>
      </c>
      <c r="C93" s="440" t="s">
        <v>631</v>
      </c>
      <c r="D93" s="444">
        <v>44362</v>
      </c>
      <c r="E93" s="445">
        <v>8277</v>
      </c>
      <c r="F93" s="440">
        <v>1001010001</v>
      </c>
      <c r="G93" s="440" t="s">
        <v>632</v>
      </c>
    </row>
    <row r="94" spans="1:7">
      <c r="A94" s="440">
        <v>4700593892</v>
      </c>
      <c r="B94" s="440">
        <v>6100043544</v>
      </c>
      <c r="C94" s="440" t="s">
        <v>631</v>
      </c>
      <c r="D94" s="444">
        <v>44362</v>
      </c>
      <c r="E94" s="445">
        <v>16500</v>
      </c>
      <c r="F94" s="440">
        <v>1001010001</v>
      </c>
      <c r="G94" s="440" t="s">
        <v>632</v>
      </c>
    </row>
    <row r="95" spans="1:7">
      <c r="A95" s="440">
        <v>4700593892</v>
      </c>
      <c r="B95" s="440">
        <v>6100043544</v>
      </c>
      <c r="C95" s="440" t="s">
        <v>631</v>
      </c>
      <c r="D95" s="444">
        <v>44362</v>
      </c>
      <c r="E95" s="445">
        <v>6600</v>
      </c>
      <c r="F95" s="440">
        <v>1001010001</v>
      </c>
      <c r="G95" s="440" t="s">
        <v>632</v>
      </c>
    </row>
    <row r="96" spans="1:7">
      <c r="A96" s="440">
        <v>4700593892</v>
      </c>
      <c r="B96" s="440">
        <v>6100043544</v>
      </c>
      <c r="C96" s="440" t="s">
        <v>631</v>
      </c>
      <c r="D96" s="444">
        <v>44362</v>
      </c>
      <c r="E96" s="445">
        <v>32940</v>
      </c>
      <c r="F96" s="440">
        <v>1001010001</v>
      </c>
      <c r="G96" s="440" t="s">
        <v>632</v>
      </c>
    </row>
    <row r="97" spans="1:7">
      <c r="A97" s="440">
        <v>4700593892</v>
      </c>
      <c r="B97" s="440">
        <v>6100043544</v>
      </c>
      <c r="C97" s="440" t="s">
        <v>631</v>
      </c>
      <c r="D97" s="444">
        <v>44362</v>
      </c>
      <c r="E97" s="445">
        <v>6977</v>
      </c>
      <c r="F97" s="440">
        <v>1001010001</v>
      </c>
      <c r="G97" s="440" t="s">
        <v>632</v>
      </c>
    </row>
    <row r="98" spans="1:7">
      <c r="A98" s="440">
        <v>4700593892</v>
      </c>
      <c r="B98" s="440">
        <v>6100043544</v>
      </c>
      <c r="C98" s="440" t="s">
        <v>631</v>
      </c>
      <c r="D98" s="444">
        <v>44362</v>
      </c>
      <c r="E98" s="445">
        <v>15335</v>
      </c>
      <c r="F98" s="440">
        <v>1001010001</v>
      </c>
      <c r="G98" s="440" t="s">
        <v>632</v>
      </c>
    </row>
    <row r="99" spans="1:7">
      <c r="A99" s="440">
        <v>4700609064</v>
      </c>
      <c r="B99" s="440">
        <v>6100048084</v>
      </c>
      <c r="C99" s="440" t="s">
        <v>631</v>
      </c>
      <c r="D99" s="444">
        <v>44390</v>
      </c>
      <c r="E99" s="445">
        <v>8900</v>
      </c>
      <c r="F99" s="440">
        <v>1001010001</v>
      </c>
      <c r="G99" s="440" t="s">
        <v>632</v>
      </c>
    </row>
    <row r="100" spans="1:7">
      <c r="A100" s="440">
        <v>4700609064</v>
      </c>
      <c r="B100" s="440">
        <v>6100048084</v>
      </c>
      <c r="C100" s="440" t="s">
        <v>631</v>
      </c>
      <c r="D100" s="444">
        <v>44390</v>
      </c>
      <c r="E100" s="445">
        <v>3950</v>
      </c>
      <c r="F100" s="440">
        <v>1001010001</v>
      </c>
      <c r="G100" s="440" t="s">
        <v>632</v>
      </c>
    </row>
    <row r="101" spans="1:7">
      <c r="A101" s="440">
        <v>4700609064</v>
      </c>
      <c r="B101" s="440">
        <v>6100048084</v>
      </c>
      <c r="C101" s="440" t="s">
        <v>631</v>
      </c>
      <c r="D101" s="444">
        <v>44390</v>
      </c>
      <c r="E101" s="445">
        <v>22200</v>
      </c>
      <c r="F101" s="440">
        <v>1001010001</v>
      </c>
      <c r="G101" s="440" t="s">
        <v>632</v>
      </c>
    </row>
    <row r="102" spans="1:7">
      <c r="A102" s="440">
        <v>4700609064</v>
      </c>
      <c r="B102" s="440">
        <v>6100048084</v>
      </c>
      <c r="C102" s="440" t="s">
        <v>631</v>
      </c>
      <c r="D102" s="444">
        <v>44390</v>
      </c>
      <c r="E102" s="445">
        <v>3000</v>
      </c>
      <c r="F102" s="440">
        <v>1001010001</v>
      </c>
      <c r="G102" s="440" t="s">
        <v>632</v>
      </c>
    </row>
    <row r="103" spans="1:7">
      <c r="A103" s="440">
        <v>4700609064</v>
      </c>
      <c r="B103" s="440">
        <v>6100048084</v>
      </c>
      <c r="C103" s="440" t="s">
        <v>631</v>
      </c>
      <c r="D103" s="444">
        <v>44390</v>
      </c>
      <c r="E103" s="445">
        <v>6975</v>
      </c>
      <c r="F103" s="440">
        <v>1001010001</v>
      </c>
      <c r="G103" s="440" t="s">
        <v>632</v>
      </c>
    </row>
    <row r="104" spans="1:7">
      <c r="A104" s="440">
        <v>4700609064</v>
      </c>
      <c r="B104" s="440">
        <v>6100048084</v>
      </c>
      <c r="C104" s="440" t="s">
        <v>631</v>
      </c>
      <c r="D104" s="444">
        <v>44390</v>
      </c>
      <c r="E104" s="445">
        <v>15755</v>
      </c>
      <c r="F104" s="440">
        <v>1001010001</v>
      </c>
      <c r="G104" s="440" t="s">
        <v>632</v>
      </c>
    </row>
    <row r="105" spans="1:7">
      <c r="A105" s="440">
        <v>4700609064</v>
      </c>
      <c r="B105" s="440">
        <v>6100048084</v>
      </c>
      <c r="C105" s="440" t="s">
        <v>631</v>
      </c>
      <c r="D105" s="444">
        <v>44390</v>
      </c>
      <c r="E105" s="445">
        <v>47060</v>
      </c>
      <c r="F105" s="440">
        <v>1001010001</v>
      </c>
      <c r="G105" s="440" t="s">
        <v>632</v>
      </c>
    </row>
    <row r="106" spans="1:7">
      <c r="A106" s="440">
        <v>4700625973</v>
      </c>
      <c r="B106" s="440">
        <v>6100054691</v>
      </c>
      <c r="C106" s="440" t="s">
        <v>631</v>
      </c>
      <c r="D106" s="444">
        <v>44425</v>
      </c>
      <c r="E106" s="445">
        <v>7400</v>
      </c>
      <c r="F106" s="440">
        <v>1001010001</v>
      </c>
      <c r="G106" s="440" t="s">
        <v>632</v>
      </c>
    </row>
    <row r="107" spans="1:7">
      <c r="A107" s="440">
        <v>4700625973</v>
      </c>
      <c r="B107" s="440">
        <v>6100054691</v>
      </c>
      <c r="C107" s="440" t="s">
        <v>631</v>
      </c>
      <c r="D107" s="444">
        <v>44425</v>
      </c>
      <c r="E107" s="445">
        <v>7400</v>
      </c>
      <c r="F107" s="440">
        <v>1001010001</v>
      </c>
      <c r="G107" s="440" t="s">
        <v>632</v>
      </c>
    </row>
    <row r="108" spans="1:7">
      <c r="A108" s="440">
        <v>4700625973</v>
      </c>
      <c r="B108" s="440">
        <v>6100054691</v>
      </c>
      <c r="C108" s="440" t="s">
        <v>631</v>
      </c>
      <c r="D108" s="444">
        <v>44425</v>
      </c>
      <c r="E108" s="445">
        <v>15755</v>
      </c>
      <c r="F108" s="440">
        <v>1001010001</v>
      </c>
      <c r="G108" s="440" t="s">
        <v>632</v>
      </c>
    </row>
    <row r="109" spans="1:7">
      <c r="A109" s="440">
        <v>4700640888</v>
      </c>
      <c r="B109" s="440">
        <v>6100060243</v>
      </c>
      <c r="C109" s="440" t="s">
        <v>631</v>
      </c>
      <c r="D109" s="444">
        <v>44449</v>
      </c>
      <c r="E109" s="445">
        <v>2199</v>
      </c>
      <c r="F109" s="440">
        <v>1001010001</v>
      </c>
      <c r="G109" s="440" t="s">
        <v>632</v>
      </c>
    </row>
    <row r="110" spans="1:7">
      <c r="A110" s="440">
        <v>4700640888</v>
      </c>
      <c r="B110" s="440">
        <v>6100060243</v>
      </c>
      <c r="C110" s="440" t="s">
        <v>631</v>
      </c>
      <c r="D110" s="444">
        <v>44449</v>
      </c>
      <c r="E110" s="445">
        <v>2000</v>
      </c>
      <c r="F110" s="440">
        <v>1001010001</v>
      </c>
      <c r="G110" s="440" t="s">
        <v>632</v>
      </c>
    </row>
    <row r="111" spans="1:7">
      <c r="A111" s="440">
        <v>4700640888</v>
      </c>
      <c r="B111" s="440">
        <v>6100060243</v>
      </c>
      <c r="C111" s="440" t="s">
        <v>631</v>
      </c>
      <c r="D111" s="444">
        <v>44449</v>
      </c>
      <c r="E111" s="445">
        <v>8949</v>
      </c>
      <c r="F111" s="440">
        <v>1001010001</v>
      </c>
      <c r="G111" s="440" t="s">
        <v>632</v>
      </c>
    </row>
    <row r="112" spans="1:7">
      <c r="A112" s="440">
        <v>4700640888</v>
      </c>
      <c r="B112" s="440">
        <v>6100060243</v>
      </c>
      <c r="C112" s="440" t="s">
        <v>631</v>
      </c>
      <c r="D112" s="444">
        <v>44449</v>
      </c>
      <c r="E112" s="445">
        <v>35800</v>
      </c>
      <c r="F112" s="440">
        <v>1001010001</v>
      </c>
      <c r="G112" s="440" t="s">
        <v>632</v>
      </c>
    </row>
    <row r="113" spans="1:7">
      <c r="A113" s="440">
        <v>4700658142</v>
      </c>
      <c r="B113" s="440">
        <v>6100072694</v>
      </c>
      <c r="C113" s="440" t="s">
        <v>631</v>
      </c>
      <c r="D113" s="444">
        <v>44488</v>
      </c>
      <c r="E113" s="445">
        <v>8450</v>
      </c>
      <c r="F113" s="440">
        <v>1001010001</v>
      </c>
      <c r="G113" s="440" t="s">
        <v>632</v>
      </c>
    </row>
    <row r="114" spans="1:7">
      <c r="A114" s="440">
        <v>4700658142</v>
      </c>
      <c r="B114" s="440">
        <v>6100072694</v>
      </c>
      <c r="C114" s="440" t="s">
        <v>631</v>
      </c>
      <c r="D114" s="444">
        <v>44488</v>
      </c>
      <c r="E114" s="445">
        <v>10400</v>
      </c>
      <c r="F114" s="440">
        <v>1001010001</v>
      </c>
      <c r="G114" s="440" t="s">
        <v>632</v>
      </c>
    </row>
    <row r="115" spans="1:7">
      <c r="A115" s="440">
        <v>4700658142</v>
      </c>
      <c r="B115" s="440">
        <v>6100072694</v>
      </c>
      <c r="C115" s="440" t="s">
        <v>631</v>
      </c>
      <c r="D115" s="444">
        <v>44488</v>
      </c>
      <c r="E115" s="445">
        <v>4000</v>
      </c>
      <c r="F115" s="440">
        <v>1001010001</v>
      </c>
      <c r="G115" s="440" t="s">
        <v>632</v>
      </c>
    </row>
    <row r="116" spans="1:7">
      <c r="A116" s="440">
        <v>4700658142</v>
      </c>
      <c r="B116" s="440">
        <v>6100072694</v>
      </c>
      <c r="C116" s="440" t="s">
        <v>631</v>
      </c>
      <c r="D116" s="444">
        <v>44488</v>
      </c>
      <c r="E116" s="445">
        <v>35464</v>
      </c>
      <c r="F116" s="440">
        <v>1001010001</v>
      </c>
      <c r="G116" s="440" t="s">
        <v>632</v>
      </c>
    </row>
    <row r="117" spans="1:7">
      <c r="A117" s="440">
        <v>4700658142</v>
      </c>
      <c r="B117" s="440">
        <v>6100072694</v>
      </c>
      <c r="C117" s="440" t="s">
        <v>631</v>
      </c>
      <c r="D117" s="444">
        <v>44488</v>
      </c>
      <c r="E117" s="445">
        <v>18906</v>
      </c>
      <c r="F117" s="440">
        <v>1001010001</v>
      </c>
      <c r="G117" s="440" t="s">
        <v>632</v>
      </c>
    </row>
    <row r="118" spans="1:7">
      <c r="A118" s="440">
        <v>4700658142</v>
      </c>
      <c r="B118" s="440">
        <v>6100072694</v>
      </c>
      <c r="C118" s="440" t="s">
        <v>631</v>
      </c>
      <c r="D118" s="444">
        <v>44488</v>
      </c>
      <c r="E118" s="445">
        <v>2200</v>
      </c>
      <c r="F118" s="440">
        <v>1001010001</v>
      </c>
      <c r="G118" s="440" t="s">
        <v>632</v>
      </c>
    </row>
    <row r="119" spans="1:7">
      <c r="A119" s="440">
        <v>4700675418</v>
      </c>
      <c r="B119" s="440">
        <v>6100086060</v>
      </c>
      <c r="C119" s="440" t="s">
        <v>631</v>
      </c>
      <c r="D119" s="444">
        <v>44522</v>
      </c>
      <c r="E119" s="445">
        <v>10400</v>
      </c>
      <c r="F119" s="440">
        <v>1001010001</v>
      </c>
      <c r="G119" s="440" t="s">
        <v>632</v>
      </c>
    </row>
    <row r="120" spans="1:7">
      <c r="A120" s="440">
        <v>4700675418</v>
      </c>
      <c r="B120" s="440">
        <v>6100086060</v>
      </c>
      <c r="C120" s="440" t="s">
        <v>631</v>
      </c>
      <c r="D120" s="444">
        <v>44522</v>
      </c>
      <c r="E120" s="445">
        <v>5300</v>
      </c>
      <c r="F120" s="440">
        <v>1001010001</v>
      </c>
      <c r="G120" s="440" t="s">
        <v>632</v>
      </c>
    </row>
    <row r="121" spans="1:7">
      <c r="A121" s="440">
        <v>4700675418</v>
      </c>
      <c r="B121" s="440">
        <v>6100086060</v>
      </c>
      <c r="C121" s="440" t="s">
        <v>631</v>
      </c>
      <c r="D121" s="444">
        <v>44522</v>
      </c>
      <c r="E121" s="445">
        <v>2300</v>
      </c>
      <c r="F121" s="440">
        <v>1001010001</v>
      </c>
      <c r="G121" s="440" t="s">
        <v>632</v>
      </c>
    </row>
    <row r="122" spans="1:7">
      <c r="A122" s="440">
        <v>4700675418</v>
      </c>
      <c r="B122" s="440">
        <v>6100086060</v>
      </c>
      <c r="C122" s="440" t="s">
        <v>631</v>
      </c>
      <c r="D122" s="444">
        <v>44522</v>
      </c>
      <c r="E122" s="445">
        <v>4200</v>
      </c>
      <c r="F122" s="440">
        <v>1001010001</v>
      </c>
      <c r="G122" s="440" t="s">
        <v>632</v>
      </c>
    </row>
    <row r="123" spans="1:7">
      <c r="A123" s="440">
        <v>4700675418</v>
      </c>
      <c r="B123" s="440">
        <v>6100086060</v>
      </c>
      <c r="C123" s="440" t="s">
        <v>631</v>
      </c>
      <c r="D123" s="444">
        <v>44522</v>
      </c>
      <c r="E123" s="445">
        <v>32772</v>
      </c>
      <c r="F123" s="440">
        <v>1001010001</v>
      </c>
      <c r="G123" s="440" t="s">
        <v>632</v>
      </c>
    </row>
    <row r="124" spans="1:7">
      <c r="A124" s="440">
        <v>4700687063</v>
      </c>
      <c r="B124" s="440">
        <v>6100094027</v>
      </c>
      <c r="C124" s="440" t="s">
        <v>631</v>
      </c>
      <c r="D124" s="444">
        <v>44543</v>
      </c>
      <c r="E124" s="445">
        <v>10400</v>
      </c>
      <c r="F124" s="440">
        <v>1001010001</v>
      </c>
      <c r="G124" s="440" t="s">
        <v>632</v>
      </c>
    </row>
    <row r="125" spans="1:7">
      <c r="A125" s="440">
        <v>4700687063</v>
      </c>
      <c r="B125" s="440">
        <v>6100094027</v>
      </c>
      <c r="C125" s="440" t="s">
        <v>631</v>
      </c>
      <c r="D125" s="444">
        <v>44543</v>
      </c>
      <c r="E125" s="445">
        <v>5300</v>
      </c>
      <c r="F125" s="440">
        <v>1001010001</v>
      </c>
      <c r="G125" s="440" t="s">
        <v>632</v>
      </c>
    </row>
    <row r="126" spans="1:7">
      <c r="A126" s="440">
        <v>4700687063</v>
      </c>
      <c r="B126" s="440">
        <v>6100094027</v>
      </c>
      <c r="C126" s="440" t="s">
        <v>631</v>
      </c>
      <c r="D126" s="444">
        <v>44543</v>
      </c>
      <c r="E126" s="445">
        <v>2300</v>
      </c>
      <c r="F126" s="440">
        <v>1001010001</v>
      </c>
      <c r="G126" s="440" t="s">
        <v>632</v>
      </c>
    </row>
    <row r="127" spans="1:7">
      <c r="A127" s="440">
        <v>4700687063</v>
      </c>
      <c r="B127" s="440">
        <v>6100094027</v>
      </c>
      <c r="C127" s="440" t="s">
        <v>631</v>
      </c>
      <c r="D127" s="444">
        <v>44543</v>
      </c>
      <c r="E127" s="445">
        <v>4200</v>
      </c>
      <c r="F127" s="440">
        <v>1001010001</v>
      </c>
      <c r="G127" s="440" t="s">
        <v>632</v>
      </c>
    </row>
    <row r="128" spans="1:7">
      <c r="A128" s="440">
        <v>4700687063</v>
      </c>
      <c r="B128" s="440">
        <v>6100094027</v>
      </c>
      <c r="C128" s="440" t="s">
        <v>631</v>
      </c>
      <c r="D128" s="444">
        <v>44543</v>
      </c>
      <c r="E128" s="445">
        <v>54960</v>
      </c>
      <c r="F128" s="440">
        <v>1001010001</v>
      </c>
      <c r="G128" s="440" t="s">
        <v>632</v>
      </c>
    </row>
    <row r="129" spans="1:7">
      <c r="A129" s="440">
        <v>4700378337</v>
      </c>
      <c r="B129" s="440">
        <v>6100004308</v>
      </c>
      <c r="C129" s="440" t="s">
        <v>631</v>
      </c>
      <c r="D129" s="444">
        <v>43843</v>
      </c>
      <c r="E129" s="445">
        <v>14116</v>
      </c>
      <c r="F129" s="440">
        <v>1001010002</v>
      </c>
      <c r="G129" s="440" t="s">
        <v>632</v>
      </c>
    </row>
    <row r="130" spans="1:7">
      <c r="A130" s="440">
        <v>4700378337</v>
      </c>
      <c r="B130" s="440">
        <v>6100004308</v>
      </c>
      <c r="C130" s="440" t="s">
        <v>631</v>
      </c>
      <c r="D130" s="444">
        <v>43843</v>
      </c>
      <c r="E130" s="445">
        <v>3950</v>
      </c>
      <c r="F130" s="440">
        <v>1001010002</v>
      </c>
      <c r="G130" s="440" t="s">
        <v>632</v>
      </c>
    </row>
    <row r="131" spans="1:7">
      <c r="A131" s="440">
        <v>4700378337</v>
      </c>
      <c r="B131" s="440">
        <v>6100004308</v>
      </c>
      <c r="C131" s="440" t="s">
        <v>631</v>
      </c>
      <c r="D131" s="444">
        <v>43843</v>
      </c>
      <c r="E131" s="445">
        <v>8025</v>
      </c>
      <c r="F131" s="440">
        <v>1001010002</v>
      </c>
      <c r="G131" s="440" t="s">
        <v>632</v>
      </c>
    </row>
    <row r="132" spans="1:7">
      <c r="A132" s="440">
        <v>4700378337</v>
      </c>
      <c r="B132" s="440">
        <v>6100004308</v>
      </c>
      <c r="C132" s="440" t="s">
        <v>631</v>
      </c>
      <c r="D132" s="444">
        <v>43843</v>
      </c>
      <c r="E132" s="445">
        <v>6680</v>
      </c>
      <c r="F132" s="440">
        <v>1001010002</v>
      </c>
      <c r="G132" s="440" t="s">
        <v>632</v>
      </c>
    </row>
    <row r="133" spans="1:7">
      <c r="A133" s="440">
        <v>4700378337</v>
      </c>
      <c r="B133" s="440">
        <v>6100004308</v>
      </c>
      <c r="C133" s="440" t="s">
        <v>631</v>
      </c>
      <c r="D133" s="444">
        <v>43843</v>
      </c>
      <c r="E133" s="445">
        <v>11768</v>
      </c>
      <c r="F133" s="440">
        <v>1001010002</v>
      </c>
      <c r="G133" s="440" t="s">
        <v>632</v>
      </c>
    </row>
    <row r="134" spans="1:7">
      <c r="A134" s="440">
        <v>4700378337</v>
      </c>
      <c r="B134" s="440">
        <v>6100004308</v>
      </c>
      <c r="C134" s="440" t="s">
        <v>631</v>
      </c>
      <c r="D134" s="444">
        <v>43843</v>
      </c>
      <c r="E134" s="445">
        <v>5294</v>
      </c>
      <c r="F134" s="440">
        <v>1001010002</v>
      </c>
      <c r="G134" s="440" t="s">
        <v>632</v>
      </c>
    </row>
    <row r="135" spans="1:7">
      <c r="A135" s="440">
        <v>4700378337</v>
      </c>
      <c r="B135" s="440">
        <v>6100004308</v>
      </c>
      <c r="C135" s="440" t="s">
        <v>631</v>
      </c>
      <c r="D135" s="444">
        <v>43843</v>
      </c>
      <c r="E135" s="445">
        <v>4664</v>
      </c>
      <c r="F135" s="440">
        <v>1001010002</v>
      </c>
      <c r="G135" s="440" t="s">
        <v>632</v>
      </c>
    </row>
    <row r="136" spans="1:7">
      <c r="A136" s="440">
        <v>4700378337</v>
      </c>
      <c r="B136" s="440">
        <v>6100004308</v>
      </c>
      <c r="C136" s="440" t="s">
        <v>631</v>
      </c>
      <c r="D136" s="444">
        <v>43843</v>
      </c>
      <c r="E136" s="445">
        <v>5714</v>
      </c>
      <c r="F136" s="440">
        <v>1001010002</v>
      </c>
      <c r="G136" s="440" t="s">
        <v>632</v>
      </c>
    </row>
    <row r="137" spans="1:7">
      <c r="A137" s="440">
        <v>4700392696</v>
      </c>
      <c r="B137" s="440">
        <v>6100013594</v>
      </c>
      <c r="C137" s="440" t="s">
        <v>631</v>
      </c>
      <c r="D137" s="444">
        <v>43871</v>
      </c>
      <c r="E137" s="445">
        <v>13113</v>
      </c>
      <c r="F137" s="440">
        <v>1001010002</v>
      </c>
      <c r="G137" s="440" t="s">
        <v>632</v>
      </c>
    </row>
    <row r="138" spans="1:7">
      <c r="A138" s="440">
        <v>4700392696</v>
      </c>
      <c r="B138" s="440">
        <v>6100013594</v>
      </c>
      <c r="C138" s="440" t="s">
        <v>631</v>
      </c>
      <c r="D138" s="444">
        <v>43871</v>
      </c>
      <c r="E138" s="445">
        <v>1849</v>
      </c>
      <c r="F138" s="440">
        <v>1001010002</v>
      </c>
      <c r="G138" s="440" t="s">
        <v>632</v>
      </c>
    </row>
    <row r="139" spans="1:7">
      <c r="A139" s="440">
        <v>4700392696</v>
      </c>
      <c r="B139" s="440">
        <v>6100013594</v>
      </c>
      <c r="C139" s="440" t="s">
        <v>631</v>
      </c>
      <c r="D139" s="444">
        <v>43871</v>
      </c>
      <c r="E139" s="445">
        <v>8950</v>
      </c>
      <c r="F139" s="440">
        <v>1001010002</v>
      </c>
      <c r="G139" s="440" t="s">
        <v>632</v>
      </c>
    </row>
    <row r="140" spans="1:7">
      <c r="A140" s="440">
        <v>4700392696</v>
      </c>
      <c r="B140" s="440">
        <v>6100013594</v>
      </c>
      <c r="C140" s="440" t="s">
        <v>631</v>
      </c>
      <c r="D140" s="444">
        <v>43871</v>
      </c>
      <c r="E140" s="445">
        <v>5798</v>
      </c>
      <c r="F140" s="440">
        <v>1001010002</v>
      </c>
      <c r="G140" s="440" t="s">
        <v>632</v>
      </c>
    </row>
    <row r="141" spans="1:7">
      <c r="A141" s="440">
        <v>4700392696</v>
      </c>
      <c r="B141" s="440">
        <v>6100013594</v>
      </c>
      <c r="C141" s="440" t="s">
        <v>631</v>
      </c>
      <c r="D141" s="444">
        <v>43871</v>
      </c>
      <c r="E141" s="445">
        <v>8025</v>
      </c>
      <c r="F141" s="440">
        <v>1001010002</v>
      </c>
      <c r="G141" s="440" t="s">
        <v>632</v>
      </c>
    </row>
    <row r="142" spans="1:7">
      <c r="A142" s="440">
        <v>4700392696</v>
      </c>
      <c r="B142" s="440">
        <v>6100013594</v>
      </c>
      <c r="C142" s="440" t="s">
        <v>631</v>
      </c>
      <c r="D142" s="444">
        <v>43871</v>
      </c>
      <c r="E142" s="445">
        <v>11780</v>
      </c>
      <c r="F142" s="440">
        <v>1001010002</v>
      </c>
      <c r="G142" s="440" t="s">
        <v>632</v>
      </c>
    </row>
    <row r="143" spans="1:7">
      <c r="A143" s="440">
        <v>4700392696</v>
      </c>
      <c r="B143" s="440">
        <v>6100013594</v>
      </c>
      <c r="C143" s="440" t="s">
        <v>631</v>
      </c>
      <c r="D143" s="444">
        <v>43871</v>
      </c>
      <c r="E143" s="445">
        <v>5890</v>
      </c>
      <c r="F143" s="440">
        <v>1001010002</v>
      </c>
      <c r="G143" s="440" t="s">
        <v>632</v>
      </c>
    </row>
    <row r="144" spans="1:7">
      <c r="A144" s="440">
        <v>4700392696</v>
      </c>
      <c r="B144" s="440">
        <v>6100013594</v>
      </c>
      <c r="C144" s="440" t="s">
        <v>631</v>
      </c>
      <c r="D144" s="444">
        <v>43871</v>
      </c>
      <c r="E144" s="445">
        <v>4741</v>
      </c>
      <c r="F144" s="440">
        <v>1001010002</v>
      </c>
      <c r="G144" s="440" t="s">
        <v>632</v>
      </c>
    </row>
    <row r="145" spans="1:7">
      <c r="A145" s="440">
        <v>4700392696</v>
      </c>
      <c r="B145" s="440">
        <v>6100013594</v>
      </c>
      <c r="C145" s="440" t="s">
        <v>631</v>
      </c>
      <c r="D145" s="444">
        <v>43871</v>
      </c>
      <c r="E145" s="445">
        <v>1849</v>
      </c>
      <c r="F145" s="440">
        <v>1001010002</v>
      </c>
      <c r="G145" s="440" t="s">
        <v>632</v>
      </c>
    </row>
    <row r="146" spans="1:7">
      <c r="A146" s="440">
        <v>4700392696</v>
      </c>
      <c r="B146" s="440">
        <v>6100013594</v>
      </c>
      <c r="C146" s="440" t="s">
        <v>631</v>
      </c>
      <c r="D146" s="444">
        <v>43871</v>
      </c>
      <c r="E146" s="445">
        <v>442</v>
      </c>
      <c r="F146" s="440">
        <v>1001010002</v>
      </c>
      <c r="G146" s="440" t="s">
        <v>632</v>
      </c>
    </row>
    <row r="147" spans="1:7">
      <c r="A147" s="440">
        <v>4700409939</v>
      </c>
      <c r="B147" s="440">
        <v>6100025057</v>
      </c>
      <c r="C147" s="440" t="s">
        <v>631</v>
      </c>
      <c r="D147" s="444">
        <v>43906</v>
      </c>
      <c r="E147" s="445">
        <v>17480</v>
      </c>
      <c r="F147" s="440">
        <v>1001010002</v>
      </c>
      <c r="G147" s="440" t="s">
        <v>632</v>
      </c>
    </row>
    <row r="148" spans="1:7">
      <c r="A148" s="440">
        <v>4700409939</v>
      </c>
      <c r="B148" s="440">
        <v>6100025057</v>
      </c>
      <c r="C148" s="440" t="s">
        <v>631</v>
      </c>
      <c r="D148" s="444">
        <v>43906</v>
      </c>
      <c r="E148" s="445">
        <v>6681</v>
      </c>
      <c r="F148" s="440">
        <v>1001010002</v>
      </c>
      <c r="G148" s="440" t="s">
        <v>632</v>
      </c>
    </row>
    <row r="149" spans="1:7">
      <c r="A149" s="440">
        <v>4700409939</v>
      </c>
      <c r="B149" s="440">
        <v>6100025057</v>
      </c>
      <c r="C149" s="440" t="s">
        <v>631</v>
      </c>
      <c r="D149" s="444">
        <v>43906</v>
      </c>
      <c r="E149" s="445">
        <v>8025</v>
      </c>
      <c r="F149" s="440">
        <v>1001010002</v>
      </c>
      <c r="G149" s="440" t="s">
        <v>632</v>
      </c>
    </row>
    <row r="150" spans="1:7">
      <c r="A150" s="440">
        <v>4700409939</v>
      </c>
      <c r="B150" s="440">
        <v>6100025057</v>
      </c>
      <c r="C150" s="440" t="s">
        <v>631</v>
      </c>
      <c r="D150" s="444">
        <v>43906</v>
      </c>
      <c r="E150" s="445">
        <v>1849</v>
      </c>
      <c r="F150" s="440">
        <v>1001010002</v>
      </c>
      <c r="G150" s="440" t="s">
        <v>632</v>
      </c>
    </row>
    <row r="151" spans="1:7">
      <c r="A151" s="440">
        <v>4700409939</v>
      </c>
      <c r="B151" s="440">
        <v>6100025057</v>
      </c>
      <c r="C151" s="440" t="s">
        <v>631</v>
      </c>
      <c r="D151" s="444">
        <v>43906</v>
      </c>
      <c r="E151" s="445">
        <v>9201</v>
      </c>
      <c r="F151" s="440">
        <v>1001010002</v>
      </c>
      <c r="G151" s="440" t="s">
        <v>632</v>
      </c>
    </row>
    <row r="152" spans="1:7">
      <c r="A152" s="440">
        <v>4700409939</v>
      </c>
      <c r="B152" s="440">
        <v>6100025057</v>
      </c>
      <c r="C152" s="440" t="s">
        <v>631</v>
      </c>
      <c r="D152" s="444">
        <v>43906</v>
      </c>
      <c r="E152" s="445">
        <v>8319</v>
      </c>
      <c r="F152" s="440">
        <v>1001010002</v>
      </c>
      <c r="G152" s="440" t="s">
        <v>632</v>
      </c>
    </row>
    <row r="153" spans="1:7">
      <c r="A153" s="440">
        <v>4700409939</v>
      </c>
      <c r="B153" s="440">
        <v>6100025057</v>
      </c>
      <c r="C153" s="440" t="s">
        <v>631</v>
      </c>
      <c r="D153" s="444">
        <v>43906</v>
      </c>
      <c r="E153" s="445">
        <v>1849</v>
      </c>
      <c r="F153" s="440">
        <v>1001010002</v>
      </c>
      <c r="G153" s="440" t="s">
        <v>632</v>
      </c>
    </row>
    <row r="154" spans="1:7">
      <c r="A154" s="440">
        <v>4700423476</v>
      </c>
      <c r="B154" s="440">
        <v>6100047946</v>
      </c>
      <c r="C154" s="440" t="s">
        <v>631</v>
      </c>
      <c r="D154" s="444">
        <v>43970</v>
      </c>
      <c r="E154" s="445">
        <v>10590</v>
      </c>
      <c r="F154" s="440">
        <v>1001010002</v>
      </c>
      <c r="G154" s="440" t="s">
        <v>632</v>
      </c>
    </row>
    <row r="155" spans="1:7">
      <c r="A155" s="440">
        <v>4700423476</v>
      </c>
      <c r="B155" s="440">
        <v>6100047946</v>
      </c>
      <c r="C155" s="440" t="s">
        <v>631</v>
      </c>
      <c r="D155" s="444">
        <v>43970</v>
      </c>
      <c r="E155" s="445">
        <v>6681</v>
      </c>
      <c r="F155" s="440">
        <v>1001010002</v>
      </c>
      <c r="G155" s="440" t="s">
        <v>632</v>
      </c>
    </row>
    <row r="156" spans="1:7">
      <c r="A156" s="440">
        <v>4700423476</v>
      </c>
      <c r="B156" s="440">
        <v>6100047946</v>
      </c>
      <c r="C156" s="440" t="s">
        <v>631</v>
      </c>
      <c r="D156" s="444">
        <v>43970</v>
      </c>
      <c r="E156" s="445">
        <v>7100</v>
      </c>
      <c r="F156" s="440">
        <v>1001010002</v>
      </c>
      <c r="G156" s="440" t="s">
        <v>632</v>
      </c>
    </row>
    <row r="157" spans="1:7">
      <c r="A157" s="440">
        <v>4700423476</v>
      </c>
      <c r="B157" s="440">
        <v>6100047946</v>
      </c>
      <c r="C157" s="440" t="s">
        <v>631</v>
      </c>
      <c r="D157" s="444">
        <v>43970</v>
      </c>
      <c r="E157" s="445">
        <v>18402</v>
      </c>
      <c r="F157" s="440">
        <v>1001010002</v>
      </c>
      <c r="G157" s="440" t="s">
        <v>632</v>
      </c>
    </row>
    <row r="158" spans="1:7">
      <c r="A158" s="440">
        <v>4700423476</v>
      </c>
      <c r="B158" s="440">
        <v>6100047946</v>
      </c>
      <c r="C158" s="440" t="s">
        <v>631</v>
      </c>
      <c r="D158" s="444">
        <v>43970</v>
      </c>
      <c r="E158" s="445">
        <v>1900</v>
      </c>
      <c r="F158" s="440">
        <v>1001010002</v>
      </c>
      <c r="G158" s="440" t="s">
        <v>632</v>
      </c>
    </row>
    <row r="159" spans="1:7">
      <c r="A159" s="440">
        <v>4700431305</v>
      </c>
      <c r="B159" s="440">
        <v>6100055325</v>
      </c>
      <c r="C159" s="440" t="s">
        <v>631</v>
      </c>
      <c r="D159" s="444">
        <v>43993</v>
      </c>
      <c r="E159" s="445">
        <v>6685</v>
      </c>
      <c r="F159" s="440">
        <v>1001010002</v>
      </c>
      <c r="G159" s="440" t="s">
        <v>632</v>
      </c>
    </row>
    <row r="160" spans="1:7">
      <c r="A160" s="440">
        <v>4700431305</v>
      </c>
      <c r="B160" s="440">
        <v>6100055325</v>
      </c>
      <c r="C160" s="440" t="s">
        <v>631</v>
      </c>
      <c r="D160" s="444">
        <v>43993</v>
      </c>
      <c r="E160" s="445">
        <v>10590</v>
      </c>
      <c r="F160" s="440">
        <v>1001010002</v>
      </c>
      <c r="G160" s="440" t="s">
        <v>632</v>
      </c>
    </row>
    <row r="161" spans="1:7">
      <c r="A161" s="440">
        <v>4700431305</v>
      </c>
      <c r="B161" s="440">
        <v>6100055325</v>
      </c>
      <c r="C161" s="440" t="s">
        <v>631</v>
      </c>
      <c r="D161" s="444">
        <v>43993</v>
      </c>
      <c r="E161" s="445">
        <v>4106</v>
      </c>
      <c r="F161" s="440">
        <v>1001010002</v>
      </c>
      <c r="G161" s="440" t="s">
        <v>632</v>
      </c>
    </row>
    <row r="162" spans="1:7">
      <c r="A162" s="440">
        <v>4700431305</v>
      </c>
      <c r="B162" s="440">
        <v>6100055325</v>
      </c>
      <c r="C162" s="440" t="s">
        <v>631</v>
      </c>
      <c r="D162" s="444">
        <v>43993</v>
      </c>
      <c r="E162" s="445">
        <v>12990</v>
      </c>
      <c r="F162" s="440">
        <v>1001010002</v>
      </c>
      <c r="G162" s="440" t="s">
        <v>632</v>
      </c>
    </row>
    <row r="163" spans="1:7">
      <c r="A163" s="440">
        <v>4700431305</v>
      </c>
      <c r="B163" s="440">
        <v>6100055325</v>
      </c>
      <c r="C163" s="440" t="s">
        <v>631</v>
      </c>
      <c r="D163" s="444">
        <v>43993</v>
      </c>
      <c r="E163" s="445">
        <v>19000</v>
      </c>
      <c r="F163" s="440">
        <v>1001010002</v>
      </c>
      <c r="G163" s="440" t="s">
        <v>632</v>
      </c>
    </row>
    <row r="164" spans="1:7">
      <c r="A164" s="440">
        <v>4700431305</v>
      </c>
      <c r="B164" s="440">
        <v>6100055325</v>
      </c>
      <c r="C164" s="440" t="s">
        <v>631</v>
      </c>
      <c r="D164" s="444">
        <v>43993</v>
      </c>
      <c r="E164" s="445">
        <v>8025</v>
      </c>
      <c r="F164" s="440">
        <v>1001010002</v>
      </c>
      <c r="G164" s="440" t="s">
        <v>632</v>
      </c>
    </row>
    <row r="165" spans="1:7">
      <c r="A165" s="440">
        <v>4700431305</v>
      </c>
      <c r="B165" s="440">
        <v>6100055325</v>
      </c>
      <c r="C165" s="440" t="s">
        <v>631</v>
      </c>
      <c r="D165" s="444">
        <v>43993</v>
      </c>
      <c r="E165" s="445">
        <v>11560</v>
      </c>
      <c r="F165" s="440">
        <v>1001010002</v>
      </c>
      <c r="G165" s="440" t="s">
        <v>632</v>
      </c>
    </row>
    <row r="166" spans="1:7">
      <c r="A166" s="440">
        <v>4700431305</v>
      </c>
      <c r="B166" s="440">
        <v>6100055325</v>
      </c>
      <c r="C166" s="440" t="s">
        <v>631</v>
      </c>
      <c r="D166" s="444">
        <v>43993</v>
      </c>
      <c r="E166" s="445">
        <v>2784</v>
      </c>
      <c r="F166" s="440">
        <v>1001010002</v>
      </c>
      <c r="G166" s="440" t="s">
        <v>632</v>
      </c>
    </row>
    <row r="167" spans="1:7">
      <c r="A167" s="440">
        <v>4700431305</v>
      </c>
      <c r="B167" s="440">
        <v>6100055325</v>
      </c>
      <c r="C167" s="440" t="s">
        <v>631</v>
      </c>
      <c r="D167" s="444">
        <v>43993</v>
      </c>
      <c r="E167" s="445">
        <v>9207</v>
      </c>
      <c r="F167" s="440">
        <v>1001010002</v>
      </c>
      <c r="G167" s="440" t="s">
        <v>632</v>
      </c>
    </row>
    <row r="168" spans="1:7">
      <c r="A168" s="440">
        <v>4700431305</v>
      </c>
      <c r="B168" s="440">
        <v>6100055325</v>
      </c>
      <c r="C168" s="440" t="s">
        <v>631</v>
      </c>
      <c r="D168" s="444">
        <v>43993</v>
      </c>
      <c r="E168" s="445">
        <v>3300</v>
      </c>
      <c r="F168" s="440">
        <v>1001010002</v>
      </c>
      <c r="G168" s="440" t="s">
        <v>632</v>
      </c>
    </row>
    <row r="169" spans="1:7">
      <c r="A169" s="440">
        <v>4700431305</v>
      </c>
      <c r="B169" s="440">
        <v>6100055325</v>
      </c>
      <c r="C169" s="440" t="s">
        <v>631</v>
      </c>
      <c r="D169" s="444">
        <v>43993</v>
      </c>
      <c r="E169" s="445">
        <v>11000</v>
      </c>
      <c r="F169" s="440">
        <v>1001010002</v>
      </c>
      <c r="G169" s="440" t="s">
        <v>632</v>
      </c>
    </row>
    <row r="170" spans="1:7">
      <c r="A170" s="440">
        <v>4700431305</v>
      </c>
      <c r="B170" s="440">
        <v>6100055325</v>
      </c>
      <c r="C170" s="440" t="s">
        <v>631</v>
      </c>
      <c r="D170" s="444">
        <v>43993</v>
      </c>
      <c r="E170" s="445">
        <v>7454</v>
      </c>
      <c r="F170" s="440">
        <v>1001010002</v>
      </c>
      <c r="G170" s="440" t="s">
        <v>632</v>
      </c>
    </row>
    <row r="171" spans="1:7">
      <c r="A171" s="440">
        <v>4700431305</v>
      </c>
      <c r="B171" s="440">
        <v>6100055325</v>
      </c>
      <c r="C171" s="440" t="s">
        <v>631</v>
      </c>
      <c r="D171" s="444">
        <v>43993</v>
      </c>
      <c r="E171" s="445">
        <v>21268</v>
      </c>
      <c r="F171" s="440">
        <v>1001010002</v>
      </c>
      <c r="G171" s="440" t="s">
        <v>632</v>
      </c>
    </row>
    <row r="172" spans="1:7">
      <c r="A172" s="440">
        <v>4700431305</v>
      </c>
      <c r="B172" s="440">
        <v>6100055325</v>
      </c>
      <c r="C172" s="440" t="s">
        <v>631</v>
      </c>
      <c r="D172" s="444">
        <v>43993</v>
      </c>
      <c r="E172" s="445">
        <v>5100</v>
      </c>
      <c r="F172" s="440">
        <v>1001010002</v>
      </c>
      <c r="G172" s="440" t="s">
        <v>632</v>
      </c>
    </row>
    <row r="173" spans="1:7">
      <c r="A173" s="440">
        <v>4700443870</v>
      </c>
      <c r="B173" s="440">
        <v>6100063013</v>
      </c>
      <c r="C173" s="440" t="s">
        <v>631</v>
      </c>
      <c r="D173" s="444">
        <v>44022</v>
      </c>
      <c r="E173" s="445">
        <v>2773</v>
      </c>
      <c r="F173" s="440">
        <v>1001010002</v>
      </c>
      <c r="G173" s="440" t="s">
        <v>632</v>
      </c>
    </row>
    <row r="174" spans="1:7">
      <c r="A174" s="440">
        <v>4700443870</v>
      </c>
      <c r="B174" s="440">
        <v>6100063013</v>
      </c>
      <c r="C174" s="440" t="s">
        <v>631</v>
      </c>
      <c r="D174" s="444">
        <v>44022</v>
      </c>
      <c r="E174" s="445">
        <v>10550</v>
      </c>
      <c r="F174" s="440">
        <v>1001010002</v>
      </c>
      <c r="G174" s="440" t="s">
        <v>632</v>
      </c>
    </row>
    <row r="175" spans="1:7">
      <c r="A175" s="440">
        <v>4700443870</v>
      </c>
      <c r="B175" s="440">
        <v>6100063013</v>
      </c>
      <c r="C175" s="440" t="s">
        <v>631</v>
      </c>
      <c r="D175" s="444">
        <v>44022</v>
      </c>
      <c r="E175" s="445">
        <v>1900</v>
      </c>
      <c r="F175" s="440">
        <v>1001010002</v>
      </c>
      <c r="G175" s="440" t="s">
        <v>632</v>
      </c>
    </row>
    <row r="176" spans="1:7">
      <c r="A176" s="440">
        <v>4700443870</v>
      </c>
      <c r="B176" s="440">
        <v>6100063013</v>
      </c>
      <c r="C176" s="440" t="s">
        <v>631</v>
      </c>
      <c r="D176" s="444">
        <v>44022</v>
      </c>
      <c r="E176" s="445">
        <v>2050</v>
      </c>
      <c r="F176" s="440">
        <v>1001010002</v>
      </c>
      <c r="G176" s="440" t="s">
        <v>632</v>
      </c>
    </row>
    <row r="177" spans="1:7">
      <c r="A177" s="440">
        <v>4700443870</v>
      </c>
      <c r="B177" s="440">
        <v>6100063013</v>
      </c>
      <c r="C177" s="440" t="s">
        <v>631</v>
      </c>
      <c r="D177" s="444">
        <v>44022</v>
      </c>
      <c r="E177" s="445">
        <v>10587</v>
      </c>
      <c r="F177" s="440">
        <v>1001010002</v>
      </c>
      <c r="G177" s="440" t="s">
        <v>632</v>
      </c>
    </row>
    <row r="178" spans="1:7">
      <c r="A178" s="440">
        <v>4700443870</v>
      </c>
      <c r="B178" s="440">
        <v>6100063013</v>
      </c>
      <c r="C178" s="440" t="s">
        <v>631</v>
      </c>
      <c r="D178" s="444">
        <v>44022</v>
      </c>
      <c r="E178" s="445">
        <v>7700</v>
      </c>
      <c r="F178" s="440">
        <v>1001010002</v>
      </c>
      <c r="G178" s="440" t="s">
        <v>632</v>
      </c>
    </row>
    <row r="179" spans="1:7">
      <c r="A179" s="440">
        <v>4700443870</v>
      </c>
      <c r="B179" s="440">
        <v>6100063013</v>
      </c>
      <c r="C179" s="440" t="s">
        <v>631</v>
      </c>
      <c r="D179" s="444">
        <v>44022</v>
      </c>
      <c r="E179" s="445">
        <v>6680</v>
      </c>
      <c r="F179" s="440">
        <v>1001010002</v>
      </c>
      <c r="G179" s="440" t="s">
        <v>632</v>
      </c>
    </row>
    <row r="180" spans="1:7">
      <c r="A180" s="440">
        <v>4700443870</v>
      </c>
      <c r="B180" s="440">
        <v>6100063013</v>
      </c>
      <c r="C180" s="440" t="s">
        <v>631</v>
      </c>
      <c r="D180" s="444">
        <v>44022</v>
      </c>
      <c r="E180" s="445">
        <v>8656</v>
      </c>
      <c r="F180" s="440">
        <v>1001010002</v>
      </c>
      <c r="G180" s="440" t="s">
        <v>632</v>
      </c>
    </row>
    <row r="181" spans="1:7">
      <c r="A181" s="440">
        <v>4700443870</v>
      </c>
      <c r="B181" s="440">
        <v>6100063013</v>
      </c>
      <c r="C181" s="440" t="s">
        <v>631</v>
      </c>
      <c r="D181" s="444">
        <v>44022</v>
      </c>
      <c r="E181" s="445">
        <v>9204</v>
      </c>
      <c r="F181" s="440">
        <v>1001010002</v>
      </c>
      <c r="G181" s="440" t="s">
        <v>632</v>
      </c>
    </row>
    <row r="182" spans="1:7">
      <c r="A182" s="440">
        <v>4700443870</v>
      </c>
      <c r="B182" s="440">
        <v>6100063013</v>
      </c>
      <c r="C182" s="440" t="s">
        <v>631</v>
      </c>
      <c r="D182" s="444">
        <v>44022</v>
      </c>
      <c r="E182" s="445">
        <v>19400</v>
      </c>
      <c r="F182" s="440">
        <v>1001010002</v>
      </c>
      <c r="G182" s="440" t="s">
        <v>632</v>
      </c>
    </row>
    <row r="183" spans="1:7">
      <c r="A183" s="440">
        <v>4700457989</v>
      </c>
      <c r="B183" s="440">
        <v>6100071625</v>
      </c>
      <c r="C183" s="440" t="s">
        <v>631</v>
      </c>
      <c r="D183" s="444">
        <v>44057</v>
      </c>
      <c r="E183" s="445">
        <v>2050</v>
      </c>
      <c r="F183" s="440">
        <v>1001010002</v>
      </c>
      <c r="G183" s="440" t="s">
        <v>632</v>
      </c>
    </row>
    <row r="184" spans="1:7">
      <c r="A184" s="440">
        <v>4700457989</v>
      </c>
      <c r="B184" s="440">
        <v>6100071625</v>
      </c>
      <c r="C184" s="440" t="s">
        <v>631</v>
      </c>
      <c r="D184" s="444">
        <v>44057</v>
      </c>
      <c r="E184" s="445">
        <v>2250</v>
      </c>
      <c r="F184" s="440">
        <v>1001010002</v>
      </c>
      <c r="G184" s="440" t="s">
        <v>632</v>
      </c>
    </row>
    <row r="185" spans="1:7">
      <c r="A185" s="440">
        <v>4700457989</v>
      </c>
      <c r="B185" s="440">
        <v>6100071625</v>
      </c>
      <c r="C185" s="440" t="s">
        <v>631</v>
      </c>
      <c r="D185" s="444">
        <v>44057</v>
      </c>
      <c r="E185" s="445">
        <v>10590</v>
      </c>
      <c r="F185" s="440">
        <v>1001010002</v>
      </c>
      <c r="G185" s="440" t="s">
        <v>632</v>
      </c>
    </row>
    <row r="186" spans="1:7">
      <c r="A186" s="440">
        <v>4700457989</v>
      </c>
      <c r="B186" s="440">
        <v>6100071625</v>
      </c>
      <c r="C186" s="440" t="s">
        <v>631</v>
      </c>
      <c r="D186" s="444">
        <v>44057</v>
      </c>
      <c r="E186" s="445">
        <v>5400</v>
      </c>
      <c r="F186" s="440">
        <v>1001010002</v>
      </c>
      <c r="G186" s="440" t="s">
        <v>632</v>
      </c>
    </row>
    <row r="187" spans="1:7">
      <c r="A187" s="440">
        <v>4700457989</v>
      </c>
      <c r="B187" s="440">
        <v>6100071625</v>
      </c>
      <c r="C187" s="440" t="s">
        <v>631</v>
      </c>
      <c r="D187" s="444">
        <v>44057</v>
      </c>
      <c r="E187" s="445">
        <v>65400</v>
      </c>
      <c r="F187" s="440">
        <v>1001010002</v>
      </c>
      <c r="G187" s="440" t="s">
        <v>632</v>
      </c>
    </row>
    <row r="188" spans="1:7">
      <c r="A188" s="440">
        <v>4700457989</v>
      </c>
      <c r="B188" s="440">
        <v>6100071625</v>
      </c>
      <c r="C188" s="440" t="s">
        <v>631</v>
      </c>
      <c r="D188" s="444">
        <v>44057</v>
      </c>
      <c r="E188" s="445">
        <v>11008</v>
      </c>
      <c r="F188" s="440">
        <v>1001010002</v>
      </c>
      <c r="G188" s="440" t="s">
        <v>632</v>
      </c>
    </row>
    <row r="189" spans="1:7">
      <c r="A189" s="440">
        <v>4700457989</v>
      </c>
      <c r="B189" s="440">
        <v>6100071625</v>
      </c>
      <c r="C189" s="440" t="s">
        <v>631</v>
      </c>
      <c r="D189" s="444">
        <v>44057</v>
      </c>
      <c r="E189" s="445">
        <v>5546</v>
      </c>
      <c r="F189" s="440">
        <v>1001010002</v>
      </c>
      <c r="G189" s="440" t="s">
        <v>632</v>
      </c>
    </row>
    <row r="190" spans="1:7">
      <c r="A190" s="440">
        <v>4700457989</v>
      </c>
      <c r="B190" s="440">
        <v>6100071625</v>
      </c>
      <c r="C190" s="440" t="s">
        <v>631</v>
      </c>
      <c r="D190" s="444">
        <v>44057</v>
      </c>
      <c r="E190" s="445">
        <v>6134</v>
      </c>
      <c r="F190" s="440">
        <v>1001010002</v>
      </c>
      <c r="G190" s="440" t="s">
        <v>632</v>
      </c>
    </row>
    <row r="191" spans="1:7">
      <c r="A191" s="440">
        <v>4700469049</v>
      </c>
      <c r="B191" s="440">
        <v>6100079174</v>
      </c>
      <c r="C191" s="440" t="s">
        <v>631</v>
      </c>
      <c r="D191" s="444">
        <v>44082</v>
      </c>
      <c r="E191" s="445">
        <v>11008</v>
      </c>
      <c r="F191" s="440">
        <v>1001010002</v>
      </c>
      <c r="G191" s="440" t="s">
        <v>632</v>
      </c>
    </row>
    <row r="192" spans="1:7">
      <c r="A192" s="440">
        <v>4700469049</v>
      </c>
      <c r="B192" s="440">
        <v>6100079174</v>
      </c>
      <c r="C192" s="440" t="s">
        <v>631</v>
      </c>
      <c r="D192" s="444">
        <v>44082</v>
      </c>
      <c r="E192" s="445">
        <v>2226</v>
      </c>
      <c r="F192" s="440">
        <v>1001010002</v>
      </c>
      <c r="G192" s="440" t="s">
        <v>632</v>
      </c>
    </row>
    <row r="193" spans="1:7">
      <c r="A193" s="440">
        <v>4700469049</v>
      </c>
      <c r="B193" s="440">
        <v>6100079174</v>
      </c>
      <c r="C193" s="440" t="s">
        <v>631</v>
      </c>
      <c r="D193" s="444">
        <v>44082</v>
      </c>
      <c r="E193" s="445">
        <v>7058</v>
      </c>
      <c r="F193" s="440">
        <v>1001010002</v>
      </c>
      <c r="G193" s="440" t="s">
        <v>632</v>
      </c>
    </row>
    <row r="194" spans="1:7">
      <c r="A194" s="440">
        <v>4700469049</v>
      </c>
      <c r="B194" s="440">
        <v>6100079174</v>
      </c>
      <c r="C194" s="440" t="s">
        <v>631</v>
      </c>
      <c r="D194" s="444">
        <v>44082</v>
      </c>
      <c r="E194" s="445">
        <v>35600</v>
      </c>
      <c r="F194" s="440">
        <v>1001010002</v>
      </c>
      <c r="G194" s="440" t="s">
        <v>632</v>
      </c>
    </row>
    <row r="195" spans="1:7">
      <c r="A195" s="440">
        <v>4700469049</v>
      </c>
      <c r="B195" s="440">
        <v>6100079174</v>
      </c>
      <c r="C195" s="440" t="s">
        <v>631</v>
      </c>
      <c r="D195" s="444">
        <v>44082</v>
      </c>
      <c r="E195" s="445">
        <v>8229</v>
      </c>
      <c r="F195" s="440">
        <v>1001010002</v>
      </c>
      <c r="G195" s="440" t="s">
        <v>632</v>
      </c>
    </row>
    <row r="196" spans="1:7">
      <c r="A196" s="440">
        <v>4700469049</v>
      </c>
      <c r="B196" s="440">
        <v>6100079174</v>
      </c>
      <c r="C196" s="440" t="s">
        <v>631</v>
      </c>
      <c r="D196" s="444">
        <v>44082</v>
      </c>
      <c r="E196" s="445">
        <v>10756</v>
      </c>
      <c r="F196" s="440">
        <v>1001010002</v>
      </c>
      <c r="G196" s="440" t="s">
        <v>632</v>
      </c>
    </row>
    <row r="197" spans="1:7">
      <c r="A197" s="440">
        <v>4700469049</v>
      </c>
      <c r="B197" s="440">
        <v>6100079174</v>
      </c>
      <c r="C197" s="440" t="s">
        <v>631</v>
      </c>
      <c r="D197" s="444">
        <v>44082</v>
      </c>
      <c r="E197" s="445">
        <v>9700</v>
      </c>
      <c r="F197" s="440">
        <v>1001010002</v>
      </c>
      <c r="G197" s="440" t="s">
        <v>632</v>
      </c>
    </row>
    <row r="198" spans="1:7">
      <c r="A198" s="440">
        <v>4700469049</v>
      </c>
      <c r="B198" s="440">
        <v>6100079174</v>
      </c>
      <c r="C198" s="440" t="s">
        <v>631</v>
      </c>
      <c r="D198" s="444">
        <v>44082</v>
      </c>
      <c r="E198" s="445">
        <v>12268</v>
      </c>
      <c r="F198" s="440">
        <v>1001010002</v>
      </c>
      <c r="G198" s="440" t="s">
        <v>632</v>
      </c>
    </row>
    <row r="199" spans="1:7">
      <c r="A199" s="440">
        <v>4700469049</v>
      </c>
      <c r="B199" s="440">
        <v>6100079174</v>
      </c>
      <c r="C199" s="440" t="s">
        <v>631</v>
      </c>
      <c r="D199" s="444">
        <v>44082</v>
      </c>
      <c r="E199" s="445">
        <v>5546</v>
      </c>
      <c r="F199" s="440">
        <v>1001010002</v>
      </c>
      <c r="G199" s="440" t="s">
        <v>632</v>
      </c>
    </row>
    <row r="200" spans="1:7">
      <c r="A200" s="440">
        <v>4700469049</v>
      </c>
      <c r="B200" s="440">
        <v>6100079174</v>
      </c>
      <c r="C200" s="440" t="s">
        <v>631</v>
      </c>
      <c r="D200" s="444">
        <v>44082</v>
      </c>
      <c r="E200" s="445">
        <v>2050</v>
      </c>
      <c r="F200" s="440">
        <v>1001010002</v>
      </c>
      <c r="G200" s="440" t="s">
        <v>632</v>
      </c>
    </row>
    <row r="201" spans="1:7">
      <c r="A201" s="440">
        <v>4700469049</v>
      </c>
      <c r="B201" s="440">
        <v>6100079174</v>
      </c>
      <c r="C201" s="440" t="s">
        <v>631</v>
      </c>
      <c r="D201" s="444">
        <v>44082</v>
      </c>
      <c r="E201" s="445">
        <v>2050</v>
      </c>
      <c r="F201" s="440">
        <v>1001010002</v>
      </c>
      <c r="G201" s="440" t="s">
        <v>632</v>
      </c>
    </row>
    <row r="202" spans="1:7">
      <c r="A202" s="440">
        <v>4700469049</v>
      </c>
      <c r="B202" s="440">
        <v>6100079174</v>
      </c>
      <c r="C202" s="440" t="s">
        <v>631</v>
      </c>
      <c r="D202" s="444">
        <v>44082</v>
      </c>
      <c r="E202" s="445">
        <v>8404</v>
      </c>
      <c r="F202" s="440">
        <v>1001010002</v>
      </c>
      <c r="G202" s="440" t="s">
        <v>632</v>
      </c>
    </row>
    <row r="203" spans="1:7">
      <c r="A203" s="440">
        <v>4700485215</v>
      </c>
      <c r="B203" s="440">
        <v>6100097188</v>
      </c>
      <c r="C203" s="440" t="s">
        <v>631</v>
      </c>
      <c r="D203" s="444">
        <v>44120</v>
      </c>
      <c r="E203" s="445">
        <v>8190</v>
      </c>
      <c r="F203" s="440">
        <v>1001010002</v>
      </c>
      <c r="G203" s="440" t="s">
        <v>632</v>
      </c>
    </row>
    <row r="204" spans="1:7">
      <c r="A204" s="440">
        <v>4700485215</v>
      </c>
      <c r="B204" s="440">
        <v>6100097188</v>
      </c>
      <c r="C204" s="440" t="s">
        <v>631</v>
      </c>
      <c r="D204" s="444">
        <v>44120</v>
      </c>
      <c r="E204" s="445">
        <v>7058</v>
      </c>
      <c r="F204" s="440">
        <v>1001010002</v>
      </c>
      <c r="G204" s="440" t="s">
        <v>632</v>
      </c>
    </row>
    <row r="205" spans="1:7">
      <c r="A205" s="440">
        <v>4700485215</v>
      </c>
      <c r="B205" s="440">
        <v>6100097188</v>
      </c>
      <c r="C205" s="440" t="s">
        <v>631</v>
      </c>
      <c r="D205" s="444">
        <v>44120</v>
      </c>
      <c r="E205" s="445">
        <v>6900</v>
      </c>
      <c r="F205" s="440">
        <v>1001010002</v>
      </c>
      <c r="G205" s="440" t="s">
        <v>632</v>
      </c>
    </row>
    <row r="206" spans="1:7">
      <c r="A206" s="440">
        <v>4700485215</v>
      </c>
      <c r="B206" s="440">
        <v>6100097188</v>
      </c>
      <c r="C206" s="440" t="s">
        <v>631</v>
      </c>
      <c r="D206" s="444">
        <v>44120</v>
      </c>
      <c r="E206" s="445">
        <v>32700</v>
      </c>
      <c r="F206" s="440">
        <v>1001010002</v>
      </c>
      <c r="G206" s="440" t="s">
        <v>632</v>
      </c>
    </row>
    <row r="207" spans="1:7">
      <c r="A207" s="440">
        <v>4700485215</v>
      </c>
      <c r="B207" s="440">
        <v>6100097188</v>
      </c>
      <c r="C207" s="440" t="s">
        <v>631</v>
      </c>
      <c r="D207" s="444">
        <v>44120</v>
      </c>
      <c r="E207" s="445">
        <v>8027</v>
      </c>
      <c r="F207" s="440">
        <v>1001010002</v>
      </c>
      <c r="G207" s="440" t="s">
        <v>632</v>
      </c>
    </row>
    <row r="208" spans="1:7">
      <c r="A208" s="440">
        <v>4700485215</v>
      </c>
      <c r="B208" s="440">
        <v>6100097188</v>
      </c>
      <c r="C208" s="440" t="s">
        <v>631</v>
      </c>
      <c r="D208" s="444">
        <v>44120</v>
      </c>
      <c r="E208" s="445">
        <v>11006</v>
      </c>
      <c r="F208" s="440">
        <v>1001010002</v>
      </c>
      <c r="G208" s="440" t="s">
        <v>632</v>
      </c>
    </row>
    <row r="209" spans="1:7">
      <c r="A209" s="440">
        <v>4700485215</v>
      </c>
      <c r="B209" s="440">
        <v>6100097188</v>
      </c>
      <c r="C209" s="440" t="s">
        <v>631</v>
      </c>
      <c r="D209" s="444">
        <v>44120</v>
      </c>
      <c r="E209" s="445">
        <v>1750</v>
      </c>
      <c r="F209" s="440">
        <v>1001010002</v>
      </c>
      <c r="G209" s="440" t="s">
        <v>632</v>
      </c>
    </row>
    <row r="210" spans="1:7">
      <c r="A210" s="440">
        <v>4700485215</v>
      </c>
      <c r="B210" s="440">
        <v>6100097188</v>
      </c>
      <c r="C210" s="440" t="s">
        <v>631</v>
      </c>
      <c r="D210" s="444">
        <v>44120</v>
      </c>
      <c r="E210" s="445">
        <v>5400</v>
      </c>
      <c r="F210" s="440">
        <v>1001010002</v>
      </c>
      <c r="G210" s="440" t="s">
        <v>632</v>
      </c>
    </row>
    <row r="211" spans="1:7">
      <c r="A211" s="440">
        <v>4700485215</v>
      </c>
      <c r="B211" s="440">
        <v>6100097188</v>
      </c>
      <c r="C211" s="440" t="s">
        <v>631</v>
      </c>
      <c r="D211" s="444">
        <v>44120</v>
      </c>
      <c r="E211" s="445">
        <v>5296</v>
      </c>
      <c r="F211" s="440">
        <v>1001010002</v>
      </c>
      <c r="G211" s="440" t="s">
        <v>632</v>
      </c>
    </row>
    <row r="212" spans="1:7">
      <c r="A212" s="440">
        <v>4700485215</v>
      </c>
      <c r="B212" s="440">
        <v>6100097188</v>
      </c>
      <c r="C212" s="440" t="s">
        <v>631</v>
      </c>
      <c r="D212" s="444">
        <v>44120</v>
      </c>
      <c r="E212" s="445">
        <v>12268</v>
      </c>
      <c r="F212" s="440">
        <v>1001010002</v>
      </c>
      <c r="G212" s="440" t="s">
        <v>632</v>
      </c>
    </row>
    <row r="213" spans="1:7">
      <c r="A213" s="440">
        <v>4700485215</v>
      </c>
      <c r="B213" s="440">
        <v>6100097188</v>
      </c>
      <c r="C213" s="440" t="s">
        <v>631</v>
      </c>
      <c r="D213" s="444">
        <v>44120</v>
      </c>
      <c r="E213" s="445">
        <v>1600</v>
      </c>
      <c r="F213" s="440">
        <v>1001010002</v>
      </c>
      <c r="G213" s="440" t="s">
        <v>632</v>
      </c>
    </row>
    <row r="214" spans="1:7">
      <c r="A214" s="440">
        <v>4700485215</v>
      </c>
      <c r="B214" s="440">
        <v>6100097188</v>
      </c>
      <c r="C214" s="440" t="s">
        <v>631</v>
      </c>
      <c r="D214" s="444">
        <v>44120</v>
      </c>
      <c r="E214" s="445">
        <v>12609</v>
      </c>
      <c r="F214" s="440">
        <v>1001010002</v>
      </c>
      <c r="G214" s="440" t="s">
        <v>632</v>
      </c>
    </row>
    <row r="215" spans="1:7">
      <c r="A215" s="440">
        <v>4700485215</v>
      </c>
      <c r="B215" s="440">
        <v>6100097188</v>
      </c>
      <c r="C215" s="440" t="s">
        <v>631</v>
      </c>
      <c r="D215" s="444">
        <v>44120</v>
      </c>
      <c r="E215" s="445">
        <v>9500</v>
      </c>
      <c r="F215" s="440">
        <v>1001010002</v>
      </c>
      <c r="G215" s="440" t="s">
        <v>632</v>
      </c>
    </row>
    <row r="216" spans="1:7">
      <c r="A216" s="440">
        <v>4700498808</v>
      </c>
      <c r="B216" s="440">
        <v>6100114854</v>
      </c>
      <c r="C216" s="440" t="s">
        <v>631</v>
      </c>
      <c r="D216" s="444">
        <v>44148</v>
      </c>
      <c r="E216" s="445">
        <v>16600</v>
      </c>
      <c r="F216" s="440">
        <v>1001010002</v>
      </c>
      <c r="G216" s="440" t="s">
        <v>632</v>
      </c>
    </row>
    <row r="217" spans="1:7">
      <c r="A217" s="440">
        <v>4700498808</v>
      </c>
      <c r="B217" s="440">
        <v>6100114854</v>
      </c>
      <c r="C217" s="440" t="s">
        <v>631</v>
      </c>
      <c r="D217" s="444">
        <v>44148</v>
      </c>
      <c r="E217" s="445">
        <v>9500</v>
      </c>
      <c r="F217" s="440">
        <v>1001010002</v>
      </c>
      <c r="G217" s="440" t="s">
        <v>632</v>
      </c>
    </row>
    <row r="218" spans="1:7">
      <c r="A218" s="440">
        <v>4700498808</v>
      </c>
      <c r="B218" s="440">
        <v>6100114854</v>
      </c>
      <c r="C218" s="440" t="s">
        <v>631</v>
      </c>
      <c r="D218" s="444">
        <v>44148</v>
      </c>
      <c r="E218" s="445">
        <v>11092</v>
      </c>
      <c r="F218" s="440">
        <v>1001010002</v>
      </c>
      <c r="G218" s="440" t="s">
        <v>632</v>
      </c>
    </row>
    <row r="219" spans="1:7">
      <c r="A219" s="440">
        <v>4700498808</v>
      </c>
      <c r="B219" s="440">
        <v>6100114854</v>
      </c>
      <c r="C219" s="440" t="s">
        <v>631</v>
      </c>
      <c r="D219" s="444">
        <v>44148</v>
      </c>
      <c r="E219" s="445">
        <v>4600</v>
      </c>
      <c r="F219" s="440">
        <v>1001010002</v>
      </c>
      <c r="G219" s="440" t="s">
        <v>632</v>
      </c>
    </row>
    <row r="220" spans="1:7">
      <c r="A220" s="440">
        <v>4700498808</v>
      </c>
      <c r="B220" s="440">
        <v>6100114854</v>
      </c>
      <c r="C220" s="440" t="s">
        <v>631</v>
      </c>
      <c r="D220" s="444">
        <v>44148</v>
      </c>
      <c r="E220" s="445">
        <v>5300</v>
      </c>
      <c r="F220" s="440">
        <v>1001010002</v>
      </c>
      <c r="G220" s="440" t="s">
        <v>632</v>
      </c>
    </row>
    <row r="221" spans="1:7">
      <c r="A221" s="440">
        <v>4700498808</v>
      </c>
      <c r="B221" s="440">
        <v>6100114854</v>
      </c>
      <c r="C221" s="440" t="s">
        <v>631</v>
      </c>
      <c r="D221" s="444">
        <v>44148</v>
      </c>
      <c r="E221" s="445">
        <v>9832</v>
      </c>
      <c r="F221" s="440">
        <v>1001010002</v>
      </c>
      <c r="G221" s="440" t="s">
        <v>632</v>
      </c>
    </row>
    <row r="222" spans="1:7">
      <c r="A222" s="440">
        <v>4700498808</v>
      </c>
      <c r="B222" s="440">
        <v>6100114854</v>
      </c>
      <c r="C222" s="440" t="s">
        <v>631</v>
      </c>
      <c r="D222" s="444">
        <v>44148</v>
      </c>
      <c r="E222" s="445">
        <v>6000</v>
      </c>
      <c r="F222" s="440">
        <v>1001010002</v>
      </c>
      <c r="G222" s="440" t="s">
        <v>632</v>
      </c>
    </row>
    <row r="223" spans="1:7">
      <c r="A223" s="440">
        <v>4700498808</v>
      </c>
      <c r="B223" s="440">
        <v>6100114854</v>
      </c>
      <c r="C223" s="440" t="s">
        <v>631</v>
      </c>
      <c r="D223" s="444">
        <v>44148</v>
      </c>
      <c r="E223" s="445">
        <v>3800</v>
      </c>
      <c r="F223" s="440">
        <v>1001010002</v>
      </c>
      <c r="G223" s="440" t="s">
        <v>632</v>
      </c>
    </row>
    <row r="224" spans="1:7">
      <c r="A224" s="440">
        <v>4700498808</v>
      </c>
      <c r="B224" s="440">
        <v>6100114854</v>
      </c>
      <c r="C224" s="440" t="s">
        <v>631</v>
      </c>
      <c r="D224" s="444">
        <v>44148</v>
      </c>
      <c r="E224" s="445">
        <v>2250</v>
      </c>
      <c r="F224" s="440">
        <v>1001010002</v>
      </c>
      <c r="G224" s="440" t="s">
        <v>632</v>
      </c>
    </row>
    <row r="225" spans="1:7">
      <c r="A225" s="440">
        <v>4700498808</v>
      </c>
      <c r="B225" s="440">
        <v>6100114854</v>
      </c>
      <c r="C225" s="440" t="s">
        <v>631</v>
      </c>
      <c r="D225" s="444">
        <v>44148</v>
      </c>
      <c r="E225" s="445">
        <v>1900</v>
      </c>
      <c r="F225" s="440">
        <v>1001010002</v>
      </c>
      <c r="G225" s="440" t="s">
        <v>632</v>
      </c>
    </row>
    <row r="226" spans="1:7">
      <c r="A226" s="440">
        <v>4700498808</v>
      </c>
      <c r="B226" s="440">
        <v>6100114854</v>
      </c>
      <c r="C226" s="440" t="s">
        <v>631</v>
      </c>
      <c r="D226" s="444">
        <v>44148</v>
      </c>
      <c r="E226" s="445">
        <v>10587</v>
      </c>
      <c r="F226" s="440">
        <v>1001010002</v>
      </c>
      <c r="G226" s="440" t="s">
        <v>632</v>
      </c>
    </row>
    <row r="227" spans="1:7">
      <c r="A227" s="440">
        <v>4700498808</v>
      </c>
      <c r="B227" s="440">
        <v>6100114854</v>
      </c>
      <c r="C227" s="440" t="s">
        <v>631</v>
      </c>
      <c r="D227" s="444">
        <v>44148</v>
      </c>
      <c r="E227" s="445">
        <v>10000</v>
      </c>
      <c r="F227" s="440">
        <v>1001010002</v>
      </c>
      <c r="G227" s="440" t="s">
        <v>632</v>
      </c>
    </row>
    <row r="228" spans="1:7">
      <c r="A228" s="440">
        <v>4700498808</v>
      </c>
      <c r="B228" s="440">
        <v>6100114854</v>
      </c>
      <c r="C228" s="440" t="s">
        <v>631</v>
      </c>
      <c r="D228" s="444">
        <v>44148</v>
      </c>
      <c r="E228" s="445">
        <v>11008</v>
      </c>
      <c r="F228" s="440">
        <v>1001010002</v>
      </c>
      <c r="G228" s="440" t="s">
        <v>632</v>
      </c>
    </row>
    <row r="229" spans="1:7">
      <c r="A229" s="440">
        <v>4700510327</v>
      </c>
      <c r="B229" s="440">
        <v>6100130831</v>
      </c>
      <c r="C229" s="440" t="s">
        <v>631</v>
      </c>
      <c r="D229" s="444">
        <v>44171</v>
      </c>
      <c r="E229" s="445">
        <v>2773</v>
      </c>
      <c r="F229" s="440">
        <v>1001010002</v>
      </c>
      <c r="G229" s="440" t="s">
        <v>632</v>
      </c>
    </row>
    <row r="230" spans="1:7">
      <c r="A230" s="440">
        <v>4700510327</v>
      </c>
      <c r="B230" s="440">
        <v>6100130831</v>
      </c>
      <c r="C230" s="440" t="s">
        <v>631</v>
      </c>
      <c r="D230" s="444">
        <v>44171</v>
      </c>
      <c r="E230" s="445">
        <v>9201</v>
      </c>
      <c r="F230" s="440">
        <v>1001010002</v>
      </c>
      <c r="G230" s="440" t="s">
        <v>632</v>
      </c>
    </row>
    <row r="231" spans="1:7">
      <c r="A231" s="440">
        <v>4700510327</v>
      </c>
      <c r="B231" s="440">
        <v>6100130831</v>
      </c>
      <c r="C231" s="440" t="s">
        <v>631</v>
      </c>
      <c r="D231" s="444">
        <v>44171</v>
      </c>
      <c r="E231" s="445">
        <v>4600</v>
      </c>
      <c r="F231" s="440">
        <v>1001010002</v>
      </c>
      <c r="G231" s="440" t="s">
        <v>632</v>
      </c>
    </row>
    <row r="232" spans="1:7">
      <c r="A232" s="440">
        <v>4700510327</v>
      </c>
      <c r="B232" s="440">
        <v>6100130831</v>
      </c>
      <c r="C232" s="440" t="s">
        <v>631</v>
      </c>
      <c r="D232" s="444">
        <v>44171</v>
      </c>
      <c r="E232" s="445">
        <v>1900</v>
      </c>
      <c r="F232" s="440">
        <v>1001010002</v>
      </c>
      <c r="G232" s="440" t="s">
        <v>632</v>
      </c>
    </row>
    <row r="233" spans="1:7">
      <c r="A233" s="440">
        <v>4700510327</v>
      </c>
      <c r="B233" s="440">
        <v>6100130831</v>
      </c>
      <c r="C233" s="440" t="s">
        <v>631</v>
      </c>
      <c r="D233" s="444">
        <v>44171</v>
      </c>
      <c r="E233" s="445">
        <v>2050</v>
      </c>
      <c r="F233" s="440">
        <v>1001010002</v>
      </c>
      <c r="G233" s="440" t="s">
        <v>632</v>
      </c>
    </row>
    <row r="234" spans="1:7">
      <c r="A234" s="440">
        <v>4700510327</v>
      </c>
      <c r="B234" s="440">
        <v>6100130831</v>
      </c>
      <c r="C234" s="440" t="s">
        <v>631</v>
      </c>
      <c r="D234" s="444">
        <v>44171</v>
      </c>
      <c r="E234" s="445">
        <v>1900</v>
      </c>
      <c r="F234" s="440">
        <v>1001010002</v>
      </c>
      <c r="G234" s="440" t="s">
        <v>632</v>
      </c>
    </row>
    <row r="235" spans="1:7">
      <c r="A235" s="440">
        <v>4700510327</v>
      </c>
      <c r="B235" s="440">
        <v>6100130831</v>
      </c>
      <c r="C235" s="440" t="s">
        <v>631</v>
      </c>
      <c r="D235" s="444">
        <v>44171</v>
      </c>
      <c r="E235" s="445">
        <v>14116</v>
      </c>
      <c r="F235" s="440">
        <v>1001010002</v>
      </c>
      <c r="G235" s="440" t="s">
        <v>632</v>
      </c>
    </row>
    <row r="236" spans="1:7">
      <c r="A236" s="440">
        <v>4700510327</v>
      </c>
      <c r="B236" s="440">
        <v>6100130831</v>
      </c>
      <c r="C236" s="440" t="s">
        <v>631</v>
      </c>
      <c r="D236" s="444">
        <v>44171</v>
      </c>
      <c r="E236" s="445">
        <v>10000</v>
      </c>
      <c r="F236" s="440">
        <v>1001010002</v>
      </c>
      <c r="G236" s="440" t="s">
        <v>632</v>
      </c>
    </row>
    <row r="237" spans="1:7">
      <c r="A237" s="440">
        <v>4700510327</v>
      </c>
      <c r="B237" s="440">
        <v>6100130831</v>
      </c>
      <c r="C237" s="440" t="s">
        <v>631</v>
      </c>
      <c r="D237" s="444">
        <v>44171</v>
      </c>
      <c r="E237" s="445">
        <v>11008</v>
      </c>
      <c r="F237" s="440">
        <v>1001010002</v>
      </c>
      <c r="G237" s="440" t="s">
        <v>632</v>
      </c>
    </row>
    <row r="238" spans="1:7">
      <c r="A238" s="440">
        <v>4700526179</v>
      </c>
      <c r="B238" s="440">
        <v>6100005277</v>
      </c>
      <c r="C238" s="440" t="s">
        <v>631</v>
      </c>
      <c r="D238" s="444">
        <v>44211</v>
      </c>
      <c r="E238" s="445">
        <v>11092</v>
      </c>
      <c r="F238" s="440">
        <v>1001010002</v>
      </c>
      <c r="G238" s="440" t="s">
        <v>632</v>
      </c>
    </row>
    <row r="239" spans="1:7">
      <c r="A239" s="440">
        <v>4700526179</v>
      </c>
      <c r="B239" s="440">
        <v>6100005277</v>
      </c>
      <c r="C239" s="440" t="s">
        <v>631</v>
      </c>
      <c r="D239" s="444">
        <v>44211</v>
      </c>
      <c r="E239" s="445">
        <v>4600</v>
      </c>
      <c r="F239" s="440">
        <v>1001010002</v>
      </c>
      <c r="G239" s="440" t="s">
        <v>632</v>
      </c>
    </row>
    <row r="240" spans="1:7">
      <c r="A240" s="440">
        <v>4700526179</v>
      </c>
      <c r="B240" s="440">
        <v>6100005277</v>
      </c>
      <c r="C240" s="440" t="s">
        <v>631</v>
      </c>
      <c r="D240" s="444">
        <v>44211</v>
      </c>
      <c r="E240" s="445">
        <v>1900</v>
      </c>
      <c r="F240" s="440">
        <v>1001010002</v>
      </c>
      <c r="G240" s="440" t="s">
        <v>632</v>
      </c>
    </row>
    <row r="241" spans="1:7">
      <c r="A241" s="440">
        <v>4700526179</v>
      </c>
      <c r="B241" s="440">
        <v>6100005277</v>
      </c>
      <c r="C241" s="440" t="s">
        <v>631</v>
      </c>
      <c r="D241" s="444">
        <v>44211</v>
      </c>
      <c r="E241" s="445">
        <v>3800</v>
      </c>
      <c r="F241" s="440">
        <v>1001010002</v>
      </c>
      <c r="G241" s="440" t="s">
        <v>632</v>
      </c>
    </row>
    <row r="242" spans="1:7">
      <c r="A242" s="440">
        <v>4700526179</v>
      </c>
      <c r="B242" s="440">
        <v>6100005277</v>
      </c>
      <c r="C242" s="440" t="s">
        <v>631</v>
      </c>
      <c r="D242" s="444">
        <v>44211</v>
      </c>
      <c r="E242" s="445">
        <v>14116</v>
      </c>
      <c r="F242" s="440">
        <v>1001010002</v>
      </c>
      <c r="G242" s="440" t="s">
        <v>632</v>
      </c>
    </row>
    <row r="243" spans="1:7">
      <c r="A243" s="440">
        <v>4700526179</v>
      </c>
      <c r="B243" s="440">
        <v>6100005277</v>
      </c>
      <c r="C243" s="440" t="s">
        <v>631</v>
      </c>
      <c r="D243" s="444">
        <v>44211</v>
      </c>
      <c r="E243" s="445">
        <v>8193</v>
      </c>
      <c r="F243" s="440">
        <v>1001010002</v>
      </c>
      <c r="G243" s="440" t="s">
        <v>632</v>
      </c>
    </row>
    <row r="244" spans="1:7">
      <c r="A244" s="440">
        <v>4700526179</v>
      </c>
      <c r="B244" s="440">
        <v>6100005277</v>
      </c>
      <c r="C244" s="440" t="s">
        <v>631</v>
      </c>
      <c r="D244" s="444">
        <v>44211</v>
      </c>
      <c r="E244" s="445">
        <v>7478</v>
      </c>
      <c r="F244" s="440">
        <v>1001010002</v>
      </c>
      <c r="G244" s="440" t="s">
        <v>632</v>
      </c>
    </row>
    <row r="245" spans="1:7">
      <c r="A245" s="440">
        <v>4700539523</v>
      </c>
      <c r="B245" s="440">
        <v>6100015771</v>
      </c>
      <c r="C245" s="440" t="s">
        <v>631</v>
      </c>
      <c r="D245" s="444">
        <v>44236</v>
      </c>
      <c r="E245" s="445">
        <v>9201</v>
      </c>
      <c r="F245" s="440">
        <v>1001010002</v>
      </c>
      <c r="G245" s="440" t="s">
        <v>632</v>
      </c>
    </row>
    <row r="246" spans="1:7">
      <c r="A246" s="440">
        <v>4700539523</v>
      </c>
      <c r="B246" s="440">
        <v>6100015771</v>
      </c>
      <c r="C246" s="440" t="s">
        <v>631</v>
      </c>
      <c r="D246" s="444">
        <v>44236</v>
      </c>
      <c r="E246" s="445">
        <v>2773</v>
      </c>
      <c r="F246" s="440">
        <v>1001010002</v>
      </c>
      <c r="G246" s="440" t="s">
        <v>632</v>
      </c>
    </row>
    <row r="247" spans="1:7">
      <c r="A247" s="440">
        <v>4700539523</v>
      </c>
      <c r="B247" s="440">
        <v>6100015771</v>
      </c>
      <c r="C247" s="440" t="s">
        <v>631</v>
      </c>
      <c r="D247" s="444">
        <v>44236</v>
      </c>
      <c r="E247" s="445">
        <v>4600</v>
      </c>
      <c r="F247" s="440">
        <v>1001010002</v>
      </c>
      <c r="G247" s="440" t="s">
        <v>632</v>
      </c>
    </row>
    <row r="248" spans="1:7">
      <c r="A248" s="440">
        <v>4700539523</v>
      </c>
      <c r="B248" s="440">
        <v>6100015771</v>
      </c>
      <c r="C248" s="440" t="s">
        <v>631</v>
      </c>
      <c r="D248" s="444">
        <v>44236</v>
      </c>
      <c r="E248" s="445">
        <v>5300</v>
      </c>
      <c r="F248" s="440">
        <v>1001010002</v>
      </c>
      <c r="G248" s="440" t="s">
        <v>632</v>
      </c>
    </row>
    <row r="249" spans="1:7">
      <c r="A249" s="440">
        <v>4700539523</v>
      </c>
      <c r="B249" s="440">
        <v>6100015771</v>
      </c>
      <c r="C249" s="440" t="s">
        <v>631</v>
      </c>
      <c r="D249" s="444">
        <v>44236</v>
      </c>
      <c r="E249" s="445">
        <v>5400</v>
      </c>
      <c r="F249" s="440">
        <v>1001010002</v>
      </c>
      <c r="G249" s="440" t="s">
        <v>632</v>
      </c>
    </row>
    <row r="250" spans="1:7">
      <c r="A250" s="440">
        <v>4700539523</v>
      </c>
      <c r="B250" s="440">
        <v>6100015771</v>
      </c>
      <c r="C250" s="440" t="s">
        <v>631</v>
      </c>
      <c r="D250" s="444">
        <v>44236</v>
      </c>
      <c r="E250" s="445">
        <v>3500</v>
      </c>
      <c r="F250" s="440">
        <v>1001010002</v>
      </c>
      <c r="G250" s="440" t="s">
        <v>632</v>
      </c>
    </row>
    <row r="251" spans="1:7">
      <c r="A251" s="440">
        <v>4700539523</v>
      </c>
      <c r="B251" s="440">
        <v>6100015771</v>
      </c>
      <c r="C251" s="440" t="s">
        <v>631</v>
      </c>
      <c r="D251" s="444">
        <v>44236</v>
      </c>
      <c r="E251" s="445">
        <v>14116</v>
      </c>
      <c r="F251" s="440">
        <v>1001010002</v>
      </c>
      <c r="G251" s="440" t="s">
        <v>632</v>
      </c>
    </row>
    <row r="252" spans="1:7">
      <c r="A252" s="440">
        <v>4700539523</v>
      </c>
      <c r="B252" s="440">
        <v>6100015771</v>
      </c>
      <c r="C252" s="440" t="s">
        <v>631</v>
      </c>
      <c r="D252" s="444">
        <v>44236</v>
      </c>
      <c r="E252" s="445">
        <v>6103</v>
      </c>
      <c r="F252" s="440">
        <v>1001010002</v>
      </c>
      <c r="G252" s="440" t="s">
        <v>632</v>
      </c>
    </row>
    <row r="253" spans="1:7">
      <c r="A253" s="440">
        <v>4700539523</v>
      </c>
      <c r="B253" s="440">
        <v>6100015771</v>
      </c>
      <c r="C253" s="440" t="s">
        <v>631</v>
      </c>
      <c r="D253" s="444">
        <v>44236</v>
      </c>
      <c r="E253" s="445">
        <v>10000</v>
      </c>
      <c r="F253" s="440">
        <v>1001010002</v>
      </c>
      <c r="G253" s="440" t="s">
        <v>632</v>
      </c>
    </row>
    <row r="254" spans="1:7">
      <c r="A254" s="440">
        <v>4700539523</v>
      </c>
      <c r="B254" s="440">
        <v>6100015771</v>
      </c>
      <c r="C254" s="440" t="s">
        <v>631</v>
      </c>
      <c r="D254" s="444">
        <v>44236</v>
      </c>
      <c r="E254" s="445">
        <v>12858</v>
      </c>
      <c r="F254" s="440">
        <v>1001010002</v>
      </c>
      <c r="G254" s="440" t="s">
        <v>632</v>
      </c>
    </row>
    <row r="255" spans="1:7">
      <c r="A255" s="440">
        <v>4700555014</v>
      </c>
      <c r="B255" s="440">
        <v>6100024215</v>
      </c>
      <c r="C255" s="440" t="s">
        <v>631</v>
      </c>
      <c r="D255" s="444">
        <v>44266</v>
      </c>
      <c r="E255" s="445">
        <v>6134</v>
      </c>
      <c r="F255" s="440">
        <v>1001010002</v>
      </c>
      <c r="G255" s="440" t="s">
        <v>632</v>
      </c>
    </row>
    <row r="256" spans="1:7">
      <c r="A256" s="440">
        <v>4700555014</v>
      </c>
      <c r="B256" s="440">
        <v>6100024215</v>
      </c>
      <c r="C256" s="440" t="s">
        <v>631</v>
      </c>
      <c r="D256" s="444">
        <v>44266</v>
      </c>
      <c r="E256" s="445">
        <v>2773</v>
      </c>
      <c r="F256" s="440">
        <v>1001010002</v>
      </c>
      <c r="G256" s="440" t="s">
        <v>632</v>
      </c>
    </row>
    <row r="257" spans="1:7">
      <c r="A257" s="440">
        <v>4700555014</v>
      </c>
      <c r="B257" s="440">
        <v>6100024215</v>
      </c>
      <c r="C257" s="440" t="s">
        <v>631</v>
      </c>
      <c r="D257" s="444">
        <v>44266</v>
      </c>
      <c r="E257" s="445">
        <v>2690</v>
      </c>
      <c r="F257" s="440">
        <v>1001010002</v>
      </c>
      <c r="G257" s="440" t="s">
        <v>632</v>
      </c>
    </row>
    <row r="258" spans="1:7">
      <c r="A258" s="440">
        <v>4700555014</v>
      </c>
      <c r="B258" s="440">
        <v>6100024215</v>
      </c>
      <c r="C258" s="440" t="s">
        <v>631</v>
      </c>
      <c r="D258" s="444">
        <v>44266</v>
      </c>
      <c r="E258" s="445">
        <v>8277</v>
      </c>
      <c r="F258" s="440">
        <v>1001010002</v>
      </c>
      <c r="G258" s="440" t="s">
        <v>632</v>
      </c>
    </row>
    <row r="259" spans="1:7">
      <c r="A259" s="440">
        <v>4700555014</v>
      </c>
      <c r="B259" s="440">
        <v>6100024215</v>
      </c>
      <c r="C259" s="440" t="s">
        <v>631</v>
      </c>
      <c r="D259" s="444">
        <v>44266</v>
      </c>
      <c r="E259" s="445">
        <v>10504</v>
      </c>
      <c r="F259" s="440">
        <v>1001010002</v>
      </c>
      <c r="G259" s="440" t="s">
        <v>632</v>
      </c>
    </row>
    <row r="260" spans="1:7">
      <c r="A260" s="440">
        <v>4700555014</v>
      </c>
      <c r="B260" s="440">
        <v>6100024215</v>
      </c>
      <c r="C260" s="440" t="s">
        <v>631</v>
      </c>
      <c r="D260" s="444">
        <v>44266</v>
      </c>
      <c r="E260" s="445">
        <v>2050</v>
      </c>
      <c r="F260" s="440">
        <v>1001010002</v>
      </c>
      <c r="G260" s="440" t="s">
        <v>632</v>
      </c>
    </row>
    <row r="261" spans="1:7">
      <c r="A261" s="440">
        <v>4700555014</v>
      </c>
      <c r="B261" s="440">
        <v>6100024215</v>
      </c>
      <c r="C261" s="440" t="s">
        <v>631</v>
      </c>
      <c r="D261" s="444">
        <v>44266</v>
      </c>
      <c r="E261" s="445">
        <v>14116</v>
      </c>
      <c r="F261" s="440">
        <v>1001010002</v>
      </c>
      <c r="G261" s="440" t="s">
        <v>632</v>
      </c>
    </row>
    <row r="262" spans="1:7">
      <c r="A262" s="440">
        <v>4700555014</v>
      </c>
      <c r="B262" s="440">
        <v>6100024215</v>
      </c>
      <c r="C262" s="440" t="s">
        <v>631</v>
      </c>
      <c r="D262" s="444">
        <v>44266</v>
      </c>
      <c r="E262" s="445">
        <v>5400</v>
      </c>
      <c r="F262" s="440">
        <v>1001010002</v>
      </c>
      <c r="G262" s="440" t="s">
        <v>632</v>
      </c>
    </row>
    <row r="263" spans="1:7">
      <c r="A263" s="440">
        <v>4700555014</v>
      </c>
      <c r="B263" s="440">
        <v>6100024215</v>
      </c>
      <c r="C263" s="440" t="s">
        <v>631</v>
      </c>
      <c r="D263" s="444">
        <v>44266</v>
      </c>
      <c r="E263" s="445">
        <v>12858</v>
      </c>
      <c r="F263" s="440">
        <v>1001010002</v>
      </c>
      <c r="G263" s="440" t="s">
        <v>632</v>
      </c>
    </row>
    <row r="264" spans="1:7">
      <c r="A264" s="440">
        <v>4700555014</v>
      </c>
      <c r="B264" s="440">
        <v>6100024215</v>
      </c>
      <c r="C264" s="440" t="s">
        <v>631</v>
      </c>
      <c r="D264" s="444">
        <v>44266</v>
      </c>
      <c r="E264" s="445">
        <v>5549</v>
      </c>
      <c r="F264" s="440">
        <v>1001010002</v>
      </c>
      <c r="G264" s="440" t="s">
        <v>632</v>
      </c>
    </row>
    <row r="265" spans="1:7">
      <c r="A265" s="440">
        <v>4700570506</v>
      </c>
      <c r="B265" s="440">
        <v>6100031399</v>
      </c>
      <c r="C265" s="440" t="s">
        <v>631</v>
      </c>
      <c r="D265" s="444">
        <v>44299</v>
      </c>
      <c r="E265" s="445">
        <v>13000</v>
      </c>
      <c r="F265" s="440">
        <v>1001010002</v>
      </c>
      <c r="G265" s="440" t="s">
        <v>632</v>
      </c>
    </row>
    <row r="266" spans="1:7">
      <c r="A266" s="440">
        <v>4700570506</v>
      </c>
      <c r="B266" s="440">
        <v>6100031399</v>
      </c>
      <c r="C266" s="440" t="s">
        <v>631</v>
      </c>
      <c r="D266" s="444">
        <v>44299</v>
      </c>
      <c r="E266" s="445">
        <v>13900</v>
      </c>
      <c r="F266" s="440">
        <v>1001010002</v>
      </c>
      <c r="G266" s="440" t="s">
        <v>632</v>
      </c>
    </row>
    <row r="267" spans="1:7">
      <c r="A267" s="440">
        <v>4700570506</v>
      </c>
      <c r="B267" s="440">
        <v>6100031399</v>
      </c>
      <c r="C267" s="440" t="s">
        <v>631</v>
      </c>
      <c r="D267" s="444">
        <v>44299</v>
      </c>
      <c r="E267" s="445">
        <v>9500</v>
      </c>
      <c r="F267" s="440">
        <v>1001010002</v>
      </c>
      <c r="G267" s="440" t="s">
        <v>632</v>
      </c>
    </row>
    <row r="268" spans="1:7">
      <c r="A268" s="440">
        <v>4700570506</v>
      </c>
      <c r="B268" s="440">
        <v>6100031399</v>
      </c>
      <c r="C268" s="440" t="s">
        <v>631</v>
      </c>
      <c r="D268" s="444">
        <v>44299</v>
      </c>
      <c r="E268" s="445">
        <v>6134</v>
      </c>
      <c r="F268" s="440">
        <v>1001010002</v>
      </c>
      <c r="G268" s="440" t="s">
        <v>632</v>
      </c>
    </row>
    <row r="269" spans="1:7">
      <c r="A269" s="440">
        <v>4700570506</v>
      </c>
      <c r="B269" s="440">
        <v>6100031399</v>
      </c>
      <c r="C269" s="440" t="s">
        <v>631</v>
      </c>
      <c r="D269" s="444">
        <v>44299</v>
      </c>
      <c r="E269" s="445">
        <v>2773</v>
      </c>
      <c r="F269" s="440">
        <v>1001010002</v>
      </c>
      <c r="G269" s="440" t="s">
        <v>632</v>
      </c>
    </row>
    <row r="270" spans="1:7">
      <c r="A270" s="440">
        <v>4700570506</v>
      </c>
      <c r="B270" s="440">
        <v>6100031399</v>
      </c>
      <c r="C270" s="440" t="s">
        <v>631</v>
      </c>
      <c r="D270" s="444">
        <v>44299</v>
      </c>
      <c r="E270" s="445">
        <v>4600</v>
      </c>
      <c r="F270" s="440">
        <v>1001010002</v>
      </c>
      <c r="G270" s="440" t="s">
        <v>632</v>
      </c>
    </row>
    <row r="271" spans="1:7">
      <c r="A271" s="440">
        <v>4700570506</v>
      </c>
      <c r="B271" s="440">
        <v>6100031399</v>
      </c>
      <c r="C271" s="440" t="s">
        <v>631</v>
      </c>
      <c r="D271" s="444">
        <v>44299</v>
      </c>
      <c r="E271" s="445">
        <v>5050</v>
      </c>
      <c r="F271" s="440">
        <v>1001010002</v>
      </c>
      <c r="G271" s="440" t="s">
        <v>632</v>
      </c>
    </row>
    <row r="272" spans="1:7">
      <c r="A272" s="440">
        <v>4700570506</v>
      </c>
      <c r="B272" s="440">
        <v>6100031399</v>
      </c>
      <c r="C272" s="440" t="s">
        <v>631</v>
      </c>
      <c r="D272" s="444">
        <v>44299</v>
      </c>
      <c r="E272" s="445">
        <v>1700</v>
      </c>
      <c r="F272" s="440">
        <v>1001010002</v>
      </c>
      <c r="G272" s="440" t="s">
        <v>632</v>
      </c>
    </row>
    <row r="273" spans="1:7">
      <c r="A273" s="440">
        <v>4700570506</v>
      </c>
      <c r="B273" s="440">
        <v>6100031399</v>
      </c>
      <c r="C273" s="440" t="s">
        <v>631</v>
      </c>
      <c r="D273" s="444">
        <v>44299</v>
      </c>
      <c r="E273" s="445">
        <v>4100</v>
      </c>
      <c r="F273" s="440">
        <v>1001010002</v>
      </c>
      <c r="G273" s="440" t="s">
        <v>632</v>
      </c>
    </row>
    <row r="274" spans="1:7">
      <c r="A274" s="440">
        <v>4700570506</v>
      </c>
      <c r="B274" s="440">
        <v>6100031399</v>
      </c>
      <c r="C274" s="440" t="s">
        <v>631</v>
      </c>
      <c r="D274" s="444">
        <v>44299</v>
      </c>
      <c r="E274" s="445">
        <v>10587</v>
      </c>
      <c r="F274" s="440">
        <v>1001010002</v>
      </c>
      <c r="G274" s="440" t="s">
        <v>632</v>
      </c>
    </row>
    <row r="275" spans="1:7">
      <c r="A275" s="440">
        <v>4700570506</v>
      </c>
      <c r="B275" s="440">
        <v>6100031399</v>
      </c>
      <c r="C275" s="440" t="s">
        <v>631</v>
      </c>
      <c r="D275" s="444">
        <v>44299</v>
      </c>
      <c r="E275" s="445">
        <v>5799</v>
      </c>
      <c r="F275" s="440">
        <v>1001010002</v>
      </c>
      <c r="G275" s="440" t="s">
        <v>632</v>
      </c>
    </row>
    <row r="276" spans="1:7">
      <c r="A276" s="440">
        <v>4700570506</v>
      </c>
      <c r="B276" s="440">
        <v>6100031399</v>
      </c>
      <c r="C276" s="440" t="s">
        <v>631</v>
      </c>
      <c r="D276" s="444">
        <v>44299</v>
      </c>
      <c r="E276" s="445">
        <v>6136</v>
      </c>
      <c r="F276" s="440">
        <v>1001010002</v>
      </c>
      <c r="G276" s="440" t="s">
        <v>632</v>
      </c>
    </row>
    <row r="277" spans="1:7">
      <c r="A277" s="440">
        <v>4700570506</v>
      </c>
      <c r="B277" s="440">
        <v>6100031556</v>
      </c>
      <c r="C277" s="440" t="s">
        <v>631</v>
      </c>
      <c r="D277" s="444">
        <v>44299</v>
      </c>
      <c r="E277" s="445">
        <v>-13000</v>
      </c>
      <c r="F277" s="440">
        <v>1001010002</v>
      </c>
      <c r="G277" s="440" t="s">
        <v>632</v>
      </c>
    </row>
    <row r="278" spans="1:7">
      <c r="A278" s="440">
        <v>4700570506</v>
      </c>
      <c r="B278" s="440">
        <v>6100031556</v>
      </c>
      <c r="C278" s="440" t="s">
        <v>631</v>
      </c>
      <c r="D278" s="444">
        <v>44299</v>
      </c>
      <c r="E278" s="445">
        <v>-13900</v>
      </c>
      <c r="F278" s="440">
        <v>1001010002</v>
      </c>
      <c r="G278" s="440" t="s">
        <v>632</v>
      </c>
    </row>
    <row r="279" spans="1:7">
      <c r="A279" s="440">
        <v>4700570506</v>
      </c>
      <c r="B279" s="440">
        <v>6100031556</v>
      </c>
      <c r="C279" s="440" t="s">
        <v>631</v>
      </c>
      <c r="D279" s="444">
        <v>44299</v>
      </c>
      <c r="E279" s="445">
        <v>-9500</v>
      </c>
      <c r="F279" s="440">
        <v>1001010002</v>
      </c>
      <c r="G279" s="440" t="s">
        <v>632</v>
      </c>
    </row>
    <row r="280" spans="1:7">
      <c r="A280" s="440">
        <v>4700570506</v>
      </c>
      <c r="B280" s="440">
        <v>6100031556</v>
      </c>
      <c r="C280" s="440" t="s">
        <v>631</v>
      </c>
      <c r="D280" s="444">
        <v>44299</v>
      </c>
      <c r="E280" s="445">
        <v>-6134</v>
      </c>
      <c r="F280" s="440">
        <v>1001010002</v>
      </c>
      <c r="G280" s="440" t="s">
        <v>632</v>
      </c>
    </row>
    <row r="281" spans="1:7">
      <c r="A281" s="440">
        <v>4700570506</v>
      </c>
      <c r="B281" s="440">
        <v>6100031556</v>
      </c>
      <c r="C281" s="440" t="s">
        <v>631</v>
      </c>
      <c r="D281" s="444">
        <v>44299</v>
      </c>
      <c r="E281" s="445">
        <v>-2773</v>
      </c>
      <c r="F281" s="440">
        <v>1001010002</v>
      </c>
      <c r="G281" s="440" t="s">
        <v>632</v>
      </c>
    </row>
    <row r="282" spans="1:7">
      <c r="A282" s="440">
        <v>4700570506</v>
      </c>
      <c r="B282" s="440">
        <v>6100031556</v>
      </c>
      <c r="C282" s="440" t="s">
        <v>631</v>
      </c>
      <c r="D282" s="444">
        <v>44299</v>
      </c>
      <c r="E282" s="445">
        <v>-4600</v>
      </c>
      <c r="F282" s="440">
        <v>1001010002</v>
      </c>
      <c r="G282" s="440" t="s">
        <v>632</v>
      </c>
    </row>
    <row r="283" spans="1:7">
      <c r="A283" s="440">
        <v>4700570506</v>
      </c>
      <c r="B283" s="440">
        <v>6100031556</v>
      </c>
      <c r="C283" s="440" t="s">
        <v>631</v>
      </c>
      <c r="D283" s="444">
        <v>44299</v>
      </c>
      <c r="E283" s="445">
        <v>-5050</v>
      </c>
      <c r="F283" s="440">
        <v>1001010002</v>
      </c>
      <c r="G283" s="440" t="s">
        <v>632</v>
      </c>
    </row>
    <row r="284" spans="1:7">
      <c r="A284" s="440">
        <v>4700570506</v>
      </c>
      <c r="B284" s="440">
        <v>6100031556</v>
      </c>
      <c r="C284" s="440" t="s">
        <v>631</v>
      </c>
      <c r="D284" s="444">
        <v>44299</v>
      </c>
      <c r="E284" s="445">
        <v>-1700</v>
      </c>
      <c r="F284" s="440">
        <v>1001010002</v>
      </c>
      <c r="G284" s="440" t="s">
        <v>632</v>
      </c>
    </row>
    <row r="285" spans="1:7">
      <c r="A285" s="440">
        <v>4700570506</v>
      </c>
      <c r="B285" s="440">
        <v>6100031556</v>
      </c>
      <c r="C285" s="440" t="s">
        <v>631</v>
      </c>
      <c r="D285" s="444">
        <v>44299</v>
      </c>
      <c r="E285" s="445">
        <v>-4100</v>
      </c>
      <c r="F285" s="440">
        <v>1001010002</v>
      </c>
      <c r="G285" s="440" t="s">
        <v>632</v>
      </c>
    </row>
    <row r="286" spans="1:7">
      <c r="A286" s="440">
        <v>4700570506</v>
      </c>
      <c r="B286" s="440">
        <v>6100031556</v>
      </c>
      <c r="C286" s="440" t="s">
        <v>631</v>
      </c>
      <c r="D286" s="444">
        <v>44299</v>
      </c>
      <c r="E286" s="445">
        <v>-10587</v>
      </c>
      <c r="F286" s="440">
        <v>1001010002</v>
      </c>
      <c r="G286" s="440" t="s">
        <v>632</v>
      </c>
    </row>
    <row r="287" spans="1:7">
      <c r="A287" s="440">
        <v>4700570506</v>
      </c>
      <c r="B287" s="440">
        <v>6100031556</v>
      </c>
      <c r="C287" s="440" t="s">
        <v>631</v>
      </c>
      <c r="D287" s="444">
        <v>44299</v>
      </c>
      <c r="E287" s="445">
        <v>-5799</v>
      </c>
      <c r="F287" s="440">
        <v>1001010002</v>
      </c>
      <c r="G287" s="440" t="s">
        <v>632</v>
      </c>
    </row>
    <row r="288" spans="1:7">
      <c r="A288" s="440">
        <v>4700570506</v>
      </c>
      <c r="B288" s="440">
        <v>6100031556</v>
      </c>
      <c r="C288" s="440" t="s">
        <v>631</v>
      </c>
      <c r="D288" s="444">
        <v>44299</v>
      </c>
      <c r="E288" s="445">
        <v>-6136</v>
      </c>
      <c r="F288" s="440">
        <v>1001010002</v>
      </c>
      <c r="G288" s="440" t="s">
        <v>632</v>
      </c>
    </row>
    <row r="289" spans="1:7">
      <c r="A289" s="440">
        <v>4700570506</v>
      </c>
      <c r="B289" s="440">
        <v>6100031571</v>
      </c>
      <c r="C289" s="440" t="s">
        <v>631</v>
      </c>
      <c r="D289" s="444">
        <v>44300</v>
      </c>
      <c r="E289" s="445">
        <v>9500</v>
      </c>
      <c r="F289" s="440">
        <v>1001010002</v>
      </c>
      <c r="G289" s="440" t="s">
        <v>632</v>
      </c>
    </row>
    <row r="290" spans="1:7">
      <c r="A290" s="440">
        <v>4700570506</v>
      </c>
      <c r="B290" s="440">
        <v>6100031571</v>
      </c>
      <c r="C290" s="440" t="s">
        <v>631</v>
      </c>
      <c r="D290" s="444">
        <v>44300</v>
      </c>
      <c r="E290" s="445">
        <v>6134</v>
      </c>
      <c r="F290" s="440">
        <v>1001010002</v>
      </c>
      <c r="G290" s="440" t="s">
        <v>632</v>
      </c>
    </row>
    <row r="291" spans="1:7">
      <c r="A291" s="440">
        <v>4700570506</v>
      </c>
      <c r="B291" s="440">
        <v>6100031571</v>
      </c>
      <c r="C291" s="440" t="s">
        <v>631</v>
      </c>
      <c r="D291" s="444">
        <v>44300</v>
      </c>
      <c r="E291" s="445">
        <v>2773</v>
      </c>
      <c r="F291" s="440">
        <v>1001010002</v>
      </c>
      <c r="G291" s="440" t="s">
        <v>632</v>
      </c>
    </row>
    <row r="292" spans="1:7">
      <c r="A292" s="440">
        <v>4700570506</v>
      </c>
      <c r="B292" s="440">
        <v>6100031571</v>
      </c>
      <c r="C292" s="440" t="s">
        <v>631</v>
      </c>
      <c r="D292" s="444">
        <v>44300</v>
      </c>
      <c r="E292" s="445">
        <v>4600</v>
      </c>
      <c r="F292" s="440">
        <v>1001010002</v>
      </c>
      <c r="G292" s="440" t="s">
        <v>632</v>
      </c>
    </row>
    <row r="293" spans="1:7">
      <c r="A293" s="440">
        <v>4700570506</v>
      </c>
      <c r="B293" s="440">
        <v>6100031571</v>
      </c>
      <c r="C293" s="440" t="s">
        <v>631</v>
      </c>
      <c r="D293" s="444">
        <v>44300</v>
      </c>
      <c r="E293" s="445">
        <v>5050</v>
      </c>
      <c r="F293" s="440">
        <v>1001010002</v>
      </c>
      <c r="G293" s="440" t="s">
        <v>632</v>
      </c>
    </row>
    <row r="294" spans="1:7">
      <c r="A294" s="440">
        <v>4700570506</v>
      </c>
      <c r="B294" s="440">
        <v>6100031571</v>
      </c>
      <c r="C294" s="440" t="s">
        <v>631</v>
      </c>
      <c r="D294" s="444">
        <v>44300</v>
      </c>
      <c r="E294" s="445">
        <v>1700</v>
      </c>
      <c r="F294" s="440">
        <v>1001010002</v>
      </c>
      <c r="G294" s="440" t="s">
        <v>632</v>
      </c>
    </row>
    <row r="295" spans="1:7">
      <c r="A295" s="440">
        <v>4700570506</v>
      </c>
      <c r="B295" s="440">
        <v>6100031571</v>
      </c>
      <c r="C295" s="440" t="s">
        <v>631</v>
      </c>
      <c r="D295" s="444">
        <v>44300</v>
      </c>
      <c r="E295" s="445">
        <v>4100</v>
      </c>
      <c r="F295" s="440">
        <v>1001010002</v>
      </c>
      <c r="G295" s="440" t="s">
        <v>632</v>
      </c>
    </row>
    <row r="296" spans="1:7">
      <c r="A296" s="440">
        <v>4700570506</v>
      </c>
      <c r="B296" s="440">
        <v>6100031571</v>
      </c>
      <c r="C296" s="440" t="s">
        <v>631</v>
      </c>
      <c r="D296" s="444">
        <v>44300</v>
      </c>
      <c r="E296" s="445">
        <v>10587</v>
      </c>
      <c r="F296" s="440">
        <v>1001010002</v>
      </c>
      <c r="G296" s="440" t="s">
        <v>632</v>
      </c>
    </row>
    <row r="297" spans="1:7">
      <c r="A297" s="440">
        <v>4700570506</v>
      </c>
      <c r="B297" s="440">
        <v>6100031571</v>
      </c>
      <c r="C297" s="440" t="s">
        <v>631</v>
      </c>
      <c r="D297" s="444">
        <v>44300</v>
      </c>
      <c r="E297" s="445">
        <v>5799</v>
      </c>
      <c r="F297" s="440">
        <v>1001010002</v>
      </c>
      <c r="G297" s="440" t="s">
        <v>632</v>
      </c>
    </row>
    <row r="298" spans="1:7">
      <c r="A298" s="440">
        <v>4700570506</v>
      </c>
      <c r="B298" s="440">
        <v>6100031571</v>
      </c>
      <c r="C298" s="440" t="s">
        <v>631</v>
      </c>
      <c r="D298" s="444">
        <v>44300</v>
      </c>
      <c r="E298" s="445">
        <v>6136</v>
      </c>
      <c r="F298" s="440">
        <v>1001010002</v>
      </c>
      <c r="G298" s="440" t="s">
        <v>632</v>
      </c>
    </row>
    <row r="299" spans="1:7">
      <c r="A299" s="440">
        <v>4700592912</v>
      </c>
      <c r="B299" s="440">
        <v>6100043524</v>
      </c>
      <c r="C299" s="440" t="s">
        <v>631</v>
      </c>
      <c r="D299" s="444">
        <v>44362</v>
      </c>
      <c r="E299" s="445">
        <v>9500</v>
      </c>
      <c r="F299" s="440">
        <v>1001010002</v>
      </c>
      <c r="G299" s="440" t="s">
        <v>632</v>
      </c>
    </row>
    <row r="300" spans="1:7">
      <c r="A300" s="440">
        <v>4700592912</v>
      </c>
      <c r="B300" s="440">
        <v>6100043524</v>
      </c>
      <c r="C300" s="440" t="s">
        <v>631</v>
      </c>
      <c r="D300" s="444">
        <v>44362</v>
      </c>
      <c r="E300" s="445">
        <v>10083</v>
      </c>
      <c r="F300" s="440">
        <v>1001010002</v>
      </c>
      <c r="G300" s="440" t="s">
        <v>632</v>
      </c>
    </row>
    <row r="301" spans="1:7">
      <c r="A301" s="440">
        <v>4700592912</v>
      </c>
      <c r="B301" s="440">
        <v>6100043524</v>
      </c>
      <c r="C301" s="440" t="s">
        <v>631</v>
      </c>
      <c r="D301" s="444">
        <v>44362</v>
      </c>
      <c r="E301" s="445">
        <v>5650</v>
      </c>
      <c r="F301" s="440">
        <v>1001010002</v>
      </c>
      <c r="G301" s="440" t="s">
        <v>632</v>
      </c>
    </row>
    <row r="302" spans="1:7">
      <c r="A302" s="440">
        <v>4700592912</v>
      </c>
      <c r="B302" s="440">
        <v>6100043524</v>
      </c>
      <c r="C302" s="440" t="s">
        <v>631</v>
      </c>
      <c r="D302" s="444">
        <v>44362</v>
      </c>
      <c r="E302" s="445">
        <v>5100</v>
      </c>
      <c r="F302" s="440">
        <v>1001010002</v>
      </c>
      <c r="G302" s="440" t="s">
        <v>632</v>
      </c>
    </row>
    <row r="303" spans="1:7">
      <c r="A303" s="440">
        <v>4700592912</v>
      </c>
      <c r="B303" s="440">
        <v>6100043524</v>
      </c>
      <c r="C303" s="440" t="s">
        <v>631</v>
      </c>
      <c r="D303" s="444">
        <v>44362</v>
      </c>
      <c r="E303" s="445">
        <v>1700</v>
      </c>
      <c r="F303" s="440">
        <v>1001010002</v>
      </c>
      <c r="G303" s="440" t="s">
        <v>632</v>
      </c>
    </row>
    <row r="304" spans="1:7">
      <c r="A304" s="440">
        <v>4700592912</v>
      </c>
      <c r="B304" s="440">
        <v>6100043524</v>
      </c>
      <c r="C304" s="440" t="s">
        <v>631</v>
      </c>
      <c r="D304" s="444">
        <v>44362</v>
      </c>
      <c r="E304" s="445">
        <v>4400</v>
      </c>
      <c r="F304" s="440">
        <v>1001010002</v>
      </c>
      <c r="G304" s="440" t="s">
        <v>632</v>
      </c>
    </row>
    <row r="305" spans="1:7">
      <c r="A305" s="440">
        <v>4700592912</v>
      </c>
      <c r="B305" s="440">
        <v>6100043524</v>
      </c>
      <c r="C305" s="440" t="s">
        <v>631</v>
      </c>
      <c r="D305" s="444">
        <v>44362</v>
      </c>
      <c r="E305" s="445">
        <v>10587</v>
      </c>
      <c r="F305" s="440">
        <v>1001010002</v>
      </c>
      <c r="G305" s="440" t="s">
        <v>632</v>
      </c>
    </row>
    <row r="306" spans="1:7">
      <c r="A306" s="440">
        <v>4700592912</v>
      </c>
      <c r="B306" s="440">
        <v>6100043524</v>
      </c>
      <c r="C306" s="440" t="s">
        <v>631</v>
      </c>
      <c r="D306" s="444">
        <v>44362</v>
      </c>
      <c r="E306" s="445">
        <v>7941</v>
      </c>
      <c r="F306" s="440">
        <v>1001010002</v>
      </c>
      <c r="G306" s="440" t="s">
        <v>632</v>
      </c>
    </row>
    <row r="307" spans="1:7">
      <c r="A307" s="440">
        <v>4700592912</v>
      </c>
      <c r="B307" s="440">
        <v>6100043524</v>
      </c>
      <c r="C307" s="440" t="s">
        <v>631</v>
      </c>
      <c r="D307" s="444">
        <v>44362</v>
      </c>
      <c r="E307" s="445">
        <v>6138</v>
      </c>
      <c r="F307" s="440">
        <v>1001010002</v>
      </c>
      <c r="G307" s="440" t="s">
        <v>632</v>
      </c>
    </row>
    <row r="308" spans="1:7">
      <c r="A308" s="440">
        <v>4700608486</v>
      </c>
      <c r="B308" s="440">
        <v>6100047913</v>
      </c>
      <c r="C308" s="440" t="s">
        <v>631</v>
      </c>
      <c r="D308" s="444">
        <v>44389</v>
      </c>
      <c r="E308" s="445">
        <v>5882</v>
      </c>
      <c r="F308" s="440">
        <v>1001010002</v>
      </c>
      <c r="G308" s="440" t="s">
        <v>632</v>
      </c>
    </row>
    <row r="309" spans="1:7">
      <c r="A309" s="440">
        <v>4700608486</v>
      </c>
      <c r="B309" s="440">
        <v>6100047913</v>
      </c>
      <c r="C309" s="440" t="s">
        <v>631</v>
      </c>
      <c r="D309" s="444">
        <v>44389</v>
      </c>
      <c r="E309" s="445">
        <v>2200</v>
      </c>
      <c r="F309" s="440">
        <v>1001010002</v>
      </c>
      <c r="G309" s="440" t="s">
        <v>632</v>
      </c>
    </row>
    <row r="310" spans="1:7">
      <c r="A310" s="440">
        <v>4700608486</v>
      </c>
      <c r="B310" s="440">
        <v>6100047913</v>
      </c>
      <c r="C310" s="440" t="s">
        <v>631</v>
      </c>
      <c r="D310" s="444">
        <v>44389</v>
      </c>
      <c r="E310" s="445">
        <v>10587</v>
      </c>
      <c r="F310" s="440">
        <v>1001010002</v>
      </c>
      <c r="G310" s="440" t="s">
        <v>632</v>
      </c>
    </row>
    <row r="311" spans="1:7">
      <c r="A311" s="440">
        <v>4700608486</v>
      </c>
      <c r="B311" s="440">
        <v>6100047913</v>
      </c>
      <c r="C311" s="440" t="s">
        <v>631</v>
      </c>
      <c r="D311" s="444">
        <v>44389</v>
      </c>
      <c r="E311" s="445">
        <v>5168</v>
      </c>
      <c r="F311" s="440">
        <v>1001010002</v>
      </c>
      <c r="G311" s="440" t="s">
        <v>632</v>
      </c>
    </row>
    <row r="312" spans="1:7">
      <c r="A312" s="440">
        <v>4700608486</v>
      </c>
      <c r="B312" s="440">
        <v>6100047913</v>
      </c>
      <c r="C312" s="440" t="s">
        <v>631</v>
      </c>
      <c r="D312" s="444">
        <v>44389</v>
      </c>
      <c r="E312" s="445">
        <v>6304</v>
      </c>
      <c r="F312" s="440">
        <v>1001010002</v>
      </c>
      <c r="G312" s="440" t="s">
        <v>632</v>
      </c>
    </row>
    <row r="313" spans="1:7">
      <c r="A313" s="440">
        <v>4700623906</v>
      </c>
      <c r="B313" s="440">
        <v>6100053265</v>
      </c>
      <c r="C313" s="440" t="s">
        <v>631</v>
      </c>
      <c r="D313" s="444">
        <v>44417</v>
      </c>
      <c r="E313" s="445">
        <v>14400</v>
      </c>
      <c r="F313" s="440">
        <v>1001010002</v>
      </c>
      <c r="G313" s="440" t="s">
        <v>632</v>
      </c>
    </row>
    <row r="314" spans="1:7">
      <c r="A314" s="440">
        <v>4700623906</v>
      </c>
      <c r="B314" s="440">
        <v>6100053892</v>
      </c>
      <c r="C314" s="440" t="s">
        <v>631</v>
      </c>
      <c r="D314" s="444">
        <v>44417</v>
      </c>
      <c r="E314" s="445">
        <v>-14400</v>
      </c>
      <c r="F314" s="440">
        <v>1001010002</v>
      </c>
      <c r="G314" s="440" t="s">
        <v>632</v>
      </c>
    </row>
    <row r="315" spans="1:7">
      <c r="A315" s="440">
        <v>4700623905</v>
      </c>
      <c r="B315" s="440">
        <v>6100054011</v>
      </c>
      <c r="C315" s="440" t="s">
        <v>631</v>
      </c>
      <c r="D315" s="444">
        <v>44421</v>
      </c>
      <c r="E315" s="445">
        <v>3361</v>
      </c>
      <c r="F315" s="440">
        <v>1001010002</v>
      </c>
      <c r="G315" s="440" t="s">
        <v>632</v>
      </c>
    </row>
    <row r="316" spans="1:7">
      <c r="A316" s="440">
        <v>4700623905</v>
      </c>
      <c r="B316" s="440">
        <v>6100054011</v>
      </c>
      <c r="C316" s="440" t="s">
        <v>631</v>
      </c>
      <c r="D316" s="444">
        <v>44421</v>
      </c>
      <c r="E316" s="445">
        <v>5882</v>
      </c>
      <c r="F316" s="440">
        <v>1001010002</v>
      </c>
      <c r="G316" s="440" t="s">
        <v>632</v>
      </c>
    </row>
    <row r="317" spans="1:7">
      <c r="A317" s="440">
        <v>4700623905</v>
      </c>
      <c r="B317" s="440">
        <v>6100054011</v>
      </c>
      <c r="C317" s="440" t="s">
        <v>631</v>
      </c>
      <c r="D317" s="444">
        <v>44421</v>
      </c>
      <c r="E317" s="445">
        <v>2000</v>
      </c>
      <c r="F317" s="440">
        <v>1001010002</v>
      </c>
      <c r="G317" s="440" t="s">
        <v>632</v>
      </c>
    </row>
    <row r="318" spans="1:7">
      <c r="A318" s="440">
        <v>4700623905</v>
      </c>
      <c r="B318" s="440">
        <v>6100054011</v>
      </c>
      <c r="C318" s="440" t="s">
        <v>631</v>
      </c>
      <c r="D318" s="444">
        <v>44421</v>
      </c>
      <c r="E318" s="445">
        <v>3529</v>
      </c>
      <c r="F318" s="440">
        <v>1001010002</v>
      </c>
      <c r="G318" s="440" t="s">
        <v>632</v>
      </c>
    </row>
    <row r="319" spans="1:7">
      <c r="A319" s="440">
        <v>4700623905</v>
      </c>
      <c r="B319" s="440">
        <v>6100054011</v>
      </c>
      <c r="C319" s="440" t="s">
        <v>631</v>
      </c>
      <c r="D319" s="444">
        <v>44421</v>
      </c>
      <c r="E319" s="445">
        <v>5168</v>
      </c>
      <c r="F319" s="440">
        <v>1001010002</v>
      </c>
      <c r="G319" s="440" t="s">
        <v>632</v>
      </c>
    </row>
    <row r="320" spans="1:7">
      <c r="A320" s="440">
        <v>4700623905</v>
      </c>
      <c r="B320" s="440">
        <v>6100054011</v>
      </c>
      <c r="C320" s="440" t="s">
        <v>631</v>
      </c>
      <c r="D320" s="444">
        <v>44421</v>
      </c>
      <c r="E320" s="445">
        <v>9456</v>
      </c>
      <c r="F320" s="440">
        <v>1001010002</v>
      </c>
      <c r="G320" s="440" t="s">
        <v>632</v>
      </c>
    </row>
    <row r="321" spans="1:7">
      <c r="A321" s="440">
        <v>4700644002</v>
      </c>
      <c r="B321" s="440">
        <v>6100063955</v>
      </c>
      <c r="C321" s="440" t="s">
        <v>631</v>
      </c>
      <c r="D321" s="444">
        <v>44462</v>
      </c>
      <c r="E321" s="445">
        <v>8403</v>
      </c>
      <c r="F321" s="440">
        <v>1001010002</v>
      </c>
      <c r="G321" s="440" t="s">
        <v>632</v>
      </c>
    </row>
    <row r="322" spans="1:7">
      <c r="A322" s="440">
        <v>4700644002</v>
      </c>
      <c r="B322" s="440">
        <v>6100063955</v>
      </c>
      <c r="C322" s="440" t="s">
        <v>631</v>
      </c>
      <c r="D322" s="444">
        <v>44462</v>
      </c>
      <c r="E322" s="445">
        <v>10083</v>
      </c>
      <c r="F322" s="440">
        <v>1001010002</v>
      </c>
      <c r="G322" s="440" t="s">
        <v>632</v>
      </c>
    </row>
    <row r="323" spans="1:7">
      <c r="A323" s="440">
        <v>4700644002</v>
      </c>
      <c r="B323" s="440">
        <v>6100063955</v>
      </c>
      <c r="C323" s="440" t="s">
        <v>631</v>
      </c>
      <c r="D323" s="444">
        <v>44462</v>
      </c>
      <c r="E323" s="445">
        <v>2941</v>
      </c>
      <c r="F323" s="440">
        <v>1001010002</v>
      </c>
      <c r="G323" s="440" t="s">
        <v>632</v>
      </c>
    </row>
    <row r="324" spans="1:7">
      <c r="A324" s="440">
        <v>4700644002</v>
      </c>
      <c r="B324" s="440">
        <v>6100063955</v>
      </c>
      <c r="C324" s="440" t="s">
        <v>631</v>
      </c>
      <c r="D324" s="444">
        <v>44462</v>
      </c>
      <c r="E324" s="445">
        <v>5200</v>
      </c>
      <c r="F324" s="440">
        <v>1001010002</v>
      </c>
      <c r="G324" s="440" t="s">
        <v>632</v>
      </c>
    </row>
    <row r="325" spans="1:7">
      <c r="A325" s="440">
        <v>4700644002</v>
      </c>
      <c r="B325" s="440">
        <v>6100063955</v>
      </c>
      <c r="C325" s="440" t="s">
        <v>631</v>
      </c>
      <c r="D325" s="444">
        <v>44462</v>
      </c>
      <c r="E325" s="445">
        <v>5300</v>
      </c>
      <c r="F325" s="440">
        <v>1001010002</v>
      </c>
      <c r="G325" s="440" t="s">
        <v>632</v>
      </c>
    </row>
    <row r="326" spans="1:7">
      <c r="A326" s="440">
        <v>4700644002</v>
      </c>
      <c r="B326" s="440">
        <v>6100063955</v>
      </c>
      <c r="C326" s="440" t="s">
        <v>631</v>
      </c>
      <c r="D326" s="444">
        <v>44462</v>
      </c>
      <c r="E326" s="445">
        <v>4748</v>
      </c>
      <c r="F326" s="440">
        <v>1001010002</v>
      </c>
      <c r="G326" s="440" t="s">
        <v>632</v>
      </c>
    </row>
    <row r="327" spans="1:7">
      <c r="A327" s="440">
        <v>4700644002</v>
      </c>
      <c r="B327" s="440">
        <v>6100063955</v>
      </c>
      <c r="C327" s="440" t="s">
        <v>631</v>
      </c>
      <c r="D327" s="444">
        <v>44462</v>
      </c>
      <c r="E327" s="445">
        <v>3900</v>
      </c>
      <c r="F327" s="440">
        <v>1001010002</v>
      </c>
      <c r="G327" s="440" t="s">
        <v>632</v>
      </c>
    </row>
    <row r="328" spans="1:7">
      <c r="A328" s="440">
        <v>4700644002</v>
      </c>
      <c r="B328" s="440">
        <v>6100063955</v>
      </c>
      <c r="C328" s="440" t="s">
        <v>631</v>
      </c>
      <c r="D328" s="444">
        <v>44462</v>
      </c>
      <c r="E328" s="445">
        <v>2200</v>
      </c>
      <c r="F328" s="440">
        <v>1001010002</v>
      </c>
      <c r="G328" s="440" t="s">
        <v>632</v>
      </c>
    </row>
    <row r="329" spans="1:7">
      <c r="A329" s="440">
        <v>4700644002</v>
      </c>
      <c r="B329" s="440">
        <v>6100063955</v>
      </c>
      <c r="C329" s="440" t="s">
        <v>631</v>
      </c>
      <c r="D329" s="444">
        <v>44462</v>
      </c>
      <c r="E329" s="445">
        <v>2000</v>
      </c>
      <c r="F329" s="440">
        <v>1001010002</v>
      </c>
      <c r="G329" s="440" t="s">
        <v>632</v>
      </c>
    </row>
    <row r="330" spans="1:7">
      <c r="A330" s="440">
        <v>4700644002</v>
      </c>
      <c r="B330" s="440">
        <v>6100063955</v>
      </c>
      <c r="C330" s="440" t="s">
        <v>631</v>
      </c>
      <c r="D330" s="444">
        <v>44462</v>
      </c>
      <c r="E330" s="445">
        <v>7058</v>
      </c>
      <c r="F330" s="440">
        <v>1001010002</v>
      </c>
      <c r="G330" s="440" t="s">
        <v>632</v>
      </c>
    </row>
    <row r="331" spans="1:7">
      <c r="A331" s="440">
        <v>4700644002</v>
      </c>
      <c r="B331" s="440">
        <v>6100063955</v>
      </c>
      <c r="C331" s="440" t="s">
        <v>631</v>
      </c>
      <c r="D331" s="444">
        <v>44462</v>
      </c>
      <c r="E331" s="445">
        <v>5168</v>
      </c>
      <c r="F331" s="440">
        <v>1001010002</v>
      </c>
      <c r="G331" s="440" t="s">
        <v>632</v>
      </c>
    </row>
    <row r="332" spans="1:7">
      <c r="A332" s="440">
        <v>4700644002</v>
      </c>
      <c r="B332" s="440">
        <v>6100063955</v>
      </c>
      <c r="C332" s="440" t="s">
        <v>631</v>
      </c>
      <c r="D332" s="444">
        <v>44462</v>
      </c>
      <c r="E332" s="445">
        <v>19287</v>
      </c>
      <c r="F332" s="440">
        <v>1001010002</v>
      </c>
      <c r="G332" s="440" t="s">
        <v>632</v>
      </c>
    </row>
    <row r="333" spans="1:7">
      <c r="A333" s="440">
        <v>4700644002</v>
      </c>
      <c r="B333" s="440">
        <v>6100063955</v>
      </c>
      <c r="C333" s="440" t="s">
        <v>631</v>
      </c>
      <c r="D333" s="444">
        <v>44462</v>
      </c>
      <c r="E333" s="445">
        <v>6893</v>
      </c>
      <c r="F333" s="440">
        <v>1001010002</v>
      </c>
      <c r="G333" s="440" t="s">
        <v>632</v>
      </c>
    </row>
    <row r="334" spans="1:7">
      <c r="A334" s="440">
        <v>4700657936</v>
      </c>
      <c r="B334" s="440">
        <v>6100071042</v>
      </c>
      <c r="C334" s="440" t="s">
        <v>631</v>
      </c>
      <c r="D334" s="444">
        <v>44484</v>
      </c>
      <c r="E334" s="445">
        <v>9450</v>
      </c>
      <c r="F334" s="440">
        <v>1001010002</v>
      </c>
      <c r="G334" s="440" t="s">
        <v>632</v>
      </c>
    </row>
    <row r="335" spans="1:7">
      <c r="A335" s="440">
        <v>4700657936</v>
      </c>
      <c r="B335" s="440">
        <v>6100071042</v>
      </c>
      <c r="C335" s="440" t="s">
        <v>631</v>
      </c>
      <c r="D335" s="444">
        <v>44484</v>
      </c>
      <c r="E335" s="445">
        <v>6722</v>
      </c>
      <c r="F335" s="440">
        <v>1001010002</v>
      </c>
      <c r="G335" s="440" t="s">
        <v>632</v>
      </c>
    </row>
    <row r="336" spans="1:7">
      <c r="A336" s="440">
        <v>4700657936</v>
      </c>
      <c r="B336" s="440">
        <v>6100071042</v>
      </c>
      <c r="C336" s="440" t="s">
        <v>631</v>
      </c>
      <c r="D336" s="444">
        <v>44484</v>
      </c>
      <c r="E336" s="445">
        <v>2941</v>
      </c>
      <c r="F336" s="440">
        <v>1001010002</v>
      </c>
      <c r="G336" s="440" t="s">
        <v>632</v>
      </c>
    </row>
    <row r="337" spans="1:7">
      <c r="A337" s="440">
        <v>4700657936</v>
      </c>
      <c r="B337" s="440">
        <v>6100071042</v>
      </c>
      <c r="C337" s="440" t="s">
        <v>631</v>
      </c>
      <c r="D337" s="444">
        <v>44484</v>
      </c>
      <c r="E337" s="445">
        <v>5200</v>
      </c>
      <c r="F337" s="440">
        <v>1001010002</v>
      </c>
      <c r="G337" s="440" t="s">
        <v>632</v>
      </c>
    </row>
    <row r="338" spans="1:7">
      <c r="A338" s="440">
        <v>4700657936</v>
      </c>
      <c r="B338" s="440">
        <v>6100071042</v>
      </c>
      <c r="C338" s="440" t="s">
        <v>631</v>
      </c>
      <c r="D338" s="444">
        <v>44484</v>
      </c>
      <c r="E338" s="445">
        <v>5300</v>
      </c>
      <c r="F338" s="440">
        <v>1001010002</v>
      </c>
      <c r="G338" s="440" t="s">
        <v>632</v>
      </c>
    </row>
    <row r="339" spans="1:7">
      <c r="A339" s="440">
        <v>4700657936</v>
      </c>
      <c r="B339" s="440">
        <v>6100071042</v>
      </c>
      <c r="C339" s="440" t="s">
        <v>631</v>
      </c>
      <c r="D339" s="444">
        <v>44484</v>
      </c>
      <c r="E339" s="445">
        <v>1800</v>
      </c>
      <c r="F339" s="440">
        <v>1001010002</v>
      </c>
      <c r="G339" s="440" t="s">
        <v>632</v>
      </c>
    </row>
    <row r="340" spans="1:7">
      <c r="A340" s="440">
        <v>4700657936</v>
      </c>
      <c r="B340" s="440">
        <v>6100071042</v>
      </c>
      <c r="C340" s="440" t="s">
        <v>631</v>
      </c>
      <c r="D340" s="444">
        <v>44484</v>
      </c>
      <c r="E340" s="445">
        <v>4000</v>
      </c>
      <c r="F340" s="440">
        <v>1001010002</v>
      </c>
      <c r="G340" s="440" t="s">
        <v>632</v>
      </c>
    </row>
    <row r="341" spans="1:7">
      <c r="A341" s="440">
        <v>4700657936</v>
      </c>
      <c r="B341" s="440">
        <v>6100071042</v>
      </c>
      <c r="C341" s="440" t="s">
        <v>631</v>
      </c>
      <c r="D341" s="444">
        <v>44484</v>
      </c>
      <c r="E341" s="445">
        <v>10965</v>
      </c>
      <c r="F341" s="440">
        <v>1001010002</v>
      </c>
      <c r="G341" s="440" t="s">
        <v>632</v>
      </c>
    </row>
    <row r="342" spans="1:7">
      <c r="A342" s="440">
        <v>4700657936</v>
      </c>
      <c r="B342" s="440">
        <v>6100071042</v>
      </c>
      <c r="C342" s="440" t="s">
        <v>631</v>
      </c>
      <c r="D342" s="444">
        <v>44484</v>
      </c>
      <c r="E342" s="445">
        <v>5925</v>
      </c>
      <c r="F342" s="440">
        <v>1001010002</v>
      </c>
      <c r="G342" s="440" t="s">
        <v>632</v>
      </c>
    </row>
    <row r="343" spans="1:7">
      <c r="A343" s="440">
        <v>4700657936</v>
      </c>
      <c r="B343" s="440">
        <v>6100071042</v>
      </c>
      <c r="C343" s="440" t="s">
        <v>631</v>
      </c>
      <c r="D343" s="444">
        <v>44484</v>
      </c>
      <c r="E343" s="445">
        <v>6304</v>
      </c>
      <c r="F343" s="440">
        <v>1001010002</v>
      </c>
      <c r="G343" s="440" t="s">
        <v>632</v>
      </c>
    </row>
    <row r="344" spans="1:7">
      <c r="A344" s="440">
        <v>4700673297</v>
      </c>
      <c r="B344" s="440">
        <v>6100083903</v>
      </c>
      <c r="C344" s="440" t="s">
        <v>631</v>
      </c>
      <c r="D344" s="444">
        <v>44518</v>
      </c>
      <c r="E344" s="445">
        <v>6722</v>
      </c>
      <c r="F344" s="440">
        <v>1001010002</v>
      </c>
      <c r="G344" s="440" t="s">
        <v>632</v>
      </c>
    </row>
    <row r="345" spans="1:7">
      <c r="A345" s="440">
        <v>4700673297</v>
      </c>
      <c r="B345" s="440">
        <v>6100083903</v>
      </c>
      <c r="C345" s="440" t="s">
        <v>631</v>
      </c>
      <c r="D345" s="444">
        <v>44518</v>
      </c>
      <c r="E345" s="445">
        <v>5882</v>
      </c>
      <c r="F345" s="440">
        <v>1001010002</v>
      </c>
      <c r="G345" s="440" t="s">
        <v>632</v>
      </c>
    </row>
    <row r="346" spans="1:7">
      <c r="A346" s="440">
        <v>4700673297</v>
      </c>
      <c r="B346" s="440">
        <v>6100083903</v>
      </c>
      <c r="C346" s="440" t="s">
        <v>631</v>
      </c>
      <c r="D346" s="444">
        <v>44518</v>
      </c>
      <c r="E346" s="445">
        <v>3319</v>
      </c>
      <c r="F346" s="440">
        <v>1001010002</v>
      </c>
      <c r="G346" s="440" t="s">
        <v>632</v>
      </c>
    </row>
    <row r="347" spans="1:7">
      <c r="A347" s="440">
        <v>4700673297</v>
      </c>
      <c r="B347" s="440">
        <v>6100083903</v>
      </c>
      <c r="C347" s="440" t="s">
        <v>631</v>
      </c>
      <c r="D347" s="444">
        <v>44518</v>
      </c>
      <c r="E347" s="445">
        <v>2300</v>
      </c>
      <c r="F347" s="440">
        <v>1001010002</v>
      </c>
      <c r="G347" s="440" t="s">
        <v>632</v>
      </c>
    </row>
    <row r="348" spans="1:7">
      <c r="A348" s="440">
        <v>4700673297</v>
      </c>
      <c r="B348" s="440">
        <v>6100083903</v>
      </c>
      <c r="C348" s="440" t="s">
        <v>631</v>
      </c>
      <c r="D348" s="444">
        <v>44518</v>
      </c>
      <c r="E348" s="445">
        <v>2100</v>
      </c>
      <c r="F348" s="440">
        <v>1001010002</v>
      </c>
      <c r="G348" s="440" t="s">
        <v>632</v>
      </c>
    </row>
    <row r="349" spans="1:7">
      <c r="A349" s="440">
        <v>4700673297</v>
      </c>
      <c r="B349" s="440">
        <v>6100083903</v>
      </c>
      <c r="C349" s="440" t="s">
        <v>631</v>
      </c>
      <c r="D349" s="444">
        <v>44518</v>
      </c>
      <c r="E349" s="445">
        <v>14620</v>
      </c>
      <c r="F349" s="440">
        <v>1001010002</v>
      </c>
      <c r="G349" s="440" t="s">
        <v>632</v>
      </c>
    </row>
    <row r="350" spans="1:7">
      <c r="A350" s="440">
        <v>4700673297</v>
      </c>
      <c r="B350" s="440">
        <v>6100083903</v>
      </c>
      <c r="C350" s="440" t="s">
        <v>631</v>
      </c>
      <c r="D350" s="444">
        <v>44518</v>
      </c>
      <c r="E350" s="445">
        <v>5294</v>
      </c>
      <c r="F350" s="440">
        <v>1001010002</v>
      </c>
      <c r="G350" s="440" t="s">
        <v>632</v>
      </c>
    </row>
    <row r="351" spans="1:7">
      <c r="A351" s="440">
        <v>4700673297</v>
      </c>
      <c r="B351" s="440">
        <v>6100083903</v>
      </c>
      <c r="C351" s="440" t="s">
        <v>631</v>
      </c>
      <c r="D351" s="444">
        <v>44518</v>
      </c>
      <c r="E351" s="445">
        <v>9456</v>
      </c>
      <c r="F351" s="440">
        <v>1001010002</v>
      </c>
      <c r="G351" s="440" t="s">
        <v>632</v>
      </c>
    </row>
    <row r="352" spans="1:7">
      <c r="A352" s="440">
        <v>4700686180</v>
      </c>
      <c r="B352" s="440">
        <v>6100092636</v>
      </c>
      <c r="C352" s="440" t="s">
        <v>631</v>
      </c>
      <c r="D352" s="444">
        <v>44540</v>
      </c>
      <c r="E352" s="445">
        <v>13444</v>
      </c>
      <c r="F352" s="440">
        <v>1001010002</v>
      </c>
      <c r="G352" s="440" t="s">
        <v>632</v>
      </c>
    </row>
    <row r="353" spans="1:7">
      <c r="A353" s="440">
        <v>4700686180</v>
      </c>
      <c r="B353" s="440">
        <v>6100092636</v>
      </c>
      <c r="C353" s="440" t="s">
        <v>631</v>
      </c>
      <c r="D353" s="444">
        <v>44540</v>
      </c>
      <c r="E353" s="445">
        <v>5882</v>
      </c>
      <c r="F353" s="440">
        <v>1001010002</v>
      </c>
      <c r="G353" s="440" t="s">
        <v>632</v>
      </c>
    </row>
    <row r="354" spans="1:7">
      <c r="A354" s="440">
        <v>4700686180</v>
      </c>
      <c r="B354" s="440">
        <v>6100092636</v>
      </c>
      <c r="C354" s="440" t="s">
        <v>631</v>
      </c>
      <c r="D354" s="444">
        <v>44540</v>
      </c>
      <c r="E354" s="445">
        <v>10800</v>
      </c>
      <c r="F354" s="440">
        <v>1001010002</v>
      </c>
      <c r="G354" s="440" t="s">
        <v>632</v>
      </c>
    </row>
    <row r="355" spans="1:7">
      <c r="A355" s="440">
        <v>4700686180</v>
      </c>
      <c r="B355" s="440">
        <v>6100092636</v>
      </c>
      <c r="C355" s="440" t="s">
        <v>631</v>
      </c>
      <c r="D355" s="444">
        <v>44540</v>
      </c>
      <c r="E355" s="445">
        <v>4600</v>
      </c>
      <c r="F355" s="440">
        <v>1001010002</v>
      </c>
      <c r="G355" s="440" t="s">
        <v>632</v>
      </c>
    </row>
    <row r="356" spans="1:7">
      <c r="A356" s="440">
        <v>4700686180</v>
      </c>
      <c r="B356" s="440">
        <v>6100092636</v>
      </c>
      <c r="C356" s="440" t="s">
        <v>631</v>
      </c>
      <c r="D356" s="444">
        <v>44540</v>
      </c>
      <c r="E356" s="445">
        <v>14620</v>
      </c>
      <c r="F356" s="440">
        <v>1001010002</v>
      </c>
      <c r="G356" s="440" t="s">
        <v>632</v>
      </c>
    </row>
    <row r="357" spans="1:7">
      <c r="A357" s="440">
        <v>4700686180</v>
      </c>
      <c r="B357" s="440">
        <v>6100092636</v>
      </c>
      <c r="C357" s="440" t="s">
        <v>631</v>
      </c>
      <c r="D357" s="444">
        <v>44540</v>
      </c>
      <c r="E357" s="445">
        <v>5294</v>
      </c>
      <c r="F357" s="440">
        <v>1001010002</v>
      </c>
      <c r="G357" s="440" t="s">
        <v>632</v>
      </c>
    </row>
    <row r="358" spans="1:7">
      <c r="A358" s="440">
        <v>4700686180</v>
      </c>
      <c r="B358" s="440">
        <v>6100092636</v>
      </c>
      <c r="C358" s="440" t="s">
        <v>631</v>
      </c>
      <c r="D358" s="444">
        <v>44540</v>
      </c>
      <c r="E358" s="445">
        <v>15760</v>
      </c>
      <c r="F358" s="440">
        <v>1001010002</v>
      </c>
      <c r="G358" s="440" t="s">
        <v>632</v>
      </c>
    </row>
    <row r="359" spans="1:7">
      <c r="A359" s="440">
        <v>4700377880</v>
      </c>
      <c r="B359" s="440">
        <v>6100003749</v>
      </c>
      <c r="C359" s="440" t="s">
        <v>631</v>
      </c>
      <c r="D359" s="444">
        <v>43842</v>
      </c>
      <c r="E359" s="445">
        <v>3487</v>
      </c>
      <c r="F359" s="440">
        <v>1001010003</v>
      </c>
      <c r="G359" s="440" t="s">
        <v>632</v>
      </c>
    </row>
    <row r="360" spans="1:7">
      <c r="A360" s="440">
        <v>4700377880</v>
      </c>
      <c r="B360" s="440">
        <v>6100003749</v>
      </c>
      <c r="C360" s="440" t="s">
        <v>631</v>
      </c>
      <c r="D360" s="444">
        <v>43842</v>
      </c>
      <c r="E360" s="445">
        <v>951</v>
      </c>
      <c r="F360" s="440">
        <v>1001010003</v>
      </c>
      <c r="G360" s="440" t="s">
        <v>632</v>
      </c>
    </row>
    <row r="361" spans="1:7">
      <c r="A361" s="440">
        <v>4700377880</v>
      </c>
      <c r="B361" s="440">
        <v>6100003749</v>
      </c>
      <c r="C361" s="440" t="s">
        <v>631</v>
      </c>
      <c r="D361" s="444">
        <v>43842</v>
      </c>
      <c r="E361" s="445">
        <v>5479</v>
      </c>
      <c r="F361" s="440">
        <v>1001010003</v>
      </c>
      <c r="G361" s="440" t="s">
        <v>632</v>
      </c>
    </row>
    <row r="362" spans="1:7">
      <c r="A362" s="440">
        <v>4700377880</v>
      </c>
      <c r="B362" s="440">
        <v>6100003749</v>
      </c>
      <c r="C362" s="440" t="s">
        <v>631</v>
      </c>
      <c r="D362" s="444">
        <v>43842</v>
      </c>
      <c r="E362" s="445">
        <v>4966</v>
      </c>
      <c r="F362" s="440">
        <v>1001010003</v>
      </c>
      <c r="G362" s="440" t="s">
        <v>632</v>
      </c>
    </row>
    <row r="363" spans="1:7">
      <c r="A363" s="440">
        <v>4700377880</v>
      </c>
      <c r="B363" s="440">
        <v>6100003749</v>
      </c>
      <c r="C363" s="440" t="s">
        <v>631</v>
      </c>
      <c r="D363" s="444">
        <v>43842</v>
      </c>
      <c r="E363" s="445">
        <v>4286</v>
      </c>
      <c r="F363" s="440">
        <v>1001010003</v>
      </c>
      <c r="G363" s="440" t="s">
        <v>632</v>
      </c>
    </row>
    <row r="364" spans="1:7">
      <c r="A364" s="440">
        <v>4700377880</v>
      </c>
      <c r="B364" s="440">
        <v>6100003749</v>
      </c>
      <c r="C364" s="440" t="s">
        <v>631</v>
      </c>
      <c r="D364" s="444">
        <v>43842</v>
      </c>
      <c r="E364" s="445">
        <v>1924</v>
      </c>
      <c r="F364" s="440">
        <v>1001010003</v>
      </c>
      <c r="G364" s="440" t="s">
        <v>632</v>
      </c>
    </row>
    <row r="365" spans="1:7">
      <c r="A365" s="440">
        <v>4700377880</v>
      </c>
      <c r="B365" s="440">
        <v>6100003749</v>
      </c>
      <c r="C365" s="440" t="s">
        <v>631</v>
      </c>
      <c r="D365" s="444">
        <v>43842</v>
      </c>
      <c r="E365" s="445">
        <v>1597</v>
      </c>
      <c r="F365" s="440">
        <v>1001010003</v>
      </c>
      <c r="G365" s="440" t="s">
        <v>632</v>
      </c>
    </row>
    <row r="366" spans="1:7">
      <c r="A366" s="440">
        <v>4700377880</v>
      </c>
      <c r="B366" s="440">
        <v>6100003749</v>
      </c>
      <c r="C366" s="440" t="s">
        <v>631</v>
      </c>
      <c r="D366" s="444">
        <v>43842</v>
      </c>
      <c r="E366" s="445">
        <v>20776</v>
      </c>
      <c r="F366" s="440">
        <v>1001010003</v>
      </c>
      <c r="G366" s="440" t="s">
        <v>632</v>
      </c>
    </row>
    <row r="367" spans="1:7">
      <c r="A367" s="440">
        <v>4700377880</v>
      </c>
      <c r="B367" s="440">
        <v>6100003749</v>
      </c>
      <c r="C367" s="440" t="s">
        <v>631</v>
      </c>
      <c r="D367" s="444">
        <v>43842</v>
      </c>
      <c r="E367" s="445">
        <v>6143</v>
      </c>
      <c r="F367" s="440">
        <v>1001010003</v>
      </c>
      <c r="G367" s="440" t="s">
        <v>632</v>
      </c>
    </row>
    <row r="368" spans="1:7">
      <c r="A368" s="440">
        <v>4700394626</v>
      </c>
      <c r="B368" s="440">
        <v>6100014396</v>
      </c>
      <c r="C368" s="440" t="s">
        <v>631</v>
      </c>
      <c r="D368" s="444">
        <v>43875</v>
      </c>
      <c r="E368" s="445">
        <v>10958</v>
      </c>
      <c r="F368" s="440">
        <v>1001010003</v>
      </c>
      <c r="G368" s="440" t="s">
        <v>632</v>
      </c>
    </row>
    <row r="369" spans="1:7">
      <c r="A369" s="440">
        <v>4700394626</v>
      </c>
      <c r="B369" s="440">
        <v>6100014396</v>
      </c>
      <c r="C369" s="440" t="s">
        <v>631</v>
      </c>
      <c r="D369" s="444">
        <v>43875</v>
      </c>
      <c r="E369" s="445">
        <v>3160</v>
      </c>
      <c r="F369" s="440">
        <v>1001010003</v>
      </c>
      <c r="G369" s="440" t="s">
        <v>632</v>
      </c>
    </row>
    <row r="370" spans="1:7">
      <c r="A370" s="440">
        <v>4700394626</v>
      </c>
      <c r="B370" s="440">
        <v>6100014396</v>
      </c>
      <c r="C370" s="440" t="s">
        <v>631</v>
      </c>
      <c r="D370" s="444">
        <v>43875</v>
      </c>
      <c r="E370" s="445">
        <v>10386</v>
      </c>
      <c r="F370" s="440">
        <v>1001010003</v>
      </c>
      <c r="G370" s="440" t="s">
        <v>632</v>
      </c>
    </row>
    <row r="371" spans="1:7">
      <c r="A371" s="440">
        <v>4700394626</v>
      </c>
      <c r="B371" s="440">
        <v>6100014396</v>
      </c>
      <c r="C371" s="440" t="s">
        <v>631</v>
      </c>
      <c r="D371" s="444">
        <v>43875</v>
      </c>
      <c r="E371" s="445">
        <v>4370</v>
      </c>
      <c r="F371" s="440">
        <v>1001010003</v>
      </c>
      <c r="G371" s="440" t="s">
        <v>632</v>
      </c>
    </row>
    <row r="372" spans="1:7">
      <c r="A372" s="440">
        <v>4700394626</v>
      </c>
      <c r="B372" s="440">
        <v>6100014396</v>
      </c>
      <c r="C372" s="440" t="s">
        <v>631</v>
      </c>
      <c r="D372" s="444">
        <v>43875</v>
      </c>
      <c r="E372" s="445">
        <v>1832</v>
      </c>
      <c r="F372" s="440">
        <v>1001010003</v>
      </c>
      <c r="G372" s="440" t="s">
        <v>632</v>
      </c>
    </row>
    <row r="373" spans="1:7">
      <c r="A373" s="440">
        <v>4700407015</v>
      </c>
      <c r="B373" s="440">
        <v>6100022125</v>
      </c>
      <c r="C373" s="440" t="s">
        <v>631</v>
      </c>
      <c r="D373" s="444">
        <v>43898</v>
      </c>
      <c r="E373" s="445">
        <v>2782</v>
      </c>
      <c r="F373" s="440">
        <v>1001010003</v>
      </c>
      <c r="G373" s="440" t="s">
        <v>632</v>
      </c>
    </row>
    <row r="374" spans="1:7">
      <c r="A374" s="440">
        <v>4700407015</v>
      </c>
      <c r="B374" s="440">
        <v>6100022125</v>
      </c>
      <c r="C374" s="440" t="s">
        <v>631</v>
      </c>
      <c r="D374" s="444">
        <v>43898</v>
      </c>
      <c r="E374" s="445">
        <v>5564</v>
      </c>
      <c r="F374" s="440">
        <v>1001010003</v>
      </c>
      <c r="G374" s="440" t="s">
        <v>632</v>
      </c>
    </row>
    <row r="375" spans="1:7">
      <c r="A375" s="440">
        <v>4700407015</v>
      </c>
      <c r="B375" s="440">
        <v>6100022125</v>
      </c>
      <c r="C375" s="440" t="s">
        <v>631</v>
      </c>
      <c r="D375" s="444">
        <v>43898</v>
      </c>
      <c r="E375" s="445">
        <v>2143</v>
      </c>
      <c r="F375" s="440">
        <v>1001010003</v>
      </c>
      <c r="G375" s="440" t="s">
        <v>632</v>
      </c>
    </row>
    <row r="376" spans="1:7">
      <c r="A376" s="440">
        <v>4700407015</v>
      </c>
      <c r="B376" s="440">
        <v>6100022125</v>
      </c>
      <c r="C376" s="440" t="s">
        <v>631</v>
      </c>
      <c r="D376" s="444">
        <v>43898</v>
      </c>
      <c r="E376" s="445">
        <v>10386</v>
      </c>
      <c r="F376" s="440">
        <v>1001010003</v>
      </c>
      <c r="G376" s="440" t="s">
        <v>632</v>
      </c>
    </row>
    <row r="377" spans="1:7">
      <c r="A377" s="440">
        <v>4700407015</v>
      </c>
      <c r="B377" s="440">
        <v>6100022125</v>
      </c>
      <c r="C377" s="440" t="s">
        <v>631</v>
      </c>
      <c r="D377" s="444">
        <v>43898</v>
      </c>
      <c r="E377" s="445">
        <v>11260</v>
      </c>
      <c r="F377" s="440">
        <v>1001010003</v>
      </c>
      <c r="G377" s="440" t="s">
        <v>632</v>
      </c>
    </row>
    <row r="378" spans="1:7">
      <c r="A378" s="440">
        <v>4700407015</v>
      </c>
      <c r="B378" s="440">
        <v>6100022125</v>
      </c>
      <c r="C378" s="440" t="s">
        <v>631</v>
      </c>
      <c r="D378" s="444">
        <v>43898</v>
      </c>
      <c r="E378" s="445">
        <v>10958</v>
      </c>
      <c r="F378" s="440">
        <v>1001010003</v>
      </c>
      <c r="G378" s="440" t="s">
        <v>632</v>
      </c>
    </row>
    <row r="379" spans="1:7">
      <c r="A379" s="440">
        <v>4700416932</v>
      </c>
      <c r="B379" s="440">
        <v>6100036685</v>
      </c>
      <c r="C379" s="440" t="s">
        <v>631</v>
      </c>
      <c r="D379" s="444">
        <v>43941</v>
      </c>
      <c r="E379" s="445">
        <v>4134</v>
      </c>
      <c r="F379" s="440">
        <v>1001010003</v>
      </c>
      <c r="G379" s="440" t="s">
        <v>632</v>
      </c>
    </row>
    <row r="380" spans="1:7">
      <c r="A380" s="440">
        <v>4700416932</v>
      </c>
      <c r="B380" s="440">
        <v>6100036685</v>
      </c>
      <c r="C380" s="440" t="s">
        <v>631</v>
      </c>
      <c r="D380" s="444">
        <v>43941</v>
      </c>
      <c r="E380" s="445">
        <v>1900</v>
      </c>
      <c r="F380" s="440">
        <v>1001010003</v>
      </c>
      <c r="G380" s="440" t="s">
        <v>632</v>
      </c>
    </row>
    <row r="381" spans="1:7">
      <c r="A381" s="440">
        <v>4700416932</v>
      </c>
      <c r="B381" s="440">
        <v>6100036685</v>
      </c>
      <c r="C381" s="440" t="s">
        <v>631</v>
      </c>
      <c r="D381" s="444">
        <v>43941</v>
      </c>
      <c r="E381" s="445">
        <v>2000</v>
      </c>
      <c r="F381" s="440">
        <v>1001010003</v>
      </c>
      <c r="G381" s="440" t="s">
        <v>632</v>
      </c>
    </row>
    <row r="382" spans="1:7">
      <c r="A382" s="440">
        <v>4700416932</v>
      </c>
      <c r="B382" s="440">
        <v>6100036685</v>
      </c>
      <c r="C382" s="440" t="s">
        <v>631</v>
      </c>
      <c r="D382" s="444">
        <v>43941</v>
      </c>
      <c r="E382" s="445">
        <v>1891</v>
      </c>
      <c r="F382" s="440">
        <v>1001010003</v>
      </c>
      <c r="G382" s="440" t="s">
        <v>632</v>
      </c>
    </row>
    <row r="383" spans="1:7">
      <c r="A383" s="440">
        <v>4700416932</v>
      </c>
      <c r="B383" s="440">
        <v>6100036685</v>
      </c>
      <c r="C383" s="440" t="s">
        <v>631</v>
      </c>
      <c r="D383" s="444">
        <v>43941</v>
      </c>
      <c r="E383" s="445">
        <v>28800</v>
      </c>
      <c r="F383" s="440">
        <v>1001010003</v>
      </c>
      <c r="G383" s="440" t="s">
        <v>632</v>
      </c>
    </row>
    <row r="384" spans="1:7">
      <c r="A384" s="440">
        <v>4700416932</v>
      </c>
      <c r="B384" s="440">
        <v>6100036685</v>
      </c>
      <c r="C384" s="440" t="s">
        <v>631</v>
      </c>
      <c r="D384" s="444">
        <v>43941</v>
      </c>
      <c r="E384" s="445">
        <v>3276</v>
      </c>
      <c r="F384" s="440">
        <v>1001010003</v>
      </c>
      <c r="G384" s="440" t="s">
        <v>632</v>
      </c>
    </row>
    <row r="385" spans="1:7">
      <c r="A385" s="440">
        <v>4700416932</v>
      </c>
      <c r="B385" s="440">
        <v>6100036685</v>
      </c>
      <c r="C385" s="440" t="s">
        <v>631</v>
      </c>
      <c r="D385" s="444">
        <v>43941</v>
      </c>
      <c r="E385" s="445">
        <v>6143</v>
      </c>
      <c r="F385" s="440">
        <v>1001010003</v>
      </c>
      <c r="G385" s="440" t="s">
        <v>632</v>
      </c>
    </row>
    <row r="386" spans="1:7">
      <c r="A386" s="440">
        <v>4700423011</v>
      </c>
      <c r="B386" s="440">
        <v>6100047240</v>
      </c>
      <c r="C386" s="440" t="s">
        <v>631</v>
      </c>
      <c r="D386" s="444">
        <v>43967</v>
      </c>
      <c r="E386" s="445">
        <v>12340</v>
      </c>
      <c r="F386" s="440">
        <v>1001010003</v>
      </c>
      <c r="G386" s="440" t="s">
        <v>632</v>
      </c>
    </row>
    <row r="387" spans="1:7">
      <c r="A387" s="440">
        <v>4700423011</v>
      </c>
      <c r="B387" s="440">
        <v>6100047240</v>
      </c>
      <c r="C387" s="440" t="s">
        <v>631</v>
      </c>
      <c r="D387" s="444">
        <v>43967</v>
      </c>
      <c r="E387" s="445">
        <v>3740</v>
      </c>
      <c r="F387" s="440">
        <v>1001010003</v>
      </c>
      <c r="G387" s="440" t="s">
        <v>632</v>
      </c>
    </row>
    <row r="388" spans="1:7">
      <c r="A388" s="440">
        <v>4700423011</v>
      </c>
      <c r="B388" s="440">
        <v>6100047240</v>
      </c>
      <c r="C388" s="440" t="s">
        <v>631</v>
      </c>
      <c r="D388" s="444">
        <v>43967</v>
      </c>
      <c r="E388" s="445">
        <v>4330</v>
      </c>
      <c r="F388" s="440">
        <v>1001010003</v>
      </c>
      <c r="G388" s="440" t="s">
        <v>632</v>
      </c>
    </row>
    <row r="389" spans="1:7">
      <c r="A389" s="440">
        <v>4700423011</v>
      </c>
      <c r="B389" s="440">
        <v>6100047240</v>
      </c>
      <c r="C389" s="440" t="s">
        <v>631</v>
      </c>
      <c r="D389" s="444">
        <v>43967</v>
      </c>
      <c r="E389" s="445">
        <v>6597</v>
      </c>
      <c r="F389" s="440">
        <v>1001010003</v>
      </c>
      <c r="G389" s="440" t="s">
        <v>632</v>
      </c>
    </row>
    <row r="390" spans="1:7">
      <c r="A390" s="440">
        <v>4700423011</v>
      </c>
      <c r="B390" s="440">
        <v>6100047240</v>
      </c>
      <c r="C390" s="440" t="s">
        <v>631</v>
      </c>
      <c r="D390" s="444">
        <v>43967</v>
      </c>
      <c r="E390" s="445">
        <v>6300</v>
      </c>
      <c r="F390" s="440">
        <v>1001010003</v>
      </c>
      <c r="G390" s="440" t="s">
        <v>632</v>
      </c>
    </row>
    <row r="391" spans="1:7">
      <c r="A391" s="440">
        <v>4700423011</v>
      </c>
      <c r="B391" s="440">
        <v>6100047240</v>
      </c>
      <c r="C391" s="440" t="s">
        <v>631</v>
      </c>
      <c r="D391" s="444">
        <v>43967</v>
      </c>
      <c r="E391" s="445">
        <v>19540</v>
      </c>
      <c r="F391" s="440">
        <v>1001010003</v>
      </c>
      <c r="G391" s="440" t="s">
        <v>632</v>
      </c>
    </row>
    <row r="392" spans="1:7">
      <c r="A392" s="440">
        <v>4700429812</v>
      </c>
      <c r="B392" s="440">
        <v>6100053253</v>
      </c>
      <c r="C392" s="440" t="s">
        <v>631</v>
      </c>
      <c r="D392" s="444">
        <v>43986</v>
      </c>
      <c r="E392" s="445">
        <v>2100</v>
      </c>
      <c r="F392" s="440">
        <v>1001010003</v>
      </c>
      <c r="G392" s="440" t="s">
        <v>632</v>
      </c>
    </row>
    <row r="393" spans="1:7">
      <c r="A393" s="440">
        <v>4700435246</v>
      </c>
      <c r="B393" s="440">
        <v>6100057588</v>
      </c>
      <c r="C393" s="440" t="s">
        <v>631</v>
      </c>
      <c r="D393" s="444">
        <v>44000</v>
      </c>
      <c r="E393" s="445">
        <v>8756</v>
      </c>
      <c r="F393" s="440">
        <v>1001010003</v>
      </c>
      <c r="G393" s="440" t="s">
        <v>632</v>
      </c>
    </row>
    <row r="394" spans="1:7">
      <c r="A394" s="440">
        <v>4700435246</v>
      </c>
      <c r="B394" s="440">
        <v>6100057588</v>
      </c>
      <c r="C394" s="440" t="s">
        <v>631</v>
      </c>
      <c r="D394" s="444">
        <v>44000</v>
      </c>
      <c r="E394" s="445">
        <v>12600</v>
      </c>
      <c r="F394" s="440">
        <v>1001010003</v>
      </c>
      <c r="G394" s="440" t="s">
        <v>632</v>
      </c>
    </row>
    <row r="395" spans="1:7">
      <c r="A395" s="440">
        <v>4700435246</v>
      </c>
      <c r="B395" s="440">
        <v>6100057588</v>
      </c>
      <c r="C395" s="440" t="s">
        <v>631</v>
      </c>
      <c r="D395" s="444">
        <v>44000</v>
      </c>
      <c r="E395" s="445">
        <v>1870</v>
      </c>
      <c r="F395" s="440">
        <v>1001010003</v>
      </c>
      <c r="G395" s="440" t="s">
        <v>632</v>
      </c>
    </row>
    <row r="396" spans="1:7">
      <c r="A396" s="440">
        <v>4700435246</v>
      </c>
      <c r="B396" s="440">
        <v>6100057588</v>
      </c>
      <c r="C396" s="440" t="s">
        <v>631</v>
      </c>
      <c r="D396" s="444">
        <v>44000</v>
      </c>
      <c r="E396" s="445">
        <v>8522</v>
      </c>
      <c r="F396" s="440">
        <v>1001010003</v>
      </c>
      <c r="G396" s="440" t="s">
        <v>632</v>
      </c>
    </row>
    <row r="397" spans="1:7">
      <c r="A397" s="440">
        <v>4700435246</v>
      </c>
      <c r="B397" s="440">
        <v>6100057588</v>
      </c>
      <c r="C397" s="440" t="s">
        <v>631</v>
      </c>
      <c r="D397" s="444">
        <v>44000</v>
      </c>
      <c r="E397" s="445">
        <v>3276</v>
      </c>
      <c r="F397" s="440">
        <v>1001010003</v>
      </c>
      <c r="G397" s="440" t="s">
        <v>632</v>
      </c>
    </row>
    <row r="398" spans="1:7">
      <c r="A398" s="440">
        <v>4700435246</v>
      </c>
      <c r="B398" s="440">
        <v>6100057588</v>
      </c>
      <c r="C398" s="440" t="s">
        <v>631</v>
      </c>
      <c r="D398" s="444">
        <v>44000</v>
      </c>
      <c r="E398" s="445">
        <v>9770</v>
      </c>
      <c r="F398" s="440">
        <v>1001010003</v>
      </c>
      <c r="G398" s="440" t="s">
        <v>632</v>
      </c>
    </row>
    <row r="399" spans="1:7">
      <c r="A399" s="440">
        <v>4700445768</v>
      </c>
      <c r="B399" s="440">
        <v>6100064391</v>
      </c>
      <c r="C399" s="440" t="s">
        <v>631</v>
      </c>
      <c r="D399" s="444">
        <v>44028</v>
      </c>
      <c r="E399" s="445">
        <v>8740</v>
      </c>
      <c r="F399" s="440">
        <v>1001010003</v>
      </c>
      <c r="G399" s="440" t="s">
        <v>632</v>
      </c>
    </row>
    <row r="400" spans="1:7">
      <c r="A400" s="440">
        <v>4700445768</v>
      </c>
      <c r="B400" s="440">
        <v>6100064391</v>
      </c>
      <c r="C400" s="440" t="s">
        <v>631</v>
      </c>
      <c r="D400" s="444">
        <v>44028</v>
      </c>
      <c r="E400" s="445">
        <v>1870</v>
      </c>
      <c r="F400" s="440">
        <v>1001010003</v>
      </c>
      <c r="G400" s="440" t="s">
        <v>632</v>
      </c>
    </row>
    <row r="401" spans="1:7">
      <c r="A401" s="440">
        <v>4700445768</v>
      </c>
      <c r="B401" s="440">
        <v>6100064391</v>
      </c>
      <c r="C401" s="440" t="s">
        <v>631</v>
      </c>
      <c r="D401" s="444">
        <v>44028</v>
      </c>
      <c r="E401" s="445">
        <v>4368</v>
      </c>
      <c r="F401" s="440">
        <v>1001010003</v>
      </c>
      <c r="G401" s="440" t="s">
        <v>632</v>
      </c>
    </row>
    <row r="402" spans="1:7">
      <c r="A402" s="440">
        <v>4700445768</v>
      </c>
      <c r="B402" s="440">
        <v>6100064391</v>
      </c>
      <c r="C402" s="440" t="s">
        <v>631</v>
      </c>
      <c r="D402" s="444">
        <v>44028</v>
      </c>
      <c r="E402" s="445">
        <v>14842</v>
      </c>
      <c r="F402" s="440">
        <v>1001010003</v>
      </c>
      <c r="G402" s="440" t="s">
        <v>632</v>
      </c>
    </row>
    <row r="403" spans="1:7">
      <c r="A403" s="440">
        <v>4700467924</v>
      </c>
      <c r="B403" s="440">
        <v>6100078158</v>
      </c>
      <c r="C403" s="440" t="s">
        <v>631</v>
      </c>
      <c r="D403" s="444">
        <v>44079</v>
      </c>
      <c r="E403" s="445">
        <v>4070</v>
      </c>
      <c r="F403" s="440">
        <v>1001010003</v>
      </c>
      <c r="G403" s="440" t="s">
        <v>632</v>
      </c>
    </row>
    <row r="404" spans="1:7">
      <c r="A404" s="440">
        <v>4700467924</v>
      </c>
      <c r="B404" s="440">
        <v>6100078158</v>
      </c>
      <c r="C404" s="440" t="s">
        <v>631</v>
      </c>
      <c r="D404" s="444">
        <v>44079</v>
      </c>
      <c r="E404" s="445">
        <v>5732</v>
      </c>
      <c r="F404" s="440">
        <v>1001010003</v>
      </c>
      <c r="G404" s="440" t="s">
        <v>632</v>
      </c>
    </row>
    <row r="405" spans="1:7">
      <c r="A405" s="440">
        <v>4700467924</v>
      </c>
      <c r="B405" s="440">
        <v>6100078158</v>
      </c>
      <c r="C405" s="440" t="s">
        <v>631</v>
      </c>
      <c r="D405" s="444">
        <v>44079</v>
      </c>
      <c r="E405" s="445">
        <v>11460</v>
      </c>
      <c r="F405" s="440">
        <v>1001010003</v>
      </c>
      <c r="G405" s="440" t="s">
        <v>632</v>
      </c>
    </row>
    <row r="406" spans="1:7">
      <c r="A406" s="440">
        <v>4700467924</v>
      </c>
      <c r="B406" s="440">
        <v>6100078158</v>
      </c>
      <c r="C406" s="440" t="s">
        <v>631</v>
      </c>
      <c r="D406" s="444">
        <v>44079</v>
      </c>
      <c r="E406" s="445">
        <v>5760</v>
      </c>
      <c r="F406" s="440">
        <v>1001010003</v>
      </c>
      <c r="G406" s="440" t="s">
        <v>632</v>
      </c>
    </row>
    <row r="407" spans="1:7">
      <c r="A407" s="440">
        <v>4700467924</v>
      </c>
      <c r="B407" s="440">
        <v>6100078158</v>
      </c>
      <c r="C407" s="440" t="s">
        <v>631</v>
      </c>
      <c r="D407" s="444">
        <v>44079</v>
      </c>
      <c r="E407" s="445">
        <v>4040</v>
      </c>
      <c r="F407" s="440">
        <v>1001010003</v>
      </c>
      <c r="G407" s="440" t="s">
        <v>632</v>
      </c>
    </row>
    <row r="408" spans="1:7">
      <c r="A408" s="440">
        <v>4700467924</v>
      </c>
      <c r="B408" s="440">
        <v>6100078158</v>
      </c>
      <c r="C408" s="440" t="s">
        <v>631</v>
      </c>
      <c r="D408" s="444">
        <v>44079</v>
      </c>
      <c r="E408" s="445">
        <v>6710</v>
      </c>
      <c r="F408" s="440">
        <v>1001010003</v>
      </c>
      <c r="G408" s="440" t="s">
        <v>632</v>
      </c>
    </row>
    <row r="409" spans="1:7">
      <c r="A409" s="440">
        <v>4700467924</v>
      </c>
      <c r="B409" s="440">
        <v>6100078158</v>
      </c>
      <c r="C409" s="440" t="s">
        <v>631</v>
      </c>
      <c r="D409" s="444">
        <v>44079</v>
      </c>
      <c r="E409" s="445">
        <v>7510</v>
      </c>
      <c r="F409" s="440">
        <v>1001010003</v>
      </c>
      <c r="G409" s="440" t="s">
        <v>632</v>
      </c>
    </row>
    <row r="410" spans="1:7">
      <c r="A410" s="440">
        <v>4700467924</v>
      </c>
      <c r="B410" s="440">
        <v>6100078158</v>
      </c>
      <c r="C410" s="440" t="s">
        <v>631</v>
      </c>
      <c r="D410" s="444">
        <v>44079</v>
      </c>
      <c r="E410" s="445">
        <v>8504</v>
      </c>
      <c r="F410" s="440">
        <v>1001010003</v>
      </c>
      <c r="G410" s="440" t="s">
        <v>632</v>
      </c>
    </row>
    <row r="411" spans="1:7">
      <c r="A411" s="440">
        <v>4700467924</v>
      </c>
      <c r="B411" s="440">
        <v>6100078158</v>
      </c>
      <c r="C411" s="440" t="s">
        <v>631</v>
      </c>
      <c r="D411" s="444">
        <v>44079</v>
      </c>
      <c r="E411" s="445">
        <v>14840</v>
      </c>
      <c r="F411" s="440">
        <v>1001010003</v>
      </c>
      <c r="G411" s="440" t="s">
        <v>632</v>
      </c>
    </row>
    <row r="412" spans="1:7">
      <c r="A412" s="440">
        <v>4700483804</v>
      </c>
      <c r="B412" s="440">
        <v>6100095533</v>
      </c>
      <c r="C412" s="440" t="s">
        <v>631</v>
      </c>
      <c r="D412" s="444">
        <v>44117</v>
      </c>
      <c r="E412" s="445">
        <v>3420</v>
      </c>
      <c r="F412" s="440">
        <v>1001010003</v>
      </c>
      <c r="G412" s="440" t="s">
        <v>632</v>
      </c>
    </row>
    <row r="413" spans="1:7">
      <c r="A413" s="440">
        <v>4700483804</v>
      </c>
      <c r="B413" s="440">
        <v>6100095533</v>
      </c>
      <c r="C413" s="440" t="s">
        <v>631</v>
      </c>
      <c r="D413" s="444">
        <v>44117</v>
      </c>
      <c r="E413" s="445">
        <v>2200</v>
      </c>
      <c r="F413" s="440">
        <v>1001010003</v>
      </c>
      <c r="G413" s="440" t="s">
        <v>632</v>
      </c>
    </row>
    <row r="414" spans="1:7">
      <c r="A414" s="440">
        <v>4700483804</v>
      </c>
      <c r="B414" s="440">
        <v>6100095533</v>
      </c>
      <c r="C414" s="440" t="s">
        <v>631</v>
      </c>
      <c r="D414" s="444">
        <v>44117</v>
      </c>
      <c r="E414" s="445">
        <v>8740</v>
      </c>
      <c r="F414" s="440">
        <v>1001010003</v>
      </c>
      <c r="G414" s="440" t="s">
        <v>632</v>
      </c>
    </row>
    <row r="415" spans="1:7">
      <c r="A415" s="440">
        <v>4700483804</v>
      </c>
      <c r="B415" s="440">
        <v>6100095533</v>
      </c>
      <c r="C415" s="440" t="s">
        <v>631</v>
      </c>
      <c r="D415" s="444">
        <v>44117</v>
      </c>
      <c r="E415" s="445">
        <v>5760</v>
      </c>
      <c r="F415" s="440">
        <v>1001010003</v>
      </c>
      <c r="G415" s="440" t="s">
        <v>632</v>
      </c>
    </row>
    <row r="416" spans="1:7">
      <c r="A416" s="440">
        <v>4700483804</v>
      </c>
      <c r="B416" s="440">
        <v>6100095533</v>
      </c>
      <c r="C416" s="440" t="s">
        <v>631</v>
      </c>
      <c r="D416" s="444">
        <v>44117</v>
      </c>
      <c r="E416" s="445">
        <v>1600</v>
      </c>
      <c r="F416" s="440">
        <v>1001010003</v>
      </c>
      <c r="G416" s="440" t="s">
        <v>632</v>
      </c>
    </row>
    <row r="417" spans="1:7">
      <c r="A417" s="440">
        <v>4700483804</v>
      </c>
      <c r="B417" s="440">
        <v>6100095533</v>
      </c>
      <c r="C417" s="440" t="s">
        <v>631</v>
      </c>
      <c r="D417" s="444">
        <v>44117</v>
      </c>
      <c r="E417" s="445">
        <v>2123</v>
      </c>
      <c r="F417" s="440">
        <v>1001010003</v>
      </c>
      <c r="G417" s="440" t="s">
        <v>632</v>
      </c>
    </row>
    <row r="418" spans="1:7">
      <c r="A418" s="440">
        <v>4700483804</v>
      </c>
      <c r="B418" s="440">
        <v>6100095533</v>
      </c>
      <c r="C418" s="440" t="s">
        <v>631</v>
      </c>
      <c r="D418" s="444">
        <v>44117</v>
      </c>
      <c r="E418" s="445">
        <v>7420</v>
      </c>
      <c r="F418" s="440">
        <v>1001010003</v>
      </c>
      <c r="G418" s="440" t="s">
        <v>632</v>
      </c>
    </row>
    <row r="419" spans="1:7">
      <c r="A419" s="440">
        <v>4700499952</v>
      </c>
      <c r="B419" s="440">
        <v>6100118172</v>
      </c>
      <c r="C419" s="440" t="s">
        <v>631</v>
      </c>
      <c r="D419" s="444">
        <v>44153</v>
      </c>
      <c r="E419" s="445">
        <v>5664</v>
      </c>
      <c r="F419" s="440">
        <v>1001010003</v>
      </c>
      <c r="G419" s="440" t="s">
        <v>632</v>
      </c>
    </row>
    <row r="420" spans="1:7">
      <c r="A420" s="440">
        <v>4700499952</v>
      </c>
      <c r="B420" s="440">
        <v>6100118172</v>
      </c>
      <c r="C420" s="440" t="s">
        <v>631</v>
      </c>
      <c r="D420" s="444">
        <v>44153</v>
      </c>
      <c r="E420" s="445">
        <v>3920</v>
      </c>
      <c r="F420" s="440">
        <v>1001010003</v>
      </c>
      <c r="G420" s="440" t="s">
        <v>632</v>
      </c>
    </row>
    <row r="421" spans="1:7">
      <c r="A421" s="440">
        <v>4700499952</v>
      </c>
      <c r="B421" s="440">
        <v>6100118172</v>
      </c>
      <c r="C421" s="440" t="s">
        <v>631</v>
      </c>
      <c r="D421" s="444">
        <v>44153</v>
      </c>
      <c r="E421" s="445">
        <v>64572</v>
      </c>
      <c r="F421" s="440">
        <v>1001010003</v>
      </c>
      <c r="G421" s="440" t="s">
        <v>632</v>
      </c>
    </row>
    <row r="422" spans="1:7">
      <c r="A422" s="440">
        <v>4700499952</v>
      </c>
      <c r="B422" s="440">
        <v>6100118172</v>
      </c>
      <c r="C422" s="440" t="s">
        <v>631</v>
      </c>
      <c r="D422" s="444">
        <v>44153</v>
      </c>
      <c r="E422" s="445">
        <v>78588</v>
      </c>
      <c r="F422" s="440">
        <v>1001010003</v>
      </c>
      <c r="G422" s="440" t="s">
        <v>632</v>
      </c>
    </row>
    <row r="423" spans="1:7">
      <c r="A423" s="440">
        <v>4700499952</v>
      </c>
      <c r="B423" s="440">
        <v>6100118172</v>
      </c>
      <c r="C423" s="440" t="s">
        <v>631</v>
      </c>
      <c r="D423" s="444">
        <v>44153</v>
      </c>
      <c r="E423" s="445">
        <v>8815</v>
      </c>
      <c r="F423" s="440">
        <v>1001010003</v>
      </c>
      <c r="G423" s="440" t="s">
        <v>632</v>
      </c>
    </row>
    <row r="424" spans="1:7">
      <c r="A424" s="440">
        <v>4700499952</v>
      </c>
      <c r="B424" s="440">
        <v>6100118172</v>
      </c>
      <c r="C424" s="440" t="s">
        <v>631</v>
      </c>
      <c r="D424" s="444">
        <v>44153</v>
      </c>
      <c r="E424" s="445">
        <v>7420</v>
      </c>
      <c r="F424" s="440">
        <v>1001010003</v>
      </c>
      <c r="G424" s="440" t="s">
        <v>632</v>
      </c>
    </row>
    <row r="425" spans="1:7">
      <c r="A425" s="440">
        <v>4700510336</v>
      </c>
      <c r="B425" s="440">
        <v>6100130266</v>
      </c>
      <c r="C425" s="440" t="s">
        <v>631</v>
      </c>
      <c r="D425" s="444">
        <v>44170</v>
      </c>
      <c r="E425" s="445">
        <v>4040</v>
      </c>
      <c r="F425" s="440">
        <v>1001010003</v>
      </c>
      <c r="G425" s="440" t="s">
        <v>632</v>
      </c>
    </row>
    <row r="426" spans="1:7">
      <c r="A426" s="440">
        <v>4700510336</v>
      </c>
      <c r="B426" s="440">
        <v>6100130266</v>
      </c>
      <c r="C426" s="440" t="s">
        <v>631</v>
      </c>
      <c r="D426" s="444">
        <v>44170</v>
      </c>
      <c r="E426" s="445">
        <v>1020</v>
      </c>
      <c r="F426" s="440">
        <v>1001010003</v>
      </c>
      <c r="G426" s="440" t="s">
        <v>632</v>
      </c>
    </row>
    <row r="427" spans="1:7">
      <c r="A427" s="440">
        <v>4700510336</v>
      </c>
      <c r="B427" s="440">
        <v>6100130266</v>
      </c>
      <c r="C427" s="440" t="s">
        <v>631</v>
      </c>
      <c r="D427" s="444">
        <v>44170</v>
      </c>
      <c r="E427" s="445">
        <v>3960</v>
      </c>
      <c r="F427" s="440">
        <v>1001010003</v>
      </c>
      <c r="G427" s="440" t="s">
        <v>632</v>
      </c>
    </row>
    <row r="428" spans="1:7">
      <c r="A428" s="440">
        <v>4700510336</v>
      </c>
      <c r="B428" s="440">
        <v>6100130266</v>
      </c>
      <c r="C428" s="440" t="s">
        <v>631</v>
      </c>
      <c r="D428" s="444">
        <v>44170</v>
      </c>
      <c r="E428" s="445">
        <v>4270</v>
      </c>
      <c r="F428" s="440">
        <v>1001010003</v>
      </c>
      <c r="G428" s="440" t="s">
        <v>632</v>
      </c>
    </row>
    <row r="429" spans="1:7">
      <c r="A429" s="440">
        <v>4700510336</v>
      </c>
      <c r="B429" s="440">
        <v>6100130266</v>
      </c>
      <c r="C429" s="440" t="s">
        <v>631</v>
      </c>
      <c r="D429" s="444">
        <v>44170</v>
      </c>
      <c r="E429" s="445">
        <v>5042</v>
      </c>
      <c r="F429" s="440">
        <v>1001010003</v>
      </c>
      <c r="G429" s="440" t="s">
        <v>632</v>
      </c>
    </row>
    <row r="430" spans="1:7">
      <c r="A430" s="440">
        <v>4700525988</v>
      </c>
      <c r="B430" s="440">
        <v>6100005250</v>
      </c>
      <c r="C430" s="440" t="s">
        <v>631</v>
      </c>
      <c r="D430" s="444">
        <v>44211</v>
      </c>
      <c r="E430" s="445">
        <v>3084</v>
      </c>
      <c r="F430" s="440">
        <v>1001010003</v>
      </c>
      <c r="G430" s="440" t="s">
        <v>632</v>
      </c>
    </row>
    <row r="431" spans="1:7">
      <c r="A431" s="440">
        <v>4700525988</v>
      </c>
      <c r="B431" s="440">
        <v>6100005250</v>
      </c>
      <c r="C431" s="440" t="s">
        <v>631</v>
      </c>
      <c r="D431" s="444">
        <v>44211</v>
      </c>
      <c r="E431" s="445">
        <v>9100</v>
      </c>
      <c r="F431" s="440">
        <v>1001010003</v>
      </c>
      <c r="G431" s="440" t="s">
        <v>632</v>
      </c>
    </row>
    <row r="432" spans="1:7">
      <c r="A432" s="440">
        <v>4700525988</v>
      </c>
      <c r="B432" s="440">
        <v>6100005250</v>
      </c>
      <c r="C432" s="440" t="s">
        <v>631</v>
      </c>
      <c r="D432" s="444">
        <v>44211</v>
      </c>
      <c r="E432" s="445">
        <v>9780</v>
      </c>
      <c r="F432" s="440">
        <v>1001010003</v>
      </c>
      <c r="G432" s="440" t="s">
        <v>632</v>
      </c>
    </row>
    <row r="433" spans="1:7">
      <c r="A433" s="440">
        <v>4700525988</v>
      </c>
      <c r="B433" s="440">
        <v>6100005250</v>
      </c>
      <c r="C433" s="440" t="s">
        <v>631</v>
      </c>
      <c r="D433" s="444">
        <v>44211</v>
      </c>
      <c r="E433" s="445">
        <v>9600</v>
      </c>
      <c r="F433" s="440">
        <v>1001010003</v>
      </c>
      <c r="G433" s="440" t="s">
        <v>632</v>
      </c>
    </row>
    <row r="434" spans="1:7">
      <c r="A434" s="440">
        <v>4700525988</v>
      </c>
      <c r="B434" s="440">
        <v>6100005250</v>
      </c>
      <c r="C434" s="440" t="s">
        <v>631</v>
      </c>
      <c r="D434" s="444">
        <v>44211</v>
      </c>
      <c r="E434" s="445">
        <v>12100</v>
      </c>
      <c r="F434" s="440">
        <v>1001010003</v>
      </c>
      <c r="G434" s="440" t="s">
        <v>632</v>
      </c>
    </row>
    <row r="435" spans="1:7">
      <c r="A435" s="440">
        <v>4700525988</v>
      </c>
      <c r="B435" s="440">
        <v>6100005250</v>
      </c>
      <c r="C435" s="440" t="s">
        <v>631</v>
      </c>
      <c r="D435" s="444">
        <v>44211</v>
      </c>
      <c r="E435" s="445">
        <v>16860</v>
      </c>
      <c r="F435" s="440">
        <v>1001010003</v>
      </c>
      <c r="G435" s="440" t="s">
        <v>632</v>
      </c>
    </row>
    <row r="436" spans="1:7">
      <c r="A436" s="440">
        <v>4700525988</v>
      </c>
      <c r="B436" s="440">
        <v>6100005250</v>
      </c>
      <c r="C436" s="440" t="s">
        <v>631</v>
      </c>
      <c r="D436" s="444">
        <v>44211</v>
      </c>
      <c r="E436" s="445">
        <v>9916</v>
      </c>
      <c r="F436" s="440">
        <v>1001010003</v>
      </c>
      <c r="G436" s="440" t="s">
        <v>632</v>
      </c>
    </row>
    <row r="437" spans="1:7">
      <c r="A437" s="440">
        <v>4700525988</v>
      </c>
      <c r="B437" s="440">
        <v>6100005250</v>
      </c>
      <c r="C437" s="440" t="s">
        <v>631</v>
      </c>
      <c r="D437" s="444">
        <v>44211</v>
      </c>
      <c r="E437" s="445">
        <v>58941</v>
      </c>
      <c r="F437" s="440">
        <v>1001010003</v>
      </c>
      <c r="G437" s="440" t="s">
        <v>632</v>
      </c>
    </row>
    <row r="438" spans="1:7">
      <c r="A438" s="440">
        <v>4700525988</v>
      </c>
      <c r="B438" s="440">
        <v>6100005250</v>
      </c>
      <c r="C438" s="440" t="s">
        <v>631</v>
      </c>
      <c r="D438" s="444">
        <v>44211</v>
      </c>
      <c r="E438" s="445">
        <v>6555</v>
      </c>
      <c r="F438" s="440">
        <v>1001010003</v>
      </c>
      <c r="G438" s="440" t="s">
        <v>632</v>
      </c>
    </row>
    <row r="439" spans="1:7">
      <c r="A439" s="440">
        <v>4700525988</v>
      </c>
      <c r="B439" s="440">
        <v>6100005250</v>
      </c>
      <c r="C439" s="440" t="s">
        <v>631</v>
      </c>
      <c r="D439" s="444">
        <v>44211</v>
      </c>
      <c r="E439" s="445">
        <v>15200</v>
      </c>
      <c r="F439" s="440">
        <v>1001010003</v>
      </c>
      <c r="G439" s="440" t="s">
        <v>632</v>
      </c>
    </row>
    <row r="440" spans="1:7">
      <c r="A440" s="440">
        <v>4700538878</v>
      </c>
      <c r="B440" s="440">
        <v>6100014678</v>
      </c>
      <c r="C440" s="440" t="s">
        <v>631</v>
      </c>
      <c r="D440" s="444">
        <v>44233</v>
      </c>
      <c r="E440" s="445">
        <v>2900</v>
      </c>
      <c r="F440" s="440">
        <v>1001010003</v>
      </c>
      <c r="G440" s="440" t="s">
        <v>632</v>
      </c>
    </row>
    <row r="441" spans="1:7">
      <c r="A441" s="440">
        <v>4700538878</v>
      </c>
      <c r="B441" s="440">
        <v>6100014678</v>
      </c>
      <c r="C441" s="440" t="s">
        <v>631</v>
      </c>
      <c r="D441" s="444">
        <v>44233</v>
      </c>
      <c r="E441" s="445">
        <v>3740</v>
      </c>
      <c r="F441" s="440">
        <v>1001010003</v>
      </c>
      <c r="G441" s="440" t="s">
        <v>632</v>
      </c>
    </row>
    <row r="442" spans="1:7">
      <c r="A442" s="440">
        <v>4700538878</v>
      </c>
      <c r="B442" s="440">
        <v>6100014678</v>
      </c>
      <c r="C442" s="440" t="s">
        <v>631</v>
      </c>
      <c r="D442" s="444">
        <v>44233</v>
      </c>
      <c r="E442" s="445">
        <v>7600</v>
      </c>
      <c r="F442" s="440">
        <v>1001010003</v>
      </c>
      <c r="G442" s="440" t="s">
        <v>632</v>
      </c>
    </row>
    <row r="443" spans="1:7">
      <c r="A443" s="440">
        <v>4700538878</v>
      </c>
      <c r="B443" s="440">
        <v>6100015415</v>
      </c>
      <c r="C443" s="440" t="s">
        <v>631</v>
      </c>
      <c r="D443" s="444">
        <v>44233</v>
      </c>
      <c r="E443" s="445">
        <v>-2900</v>
      </c>
      <c r="F443" s="440">
        <v>1001010003</v>
      </c>
      <c r="G443" s="440" t="s">
        <v>632</v>
      </c>
    </row>
    <row r="444" spans="1:7">
      <c r="A444" s="440">
        <v>4700538878</v>
      </c>
      <c r="B444" s="440">
        <v>6100015415</v>
      </c>
      <c r="C444" s="440" t="s">
        <v>631</v>
      </c>
      <c r="D444" s="444">
        <v>44233</v>
      </c>
      <c r="E444" s="445">
        <v>-3740</v>
      </c>
      <c r="F444" s="440">
        <v>1001010003</v>
      </c>
      <c r="G444" s="440" t="s">
        <v>632</v>
      </c>
    </row>
    <row r="445" spans="1:7">
      <c r="A445" s="440">
        <v>4700538878</v>
      </c>
      <c r="B445" s="440">
        <v>6100015415</v>
      </c>
      <c r="C445" s="440" t="s">
        <v>631</v>
      </c>
      <c r="D445" s="444">
        <v>44233</v>
      </c>
      <c r="E445" s="445">
        <v>-7600</v>
      </c>
      <c r="F445" s="440">
        <v>1001010003</v>
      </c>
      <c r="G445" s="440" t="s">
        <v>632</v>
      </c>
    </row>
    <row r="446" spans="1:7">
      <c r="A446" s="440">
        <v>4700538878</v>
      </c>
      <c r="B446" s="440">
        <v>6100015475</v>
      </c>
      <c r="C446" s="440" t="s">
        <v>631</v>
      </c>
      <c r="D446" s="444">
        <v>44235</v>
      </c>
      <c r="E446" s="445">
        <v>2900</v>
      </c>
      <c r="F446" s="440">
        <v>1001010003</v>
      </c>
      <c r="G446" s="440" t="s">
        <v>632</v>
      </c>
    </row>
    <row r="447" spans="1:7">
      <c r="A447" s="440">
        <v>4700557336</v>
      </c>
      <c r="B447" s="440">
        <v>6100024892</v>
      </c>
      <c r="C447" s="440" t="s">
        <v>631</v>
      </c>
      <c r="D447" s="444">
        <v>44268</v>
      </c>
      <c r="E447" s="445">
        <v>11932</v>
      </c>
      <c r="F447" s="440">
        <v>1001010003</v>
      </c>
      <c r="G447" s="440" t="s">
        <v>632</v>
      </c>
    </row>
    <row r="448" spans="1:7">
      <c r="A448" s="440">
        <v>4700557336</v>
      </c>
      <c r="B448" s="440">
        <v>6100024892</v>
      </c>
      <c r="C448" s="440" t="s">
        <v>631</v>
      </c>
      <c r="D448" s="444">
        <v>44268</v>
      </c>
      <c r="E448" s="445">
        <v>1980</v>
      </c>
      <c r="F448" s="440">
        <v>1001010003</v>
      </c>
      <c r="G448" s="440" t="s">
        <v>632</v>
      </c>
    </row>
    <row r="449" spans="1:7">
      <c r="A449" s="440">
        <v>4700557336</v>
      </c>
      <c r="B449" s="440">
        <v>6100024892</v>
      </c>
      <c r="C449" s="440" t="s">
        <v>631</v>
      </c>
      <c r="D449" s="444">
        <v>44268</v>
      </c>
      <c r="E449" s="445">
        <v>10406</v>
      </c>
      <c r="F449" s="440">
        <v>1001010003</v>
      </c>
      <c r="G449" s="440" t="s">
        <v>632</v>
      </c>
    </row>
    <row r="450" spans="1:7">
      <c r="A450" s="440">
        <v>4700569923</v>
      </c>
      <c r="B450" s="440">
        <v>6100030648</v>
      </c>
      <c r="C450" s="440" t="s">
        <v>631</v>
      </c>
      <c r="D450" s="444">
        <v>44296</v>
      </c>
      <c r="E450" s="445">
        <v>7000</v>
      </c>
      <c r="F450" s="440">
        <v>1001010003</v>
      </c>
      <c r="G450" s="440" t="s">
        <v>632</v>
      </c>
    </row>
    <row r="451" spans="1:7">
      <c r="A451" s="440">
        <v>4700580713</v>
      </c>
      <c r="B451" s="440">
        <v>6100037479</v>
      </c>
      <c r="C451" s="440" t="s">
        <v>631</v>
      </c>
      <c r="D451" s="444">
        <v>44327</v>
      </c>
      <c r="E451" s="445">
        <v>4240</v>
      </c>
      <c r="F451" s="440">
        <v>1001010003</v>
      </c>
      <c r="G451" s="440" t="s">
        <v>632</v>
      </c>
    </row>
    <row r="452" spans="1:7">
      <c r="A452" s="440">
        <v>4700580713</v>
      </c>
      <c r="B452" s="440">
        <v>6100037479</v>
      </c>
      <c r="C452" s="440" t="s">
        <v>631</v>
      </c>
      <c r="D452" s="444">
        <v>44327</v>
      </c>
      <c r="E452" s="445">
        <v>9630</v>
      </c>
      <c r="F452" s="440">
        <v>1001010003</v>
      </c>
      <c r="G452" s="440" t="s">
        <v>632</v>
      </c>
    </row>
    <row r="453" spans="1:7">
      <c r="A453" s="440">
        <v>4700593942</v>
      </c>
      <c r="B453" s="440">
        <v>6100043550</v>
      </c>
      <c r="C453" s="440" t="s">
        <v>631</v>
      </c>
      <c r="D453" s="444">
        <v>44362</v>
      </c>
      <c r="E453" s="445">
        <v>5860</v>
      </c>
      <c r="F453" s="440">
        <v>1001010003</v>
      </c>
      <c r="G453" s="440" t="s">
        <v>632</v>
      </c>
    </row>
    <row r="454" spans="1:7">
      <c r="A454" s="440">
        <v>4700593942</v>
      </c>
      <c r="B454" s="440">
        <v>6100043550</v>
      </c>
      <c r="C454" s="440" t="s">
        <v>631</v>
      </c>
      <c r="D454" s="444">
        <v>44362</v>
      </c>
      <c r="E454" s="445">
        <v>2120</v>
      </c>
      <c r="F454" s="440">
        <v>1001010003</v>
      </c>
      <c r="G454" s="440" t="s">
        <v>632</v>
      </c>
    </row>
    <row r="455" spans="1:7">
      <c r="A455" s="440">
        <v>4700610143</v>
      </c>
      <c r="B455" s="440">
        <v>6100048452</v>
      </c>
      <c r="C455" s="440" t="s">
        <v>631</v>
      </c>
      <c r="D455" s="444">
        <v>44392</v>
      </c>
      <c r="E455" s="445">
        <v>3826</v>
      </c>
      <c r="F455" s="440">
        <v>1001010003</v>
      </c>
      <c r="G455" s="440" t="s">
        <v>632</v>
      </c>
    </row>
    <row r="456" spans="1:7">
      <c r="A456" s="440">
        <v>4700610143</v>
      </c>
      <c r="B456" s="440">
        <v>6100048452</v>
      </c>
      <c r="C456" s="440" t="s">
        <v>631</v>
      </c>
      <c r="D456" s="444">
        <v>44392</v>
      </c>
      <c r="E456" s="445">
        <v>2119</v>
      </c>
      <c r="F456" s="440">
        <v>1001010003</v>
      </c>
      <c r="G456" s="440" t="s">
        <v>632</v>
      </c>
    </row>
    <row r="457" spans="1:7">
      <c r="A457" s="440">
        <v>4700610143</v>
      </c>
      <c r="B457" s="440">
        <v>6100048452</v>
      </c>
      <c r="C457" s="440" t="s">
        <v>631</v>
      </c>
      <c r="D457" s="444">
        <v>44392</v>
      </c>
      <c r="E457" s="445">
        <v>3550</v>
      </c>
      <c r="F457" s="440">
        <v>1001010003</v>
      </c>
      <c r="G457" s="440" t="s">
        <v>632</v>
      </c>
    </row>
    <row r="458" spans="1:7">
      <c r="A458" s="440">
        <v>4700610143</v>
      </c>
      <c r="B458" s="440">
        <v>6100048452</v>
      </c>
      <c r="C458" s="440" t="s">
        <v>631</v>
      </c>
      <c r="D458" s="444">
        <v>44392</v>
      </c>
      <c r="E458" s="445">
        <v>39294</v>
      </c>
      <c r="F458" s="440">
        <v>1001010003</v>
      </c>
      <c r="G458" s="440" t="s">
        <v>632</v>
      </c>
    </row>
    <row r="459" spans="1:7">
      <c r="A459" s="440">
        <v>4700624923</v>
      </c>
      <c r="B459" s="440">
        <v>6100054697</v>
      </c>
      <c r="C459" s="440" t="s">
        <v>631</v>
      </c>
      <c r="D459" s="444">
        <v>44425</v>
      </c>
      <c r="E459" s="445">
        <v>7140</v>
      </c>
      <c r="F459" s="440">
        <v>1001010003</v>
      </c>
      <c r="G459" s="440" t="s">
        <v>632</v>
      </c>
    </row>
    <row r="460" spans="1:7">
      <c r="A460" s="440">
        <v>4700624923</v>
      </c>
      <c r="B460" s="440">
        <v>6100054697</v>
      </c>
      <c r="C460" s="440" t="s">
        <v>631</v>
      </c>
      <c r="D460" s="444">
        <v>44425</v>
      </c>
      <c r="E460" s="445">
        <v>5336</v>
      </c>
      <c r="F460" s="440">
        <v>1001010003</v>
      </c>
      <c r="G460" s="440" t="s">
        <v>632</v>
      </c>
    </row>
    <row r="461" spans="1:7">
      <c r="A461" s="440">
        <v>4700624923</v>
      </c>
      <c r="B461" s="440">
        <v>6100054697</v>
      </c>
      <c r="C461" s="440" t="s">
        <v>631</v>
      </c>
      <c r="D461" s="444">
        <v>44425</v>
      </c>
      <c r="E461" s="445">
        <v>10200</v>
      </c>
      <c r="F461" s="440">
        <v>1001010003</v>
      </c>
      <c r="G461" s="440" t="s">
        <v>632</v>
      </c>
    </row>
    <row r="462" spans="1:7">
      <c r="A462" s="440">
        <v>4700624923</v>
      </c>
      <c r="B462" s="440">
        <v>6100054697</v>
      </c>
      <c r="C462" s="440" t="s">
        <v>631</v>
      </c>
      <c r="D462" s="444">
        <v>44425</v>
      </c>
      <c r="E462" s="445">
        <v>4550</v>
      </c>
      <c r="F462" s="440">
        <v>1001010003</v>
      </c>
      <c r="G462" s="440" t="s">
        <v>632</v>
      </c>
    </row>
    <row r="463" spans="1:7">
      <c r="A463" s="440">
        <v>4700640797</v>
      </c>
      <c r="B463" s="440">
        <v>6100060260</v>
      </c>
      <c r="C463" s="440" t="s">
        <v>631</v>
      </c>
      <c r="D463" s="444">
        <v>44449</v>
      </c>
      <c r="E463" s="445">
        <v>5963</v>
      </c>
      <c r="F463" s="440">
        <v>1001010003</v>
      </c>
      <c r="G463" s="440" t="s">
        <v>632</v>
      </c>
    </row>
    <row r="464" spans="1:7">
      <c r="A464" s="440">
        <v>4700640797</v>
      </c>
      <c r="B464" s="440">
        <v>6100060260</v>
      </c>
      <c r="C464" s="440" t="s">
        <v>631</v>
      </c>
      <c r="D464" s="444">
        <v>44449</v>
      </c>
      <c r="E464" s="445">
        <v>4542</v>
      </c>
      <c r="F464" s="440">
        <v>1001010003</v>
      </c>
      <c r="G464" s="440" t="s">
        <v>632</v>
      </c>
    </row>
    <row r="465" spans="1:7">
      <c r="A465" s="440">
        <v>4700640797</v>
      </c>
      <c r="B465" s="440">
        <v>6100060260</v>
      </c>
      <c r="C465" s="440" t="s">
        <v>631</v>
      </c>
      <c r="D465" s="444">
        <v>44449</v>
      </c>
      <c r="E465" s="445">
        <v>5143</v>
      </c>
      <c r="F465" s="440">
        <v>1001010003</v>
      </c>
      <c r="G465" s="440" t="s">
        <v>632</v>
      </c>
    </row>
    <row r="466" spans="1:7">
      <c r="A466" s="440">
        <v>4700640797</v>
      </c>
      <c r="B466" s="440">
        <v>6100060260</v>
      </c>
      <c r="C466" s="440" t="s">
        <v>631</v>
      </c>
      <c r="D466" s="444">
        <v>44449</v>
      </c>
      <c r="E466" s="445">
        <v>1110</v>
      </c>
      <c r="F466" s="440">
        <v>1001010003</v>
      </c>
      <c r="G466" s="440" t="s">
        <v>632</v>
      </c>
    </row>
    <row r="467" spans="1:7">
      <c r="A467" s="440">
        <v>4700640797</v>
      </c>
      <c r="B467" s="440">
        <v>6100060260</v>
      </c>
      <c r="C467" s="440" t="s">
        <v>631</v>
      </c>
      <c r="D467" s="444">
        <v>44449</v>
      </c>
      <c r="E467" s="445">
        <v>4723</v>
      </c>
      <c r="F467" s="440">
        <v>1001010003</v>
      </c>
      <c r="G467" s="440" t="s">
        <v>632</v>
      </c>
    </row>
    <row r="468" spans="1:7">
      <c r="A468" s="440">
        <v>4700661095</v>
      </c>
      <c r="B468" s="440">
        <v>6100073530</v>
      </c>
      <c r="C468" s="440" t="s">
        <v>631</v>
      </c>
      <c r="D468" s="444">
        <v>44491</v>
      </c>
      <c r="E468" s="445">
        <v>45080</v>
      </c>
      <c r="F468" s="440">
        <v>1001010003</v>
      </c>
      <c r="G468" s="440" t="s">
        <v>632</v>
      </c>
    </row>
    <row r="469" spans="1:7">
      <c r="A469" s="440">
        <v>4700661095</v>
      </c>
      <c r="B469" s="440">
        <v>6100073530</v>
      </c>
      <c r="C469" s="440" t="s">
        <v>631</v>
      </c>
      <c r="D469" s="444">
        <v>44491</v>
      </c>
      <c r="E469" s="445">
        <v>5143</v>
      </c>
      <c r="F469" s="440">
        <v>1001010003</v>
      </c>
      <c r="G469" s="440" t="s">
        <v>632</v>
      </c>
    </row>
    <row r="470" spans="1:7">
      <c r="A470" s="440">
        <v>4700661095</v>
      </c>
      <c r="B470" s="440">
        <v>6100073530</v>
      </c>
      <c r="C470" s="440" t="s">
        <v>631</v>
      </c>
      <c r="D470" s="444">
        <v>44491</v>
      </c>
      <c r="E470" s="445">
        <v>8908</v>
      </c>
      <c r="F470" s="440">
        <v>1001010003</v>
      </c>
      <c r="G470" s="440" t="s">
        <v>632</v>
      </c>
    </row>
    <row r="471" spans="1:7">
      <c r="A471" s="440">
        <v>4700672664</v>
      </c>
      <c r="B471" s="440">
        <v>6100084450</v>
      </c>
      <c r="C471" s="440" t="s">
        <v>631</v>
      </c>
      <c r="D471" s="444">
        <v>44519</v>
      </c>
      <c r="E471" s="445">
        <v>7614</v>
      </c>
      <c r="F471" s="440">
        <v>1001010003</v>
      </c>
      <c r="G471" s="440" t="s">
        <v>632</v>
      </c>
    </row>
    <row r="472" spans="1:7">
      <c r="A472" s="440">
        <v>4700672664</v>
      </c>
      <c r="B472" s="440">
        <v>6100084450</v>
      </c>
      <c r="C472" s="440" t="s">
        <v>631</v>
      </c>
      <c r="D472" s="444">
        <v>44519</v>
      </c>
      <c r="E472" s="445">
        <v>2040</v>
      </c>
      <c r="F472" s="440">
        <v>1001010003</v>
      </c>
      <c r="G472" s="440" t="s">
        <v>632</v>
      </c>
    </row>
    <row r="473" spans="1:7">
      <c r="A473" s="440">
        <v>4700672664</v>
      </c>
      <c r="B473" s="440">
        <v>6100084450</v>
      </c>
      <c r="C473" s="440" t="s">
        <v>631</v>
      </c>
      <c r="D473" s="444">
        <v>44519</v>
      </c>
      <c r="E473" s="445">
        <v>3200</v>
      </c>
      <c r="F473" s="440">
        <v>1001010003</v>
      </c>
      <c r="G473" s="440" t="s">
        <v>632</v>
      </c>
    </row>
    <row r="474" spans="1:7">
      <c r="A474" s="440">
        <v>4700672664</v>
      </c>
      <c r="B474" s="440">
        <v>6100084450</v>
      </c>
      <c r="C474" s="440" t="s">
        <v>631</v>
      </c>
      <c r="D474" s="444">
        <v>44519</v>
      </c>
      <c r="E474" s="445">
        <v>8360</v>
      </c>
      <c r="F474" s="440">
        <v>1001010003</v>
      </c>
      <c r="G474" s="440" t="s">
        <v>632</v>
      </c>
    </row>
    <row r="475" spans="1:7">
      <c r="A475" s="440">
        <v>4700672664</v>
      </c>
      <c r="B475" s="440">
        <v>6100084450</v>
      </c>
      <c r="C475" s="440" t="s">
        <v>631</v>
      </c>
      <c r="D475" s="444">
        <v>44519</v>
      </c>
      <c r="E475" s="445">
        <v>5143</v>
      </c>
      <c r="F475" s="440">
        <v>1001010003</v>
      </c>
      <c r="G475" s="440" t="s">
        <v>632</v>
      </c>
    </row>
    <row r="476" spans="1:7">
      <c r="A476" s="440">
        <v>4700688223</v>
      </c>
      <c r="B476" s="440">
        <v>6100094665</v>
      </c>
      <c r="C476" s="440" t="s">
        <v>631</v>
      </c>
      <c r="D476" s="444">
        <v>44546</v>
      </c>
      <c r="E476" s="445">
        <v>6874</v>
      </c>
      <c r="F476" s="440">
        <v>1001010003</v>
      </c>
      <c r="G476" s="440" t="s">
        <v>632</v>
      </c>
    </row>
    <row r="477" spans="1:7">
      <c r="A477" s="440">
        <v>4700688223</v>
      </c>
      <c r="B477" s="440">
        <v>6100094665</v>
      </c>
      <c r="C477" s="440" t="s">
        <v>631</v>
      </c>
      <c r="D477" s="444">
        <v>44546</v>
      </c>
      <c r="E477" s="445">
        <v>11520</v>
      </c>
      <c r="F477" s="440">
        <v>1001010003</v>
      </c>
      <c r="G477" s="440" t="s">
        <v>632</v>
      </c>
    </row>
    <row r="478" spans="1:7">
      <c r="A478" s="440">
        <v>4700688223</v>
      </c>
      <c r="B478" s="440">
        <v>6100094665</v>
      </c>
      <c r="C478" s="440" t="s">
        <v>631</v>
      </c>
      <c r="D478" s="444">
        <v>44546</v>
      </c>
      <c r="E478" s="445">
        <v>5250</v>
      </c>
      <c r="F478" s="440">
        <v>1001010003</v>
      </c>
      <c r="G478" s="440" t="s">
        <v>632</v>
      </c>
    </row>
    <row r="479" spans="1:7">
      <c r="A479" s="440">
        <v>4700688223</v>
      </c>
      <c r="B479" s="440">
        <v>6100094665</v>
      </c>
      <c r="C479" s="440" t="s">
        <v>631</v>
      </c>
      <c r="D479" s="444">
        <v>44546</v>
      </c>
      <c r="E479" s="445">
        <v>3980</v>
      </c>
      <c r="F479" s="440">
        <v>1001010003</v>
      </c>
      <c r="G479" s="440" t="s">
        <v>632</v>
      </c>
    </row>
    <row r="480" spans="1:7">
      <c r="A480" s="440">
        <v>4700688223</v>
      </c>
      <c r="B480" s="440">
        <v>6100094665</v>
      </c>
      <c r="C480" s="440" t="s">
        <v>631</v>
      </c>
      <c r="D480" s="444">
        <v>44546</v>
      </c>
      <c r="E480" s="445">
        <v>6168</v>
      </c>
      <c r="F480" s="440">
        <v>1001010003</v>
      </c>
      <c r="G480" s="440" t="s">
        <v>632</v>
      </c>
    </row>
    <row r="481" spans="1:7">
      <c r="A481" s="440">
        <v>4700377868</v>
      </c>
      <c r="B481" s="440">
        <v>6100003744</v>
      </c>
      <c r="C481" s="440" t="s">
        <v>631</v>
      </c>
      <c r="D481" s="444">
        <v>43842</v>
      </c>
      <c r="E481" s="445">
        <v>4370</v>
      </c>
      <c r="F481" s="440">
        <v>1001010004</v>
      </c>
      <c r="G481" s="440" t="s">
        <v>632</v>
      </c>
    </row>
    <row r="482" spans="1:7">
      <c r="A482" s="440">
        <v>4700377868</v>
      </c>
      <c r="B482" s="440">
        <v>6100003744</v>
      </c>
      <c r="C482" s="440" t="s">
        <v>631</v>
      </c>
      <c r="D482" s="444">
        <v>43842</v>
      </c>
      <c r="E482" s="445">
        <v>2353</v>
      </c>
      <c r="F482" s="440">
        <v>1001010004</v>
      </c>
      <c r="G482" s="440" t="s">
        <v>632</v>
      </c>
    </row>
    <row r="483" spans="1:7">
      <c r="A483" s="440">
        <v>4700377868</v>
      </c>
      <c r="B483" s="440">
        <v>6100003744</v>
      </c>
      <c r="C483" s="440" t="s">
        <v>631</v>
      </c>
      <c r="D483" s="444">
        <v>43842</v>
      </c>
      <c r="E483" s="445">
        <v>3531</v>
      </c>
      <c r="F483" s="440">
        <v>1001010004</v>
      </c>
      <c r="G483" s="440" t="s">
        <v>632</v>
      </c>
    </row>
    <row r="484" spans="1:7">
      <c r="A484" s="440">
        <v>4700377868</v>
      </c>
      <c r="B484" s="440">
        <v>6100003744</v>
      </c>
      <c r="C484" s="440" t="s">
        <v>631</v>
      </c>
      <c r="D484" s="444">
        <v>43842</v>
      </c>
      <c r="E484" s="445">
        <v>20043</v>
      </c>
      <c r="F484" s="440">
        <v>1001010004</v>
      </c>
      <c r="G484" s="440" t="s">
        <v>632</v>
      </c>
    </row>
    <row r="485" spans="1:7">
      <c r="A485" s="440">
        <v>4700377868</v>
      </c>
      <c r="B485" s="440">
        <v>6100003744</v>
      </c>
      <c r="C485" s="440" t="s">
        <v>631</v>
      </c>
      <c r="D485" s="444">
        <v>43842</v>
      </c>
      <c r="E485" s="445">
        <v>18909</v>
      </c>
      <c r="F485" s="440">
        <v>1001010004</v>
      </c>
      <c r="G485" s="440" t="s">
        <v>632</v>
      </c>
    </row>
    <row r="486" spans="1:7">
      <c r="A486" s="440">
        <v>4700377868</v>
      </c>
      <c r="B486" s="440">
        <v>6100003744</v>
      </c>
      <c r="C486" s="440" t="s">
        <v>631</v>
      </c>
      <c r="D486" s="444">
        <v>43842</v>
      </c>
      <c r="E486" s="445">
        <v>8025</v>
      </c>
      <c r="F486" s="440">
        <v>1001010004</v>
      </c>
      <c r="G486" s="440" t="s">
        <v>632</v>
      </c>
    </row>
    <row r="487" spans="1:7">
      <c r="A487" s="440">
        <v>4700377868</v>
      </c>
      <c r="B487" s="440">
        <v>6100003744</v>
      </c>
      <c r="C487" s="440" t="s">
        <v>631</v>
      </c>
      <c r="D487" s="444">
        <v>43842</v>
      </c>
      <c r="E487" s="445">
        <v>44750</v>
      </c>
      <c r="F487" s="440">
        <v>1001010004</v>
      </c>
      <c r="G487" s="440" t="s">
        <v>632</v>
      </c>
    </row>
    <row r="488" spans="1:7">
      <c r="A488" s="440">
        <v>4700377868</v>
      </c>
      <c r="B488" s="440">
        <v>6100003744</v>
      </c>
      <c r="C488" s="440" t="s">
        <v>631</v>
      </c>
      <c r="D488" s="444">
        <v>43842</v>
      </c>
      <c r="E488" s="445">
        <v>13230</v>
      </c>
      <c r="F488" s="440">
        <v>1001010004</v>
      </c>
      <c r="G488" s="440" t="s">
        <v>632</v>
      </c>
    </row>
    <row r="489" spans="1:7">
      <c r="A489" s="440">
        <v>4700377868</v>
      </c>
      <c r="B489" s="440">
        <v>6100003744</v>
      </c>
      <c r="C489" s="440" t="s">
        <v>631</v>
      </c>
      <c r="D489" s="444">
        <v>43842</v>
      </c>
      <c r="E489" s="445">
        <v>5714</v>
      </c>
      <c r="F489" s="440">
        <v>1001010004</v>
      </c>
      <c r="G489" s="440" t="s">
        <v>632</v>
      </c>
    </row>
    <row r="490" spans="1:7">
      <c r="A490" s="440">
        <v>4700377868</v>
      </c>
      <c r="B490" s="440">
        <v>6100003744</v>
      </c>
      <c r="C490" s="440" t="s">
        <v>631</v>
      </c>
      <c r="D490" s="444">
        <v>43842</v>
      </c>
      <c r="E490" s="445">
        <v>3151</v>
      </c>
      <c r="F490" s="440">
        <v>1001010004</v>
      </c>
      <c r="G490" s="440" t="s">
        <v>632</v>
      </c>
    </row>
    <row r="491" spans="1:7">
      <c r="A491" s="440">
        <v>4700377868</v>
      </c>
      <c r="B491" s="440">
        <v>6100003744</v>
      </c>
      <c r="C491" s="440" t="s">
        <v>631</v>
      </c>
      <c r="D491" s="444">
        <v>43842</v>
      </c>
      <c r="E491" s="445">
        <v>2899</v>
      </c>
      <c r="F491" s="440">
        <v>1001010004</v>
      </c>
      <c r="G491" s="440" t="s">
        <v>632</v>
      </c>
    </row>
    <row r="492" spans="1:7">
      <c r="A492" s="440">
        <v>4700377868</v>
      </c>
      <c r="B492" s="440">
        <v>6100003744</v>
      </c>
      <c r="C492" s="440" t="s">
        <v>631</v>
      </c>
      <c r="D492" s="444">
        <v>43842</v>
      </c>
      <c r="E492" s="445">
        <v>6638</v>
      </c>
      <c r="F492" s="440">
        <v>1001010004</v>
      </c>
      <c r="G492" s="440" t="s">
        <v>632</v>
      </c>
    </row>
    <row r="493" spans="1:7">
      <c r="A493" s="440">
        <v>4700377868</v>
      </c>
      <c r="B493" s="440">
        <v>6100003744</v>
      </c>
      <c r="C493" s="440" t="s">
        <v>631</v>
      </c>
      <c r="D493" s="444">
        <v>43842</v>
      </c>
      <c r="E493" s="445">
        <v>1849</v>
      </c>
      <c r="F493" s="440">
        <v>1001010004</v>
      </c>
      <c r="G493" s="440" t="s">
        <v>632</v>
      </c>
    </row>
    <row r="494" spans="1:7">
      <c r="A494" s="440">
        <v>4700410655</v>
      </c>
      <c r="B494" s="440">
        <v>6100024631</v>
      </c>
      <c r="C494" s="440" t="s">
        <v>631</v>
      </c>
      <c r="D494" s="444">
        <v>43905</v>
      </c>
      <c r="E494" s="445">
        <v>20046</v>
      </c>
      <c r="F494" s="440">
        <v>1001010004</v>
      </c>
      <c r="G494" s="440" t="s">
        <v>632</v>
      </c>
    </row>
    <row r="495" spans="1:7">
      <c r="A495" s="440">
        <v>4700410655</v>
      </c>
      <c r="B495" s="440">
        <v>6100024631</v>
      </c>
      <c r="C495" s="440" t="s">
        <v>631</v>
      </c>
      <c r="D495" s="444">
        <v>43905</v>
      </c>
      <c r="E495" s="445">
        <v>63192</v>
      </c>
      <c r="F495" s="440">
        <v>1001010004</v>
      </c>
      <c r="G495" s="440" t="s">
        <v>632</v>
      </c>
    </row>
    <row r="496" spans="1:7">
      <c r="A496" s="440">
        <v>4700410655</v>
      </c>
      <c r="B496" s="440">
        <v>6100024631</v>
      </c>
      <c r="C496" s="440" t="s">
        <v>631</v>
      </c>
      <c r="D496" s="444">
        <v>43905</v>
      </c>
      <c r="E496" s="445">
        <v>4704</v>
      </c>
      <c r="F496" s="440">
        <v>1001010004</v>
      </c>
      <c r="G496" s="440" t="s">
        <v>632</v>
      </c>
    </row>
    <row r="497" spans="1:7">
      <c r="A497" s="440">
        <v>4700410655</v>
      </c>
      <c r="B497" s="440">
        <v>6100024631</v>
      </c>
      <c r="C497" s="440" t="s">
        <v>631</v>
      </c>
      <c r="D497" s="444">
        <v>43905</v>
      </c>
      <c r="E497" s="445">
        <v>8235</v>
      </c>
      <c r="F497" s="440">
        <v>1001010004</v>
      </c>
      <c r="G497" s="440" t="s">
        <v>632</v>
      </c>
    </row>
    <row r="498" spans="1:7">
      <c r="A498" s="440">
        <v>4700410655</v>
      </c>
      <c r="B498" s="440">
        <v>6100024631</v>
      </c>
      <c r="C498" s="440" t="s">
        <v>631</v>
      </c>
      <c r="D498" s="444">
        <v>43905</v>
      </c>
      <c r="E498" s="445">
        <v>11218</v>
      </c>
      <c r="F498" s="440">
        <v>1001010004</v>
      </c>
      <c r="G498" s="440" t="s">
        <v>632</v>
      </c>
    </row>
    <row r="499" spans="1:7">
      <c r="A499" s="440">
        <v>4700410655</v>
      </c>
      <c r="B499" s="440">
        <v>6100024631</v>
      </c>
      <c r="C499" s="440" t="s">
        <v>631</v>
      </c>
      <c r="D499" s="444">
        <v>43905</v>
      </c>
      <c r="E499" s="445">
        <v>44750</v>
      </c>
      <c r="F499" s="440">
        <v>1001010004</v>
      </c>
      <c r="G499" s="440" t="s">
        <v>632</v>
      </c>
    </row>
    <row r="500" spans="1:7">
      <c r="A500" s="440">
        <v>4700410655</v>
      </c>
      <c r="B500" s="440">
        <v>6100024631</v>
      </c>
      <c r="C500" s="440" t="s">
        <v>631</v>
      </c>
      <c r="D500" s="444">
        <v>43905</v>
      </c>
      <c r="E500" s="445">
        <v>11428</v>
      </c>
      <c r="F500" s="440">
        <v>1001010004</v>
      </c>
      <c r="G500" s="440" t="s">
        <v>632</v>
      </c>
    </row>
    <row r="501" spans="1:7">
      <c r="A501" s="440">
        <v>4700410655</v>
      </c>
      <c r="B501" s="440">
        <v>6100024631</v>
      </c>
      <c r="C501" s="440" t="s">
        <v>631</v>
      </c>
      <c r="D501" s="444">
        <v>43905</v>
      </c>
      <c r="E501" s="445">
        <v>13865</v>
      </c>
      <c r="F501" s="440">
        <v>1001010004</v>
      </c>
      <c r="G501" s="440" t="s">
        <v>632</v>
      </c>
    </row>
    <row r="502" spans="1:7">
      <c r="A502" s="440">
        <v>4700410655</v>
      </c>
      <c r="B502" s="440">
        <v>6100024631</v>
      </c>
      <c r="C502" s="440" t="s">
        <v>631</v>
      </c>
      <c r="D502" s="444">
        <v>43905</v>
      </c>
      <c r="E502" s="445">
        <v>3235</v>
      </c>
      <c r="F502" s="440">
        <v>1001010004</v>
      </c>
      <c r="G502" s="440" t="s">
        <v>632</v>
      </c>
    </row>
    <row r="503" spans="1:7">
      <c r="A503" s="440">
        <v>4700410655</v>
      </c>
      <c r="B503" s="440">
        <v>6100024631</v>
      </c>
      <c r="C503" s="440" t="s">
        <v>631</v>
      </c>
      <c r="D503" s="444">
        <v>43905</v>
      </c>
      <c r="E503" s="445">
        <v>2016</v>
      </c>
      <c r="F503" s="440">
        <v>1001010004</v>
      </c>
      <c r="G503" s="440" t="s">
        <v>632</v>
      </c>
    </row>
    <row r="504" spans="1:7">
      <c r="A504" s="440">
        <v>4700410655</v>
      </c>
      <c r="B504" s="440">
        <v>6100024631</v>
      </c>
      <c r="C504" s="440" t="s">
        <v>631</v>
      </c>
      <c r="D504" s="444">
        <v>43905</v>
      </c>
      <c r="E504" s="445">
        <v>5168</v>
      </c>
      <c r="F504" s="440">
        <v>1001010004</v>
      </c>
      <c r="G504" s="440" t="s">
        <v>632</v>
      </c>
    </row>
    <row r="505" spans="1:7">
      <c r="A505" s="440">
        <v>4700410655</v>
      </c>
      <c r="B505" s="440">
        <v>6100024631</v>
      </c>
      <c r="C505" s="440" t="s">
        <v>631</v>
      </c>
      <c r="D505" s="444">
        <v>43905</v>
      </c>
      <c r="E505" s="445">
        <v>10420</v>
      </c>
      <c r="F505" s="440">
        <v>1001010004</v>
      </c>
      <c r="G505" s="440" t="s">
        <v>632</v>
      </c>
    </row>
    <row r="506" spans="1:7">
      <c r="A506" s="440">
        <v>4700415096</v>
      </c>
      <c r="B506" s="440">
        <v>6100032525</v>
      </c>
      <c r="C506" s="440" t="s">
        <v>631</v>
      </c>
      <c r="D506" s="444">
        <v>43928</v>
      </c>
      <c r="E506" s="445">
        <v>10168</v>
      </c>
      <c r="F506" s="440">
        <v>1001010004</v>
      </c>
      <c r="G506" s="440" t="s">
        <v>632</v>
      </c>
    </row>
    <row r="507" spans="1:7">
      <c r="A507" s="440">
        <v>4700415096</v>
      </c>
      <c r="B507" s="440">
        <v>6100032525</v>
      </c>
      <c r="C507" s="440" t="s">
        <v>631</v>
      </c>
      <c r="D507" s="444">
        <v>43928</v>
      </c>
      <c r="E507" s="445">
        <v>6933</v>
      </c>
      <c r="F507" s="440">
        <v>1001010004</v>
      </c>
      <c r="G507" s="440" t="s">
        <v>632</v>
      </c>
    </row>
    <row r="508" spans="1:7">
      <c r="A508" s="440">
        <v>4700415096</v>
      </c>
      <c r="B508" s="440">
        <v>6100032525</v>
      </c>
      <c r="C508" s="440" t="s">
        <v>631</v>
      </c>
      <c r="D508" s="444">
        <v>43928</v>
      </c>
      <c r="E508" s="445">
        <v>2735</v>
      </c>
      <c r="F508" s="440">
        <v>1001010004</v>
      </c>
      <c r="G508" s="440" t="s">
        <v>632</v>
      </c>
    </row>
    <row r="509" spans="1:7">
      <c r="A509" s="440">
        <v>4700415096</v>
      </c>
      <c r="B509" s="440">
        <v>6100032525</v>
      </c>
      <c r="C509" s="440" t="s">
        <v>631</v>
      </c>
      <c r="D509" s="444">
        <v>43928</v>
      </c>
      <c r="E509" s="445">
        <v>13650</v>
      </c>
      <c r="F509" s="440">
        <v>1001010004</v>
      </c>
      <c r="G509" s="440" t="s">
        <v>632</v>
      </c>
    </row>
    <row r="510" spans="1:7">
      <c r="A510" s="440">
        <v>4700415096</v>
      </c>
      <c r="B510" s="440">
        <v>6100032525</v>
      </c>
      <c r="C510" s="440" t="s">
        <v>631</v>
      </c>
      <c r="D510" s="444">
        <v>43928</v>
      </c>
      <c r="E510" s="445">
        <v>6008</v>
      </c>
      <c r="F510" s="440">
        <v>1001010004</v>
      </c>
      <c r="G510" s="440" t="s">
        <v>632</v>
      </c>
    </row>
    <row r="511" spans="1:7">
      <c r="A511" s="440">
        <v>4700415096</v>
      </c>
      <c r="B511" s="440">
        <v>6100032525</v>
      </c>
      <c r="C511" s="440" t="s">
        <v>631</v>
      </c>
      <c r="D511" s="444">
        <v>43928</v>
      </c>
      <c r="E511" s="445">
        <v>5000</v>
      </c>
      <c r="F511" s="440">
        <v>1001010004</v>
      </c>
      <c r="G511" s="440" t="s">
        <v>632</v>
      </c>
    </row>
    <row r="512" spans="1:7">
      <c r="A512" s="440">
        <v>4700415096</v>
      </c>
      <c r="B512" s="440">
        <v>6100032525</v>
      </c>
      <c r="C512" s="440" t="s">
        <v>631</v>
      </c>
      <c r="D512" s="444">
        <v>43928</v>
      </c>
      <c r="E512" s="445">
        <v>17816</v>
      </c>
      <c r="F512" s="440">
        <v>1001010004</v>
      </c>
      <c r="G512" s="440" t="s">
        <v>632</v>
      </c>
    </row>
    <row r="513" spans="1:7">
      <c r="A513" s="440">
        <v>4700415096</v>
      </c>
      <c r="B513" s="440">
        <v>6100032525</v>
      </c>
      <c r="C513" s="440" t="s">
        <v>631</v>
      </c>
      <c r="D513" s="444">
        <v>43928</v>
      </c>
      <c r="E513" s="445">
        <v>10924</v>
      </c>
      <c r="F513" s="440">
        <v>1001010004</v>
      </c>
      <c r="G513" s="440" t="s">
        <v>632</v>
      </c>
    </row>
    <row r="514" spans="1:7">
      <c r="A514" s="440">
        <v>4700415096</v>
      </c>
      <c r="B514" s="440">
        <v>6100032525</v>
      </c>
      <c r="C514" s="440" t="s">
        <v>631</v>
      </c>
      <c r="D514" s="444">
        <v>43928</v>
      </c>
      <c r="E514" s="445">
        <v>3529</v>
      </c>
      <c r="F514" s="440">
        <v>1001010004</v>
      </c>
      <c r="G514" s="440" t="s">
        <v>632</v>
      </c>
    </row>
    <row r="515" spans="1:7">
      <c r="A515" s="440">
        <v>4700446224</v>
      </c>
      <c r="B515" s="440">
        <v>6100064401</v>
      </c>
      <c r="C515" s="440" t="s">
        <v>631</v>
      </c>
      <c r="D515" s="444">
        <v>44028</v>
      </c>
      <c r="E515" s="445">
        <v>21849</v>
      </c>
      <c r="F515" s="440">
        <v>1001010004</v>
      </c>
      <c r="G515" s="440" t="s">
        <v>632</v>
      </c>
    </row>
    <row r="516" spans="1:7">
      <c r="A516" s="440">
        <v>4700446224</v>
      </c>
      <c r="B516" s="440">
        <v>6100064401</v>
      </c>
      <c r="C516" s="440" t="s">
        <v>631</v>
      </c>
      <c r="D516" s="444">
        <v>44028</v>
      </c>
      <c r="E516" s="445">
        <v>18695</v>
      </c>
      <c r="F516" s="440">
        <v>1001010004</v>
      </c>
      <c r="G516" s="440" t="s">
        <v>632</v>
      </c>
    </row>
    <row r="517" spans="1:7">
      <c r="A517" s="440">
        <v>4700446224</v>
      </c>
      <c r="B517" s="440">
        <v>6100064401</v>
      </c>
      <c r="C517" s="440" t="s">
        <v>631</v>
      </c>
      <c r="D517" s="444">
        <v>44028</v>
      </c>
      <c r="E517" s="445">
        <v>4050</v>
      </c>
      <c r="F517" s="440">
        <v>1001010004</v>
      </c>
      <c r="G517" s="440" t="s">
        <v>632</v>
      </c>
    </row>
    <row r="518" spans="1:7">
      <c r="A518" s="440">
        <v>4700446224</v>
      </c>
      <c r="B518" s="440">
        <v>6100064401</v>
      </c>
      <c r="C518" s="440" t="s">
        <v>631</v>
      </c>
      <c r="D518" s="444">
        <v>44028</v>
      </c>
      <c r="E518" s="445">
        <v>10550</v>
      </c>
      <c r="F518" s="440">
        <v>1001010004</v>
      </c>
      <c r="G518" s="440" t="s">
        <v>632</v>
      </c>
    </row>
    <row r="519" spans="1:7">
      <c r="A519" s="440">
        <v>4700446224</v>
      </c>
      <c r="B519" s="440">
        <v>6100064401</v>
      </c>
      <c r="C519" s="440" t="s">
        <v>631</v>
      </c>
      <c r="D519" s="444">
        <v>44028</v>
      </c>
      <c r="E519" s="445">
        <v>4300</v>
      </c>
      <c r="F519" s="440">
        <v>1001010004</v>
      </c>
      <c r="G519" s="440" t="s">
        <v>632</v>
      </c>
    </row>
    <row r="520" spans="1:7">
      <c r="A520" s="440">
        <v>4700446224</v>
      </c>
      <c r="B520" s="440">
        <v>6100064401</v>
      </c>
      <c r="C520" s="440" t="s">
        <v>631</v>
      </c>
      <c r="D520" s="444">
        <v>44028</v>
      </c>
      <c r="E520" s="445">
        <v>7058</v>
      </c>
      <c r="F520" s="440">
        <v>1001010004</v>
      </c>
      <c r="G520" s="440" t="s">
        <v>632</v>
      </c>
    </row>
    <row r="521" spans="1:7">
      <c r="A521" s="440">
        <v>4700446224</v>
      </c>
      <c r="B521" s="440">
        <v>6100064401</v>
      </c>
      <c r="C521" s="440" t="s">
        <v>631</v>
      </c>
      <c r="D521" s="444">
        <v>44028</v>
      </c>
      <c r="E521" s="445">
        <v>14900</v>
      </c>
      <c r="F521" s="440">
        <v>1001010004</v>
      </c>
      <c r="G521" s="440" t="s">
        <v>632</v>
      </c>
    </row>
    <row r="522" spans="1:7">
      <c r="A522" s="440">
        <v>4700446224</v>
      </c>
      <c r="B522" s="440">
        <v>6100064401</v>
      </c>
      <c r="C522" s="440" t="s">
        <v>631</v>
      </c>
      <c r="D522" s="444">
        <v>44028</v>
      </c>
      <c r="E522" s="445">
        <v>15400</v>
      </c>
      <c r="F522" s="440">
        <v>1001010004</v>
      </c>
      <c r="G522" s="440" t="s">
        <v>632</v>
      </c>
    </row>
    <row r="523" spans="1:7">
      <c r="A523" s="440">
        <v>4700446224</v>
      </c>
      <c r="B523" s="440">
        <v>6100064401</v>
      </c>
      <c r="C523" s="440" t="s">
        <v>631</v>
      </c>
      <c r="D523" s="444">
        <v>44028</v>
      </c>
      <c r="E523" s="445">
        <v>33405</v>
      </c>
      <c r="F523" s="440">
        <v>1001010004</v>
      </c>
      <c r="G523" s="440" t="s">
        <v>632</v>
      </c>
    </row>
    <row r="524" spans="1:7">
      <c r="A524" s="440">
        <v>4700446224</v>
      </c>
      <c r="B524" s="440">
        <v>6100064401</v>
      </c>
      <c r="C524" s="440" t="s">
        <v>631</v>
      </c>
      <c r="D524" s="444">
        <v>44028</v>
      </c>
      <c r="E524" s="445">
        <v>29100</v>
      </c>
      <c r="F524" s="440">
        <v>1001010004</v>
      </c>
      <c r="G524" s="440" t="s">
        <v>632</v>
      </c>
    </row>
    <row r="525" spans="1:7">
      <c r="A525" s="440">
        <v>4700446224</v>
      </c>
      <c r="B525" s="440">
        <v>6100064401</v>
      </c>
      <c r="C525" s="440" t="s">
        <v>631</v>
      </c>
      <c r="D525" s="444">
        <v>44028</v>
      </c>
      <c r="E525" s="445">
        <v>3200</v>
      </c>
      <c r="F525" s="440">
        <v>1001010004</v>
      </c>
      <c r="G525" s="440" t="s">
        <v>632</v>
      </c>
    </row>
    <row r="526" spans="1:7">
      <c r="A526" s="440">
        <v>4700446224</v>
      </c>
      <c r="B526" s="440">
        <v>6100064401</v>
      </c>
      <c r="C526" s="440" t="s">
        <v>631</v>
      </c>
      <c r="D526" s="444">
        <v>44028</v>
      </c>
      <c r="E526" s="445">
        <v>5100</v>
      </c>
      <c r="F526" s="440">
        <v>1001010004</v>
      </c>
      <c r="G526" s="440" t="s">
        <v>632</v>
      </c>
    </row>
    <row r="527" spans="1:7">
      <c r="A527" s="440">
        <v>4700446224</v>
      </c>
      <c r="B527" s="440">
        <v>6100064401</v>
      </c>
      <c r="C527" s="440" t="s">
        <v>631</v>
      </c>
      <c r="D527" s="444">
        <v>44028</v>
      </c>
      <c r="E527" s="445">
        <v>2050</v>
      </c>
      <c r="F527" s="440">
        <v>1001010004</v>
      </c>
      <c r="G527" s="440" t="s">
        <v>632</v>
      </c>
    </row>
    <row r="528" spans="1:7">
      <c r="A528" s="440">
        <v>4700446224</v>
      </c>
      <c r="B528" s="440">
        <v>6100064401</v>
      </c>
      <c r="C528" s="440" t="s">
        <v>631</v>
      </c>
      <c r="D528" s="444">
        <v>44028</v>
      </c>
      <c r="E528" s="445">
        <v>1640</v>
      </c>
      <c r="F528" s="440">
        <v>1001010004</v>
      </c>
      <c r="G528" s="440" t="s">
        <v>632</v>
      </c>
    </row>
    <row r="529" spans="1:7">
      <c r="A529" s="440">
        <v>4700446224</v>
      </c>
      <c r="B529" s="440">
        <v>6100064401</v>
      </c>
      <c r="C529" s="440" t="s">
        <v>631</v>
      </c>
      <c r="D529" s="444">
        <v>44028</v>
      </c>
      <c r="E529" s="445">
        <v>8404</v>
      </c>
      <c r="F529" s="440">
        <v>1001010004</v>
      </c>
      <c r="G529" s="440" t="s">
        <v>632</v>
      </c>
    </row>
    <row r="530" spans="1:7">
      <c r="A530" s="440">
        <v>4700475454</v>
      </c>
      <c r="B530" s="440">
        <v>6100084568</v>
      </c>
      <c r="C530" s="440" t="s">
        <v>631</v>
      </c>
      <c r="D530" s="444">
        <v>44095</v>
      </c>
      <c r="E530" s="445">
        <v>12606</v>
      </c>
      <c r="F530" s="440">
        <v>1001010004</v>
      </c>
      <c r="G530" s="440" t="s">
        <v>632</v>
      </c>
    </row>
    <row r="531" spans="1:7">
      <c r="A531" s="440">
        <v>4700475454</v>
      </c>
      <c r="B531" s="440">
        <v>6100084568</v>
      </c>
      <c r="C531" s="440" t="s">
        <v>631</v>
      </c>
      <c r="D531" s="444">
        <v>44095</v>
      </c>
      <c r="E531" s="445">
        <v>32940</v>
      </c>
      <c r="F531" s="440">
        <v>1001010004</v>
      </c>
      <c r="G531" s="440" t="s">
        <v>632</v>
      </c>
    </row>
    <row r="532" spans="1:7">
      <c r="A532" s="440">
        <v>4700475454</v>
      </c>
      <c r="B532" s="440">
        <v>6100084568</v>
      </c>
      <c r="C532" s="440" t="s">
        <v>631</v>
      </c>
      <c r="D532" s="444">
        <v>44095</v>
      </c>
      <c r="E532" s="445">
        <v>3400</v>
      </c>
      <c r="F532" s="440">
        <v>1001010004</v>
      </c>
      <c r="G532" s="440" t="s">
        <v>632</v>
      </c>
    </row>
    <row r="533" spans="1:7">
      <c r="A533" s="440">
        <v>4700475454</v>
      </c>
      <c r="B533" s="440">
        <v>6100084568</v>
      </c>
      <c r="C533" s="440" t="s">
        <v>631</v>
      </c>
      <c r="D533" s="444">
        <v>44095</v>
      </c>
      <c r="E533" s="445">
        <v>13800</v>
      </c>
      <c r="F533" s="440">
        <v>1001010004</v>
      </c>
      <c r="G533" s="440" t="s">
        <v>632</v>
      </c>
    </row>
    <row r="534" spans="1:7">
      <c r="A534" s="440">
        <v>4700475454</v>
      </c>
      <c r="B534" s="440">
        <v>6100084568</v>
      </c>
      <c r="C534" s="440" t="s">
        <v>631</v>
      </c>
      <c r="D534" s="444">
        <v>44095</v>
      </c>
      <c r="E534" s="445">
        <v>18695</v>
      </c>
      <c r="F534" s="440">
        <v>1001010004</v>
      </c>
      <c r="G534" s="440" t="s">
        <v>632</v>
      </c>
    </row>
    <row r="535" spans="1:7">
      <c r="A535" s="440">
        <v>4700475454</v>
      </c>
      <c r="B535" s="440">
        <v>6100084568</v>
      </c>
      <c r="C535" s="440" t="s">
        <v>631</v>
      </c>
      <c r="D535" s="444">
        <v>44095</v>
      </c>
      <c r="E535" s="445">
        <v>35600</v>
      </c>
      <c r="F535" s="440">
        <v>1001010004</v>
      </c>
      <c r="G535" s="440" t="s">
        <v>632</v>
      </c>
    </row>
    <row r="536" spans="1:7">
      <c r="A536" s="440">
        <v>4700475454</v>
      </c>
      <c r="B536" s="440">
        <v>6100084568</v>
      </c>
      <c r="C536" s="440" t="s">
        <v>631</v>
      </c>
      <c r="D536" s="444">
        <v>44095</v>
      </c>
      <c r="E536" s="445">
        <v>3529</v>
      </c>
      <c r="F536" s="440">
        <v>1001010004</v>
      </c>
      <c r="G536" s="440" t="s">
        <v>632</v>
      </c>
    </row>
    <row r="537" spans="1:7">
      <c r="A537" s="440">
        <v>4700475454</v>
      </c>
      <c r="B537" s="440">
        <v>6100084568</v>
      </c>
      <c r="C537" s="440" t="s">
        <v>631</v>
      </c>
      <c r="D537" s="444">
        <v>44095</v>
      </c>
      <c r="E537" s="445">
        <v>8908</v>
      </c>
      <c r="F537" s="440">
        <v>1001010004</v>
      </c>
      <c r="G537" s="440" t="s">
        <v>632</v>
      </c>
    </row>
    <row r="538" spans="1:7">
      <c r="A538" s="440">
        <v>4700475454</v>
      </c>
      <c r="B538" s="440">
        <v>6100084568</v>
      </c>
      <c r="C538" s="440" t="s">
        <v>631</v>
      </c>
      <c r="D538" s="444">
        <v>44095</v>
      </c>
      <c r="E538" s="445">
        <v>12400</v>
      </c>
      <c r="F538" s="440">
        <v>1001010004</v>
      </c>
      <c r="G538" s="440" t="s">
        <v>632</v>
      </c>
    </row>
    <row r="539" spans="1:7">
      <c r="A539" s="440">
        <v>4700475454</v>
      </c>
      <c r="B539" s="440">
        <v>6100084568</v>
      </c>
      <c r="C539" s="440" t="s">
        <v>631</v>
      </c>
      <c r="D539" s="444">
        <v>44095</v>
      </c>
      <c r="E539" s="445">
        <v>20670</v>
      </c>
      <c r="F539" s="440">
        <v>1001010004</v>
      </c>
      <c r="G539" s="440" t="s">
        <v>632</v>
      </c>
    </row>
    <row r="540" spans="1:7">
      <c r="A540" s="440">
        <v>4700475454</v>
      </c>
      <c r="B540" s="440">
        <v>6100084568</v>
      </c>
      <c r="C540" s="440" t="s">
        <v>631</v>
      </c>
      <c r="D540" s="444">
        <v>44095</v>
      </c>
      <c r="E540" s="445">
        <v>3400</v>
      </c>
      <c r="F540" s="440">
        <v>1001010004</v>
      </c>
      <c r="G540" s="440" t="s">
        <v>632</v>
      </c>
    </row>
    <row r="541" spans="1:7">
      <c r="A541" s="440">
        <v>4700475454</v>
      </c>
      <c r="B541" s="440">
        <v>6100084568</v>
      </c>
      <c r="C541" s="440" t="s">
        <v>631</v>
      </c>
      <c r="D541" s="444">
        <v>44095</v>
      </c>
      <c r="E541" s="445">
        <v>1900</v>
      </c>
      <c r="F541" s="440">
        <v>1001010004</v>
      </c>
      <c r="G541" s="440" t="s">
        <v>632</v>
      </c>
    </row>
    <row r="542" spans="1:7">
      <c r="A542" s="440">
        <v>4700475454</v>
      </c>
      <c r="B542" s="440">
        <v>6100084568</v>
      </c>
      <c r="C542" s="440" t="s">
        <v>631</v>
      </c>
      <c r="D542" s="444">
        <v>44095</v>
      </c>
      <c r="E542" s="445">
        <v>9500</v>
      </c>
      <c r="F542" s="440">
        <v>1001010004</v>
      </c>
      <c r="G542" s="440" t="s">
        <v>632</v>
      </c>
    </row>
    <row r="543" spans="1:7">
      <c r="A543" s="440">
        <v>4700475454</v>
      </c>
      <c r="B543" s="440">
        <v>6100084568</v>
      </c>
      <c r="C543" s="440" t="s">
        <v>631</v>
      </c>
      <c r="D543" s="444">
        <v>44095</v>
      </c>
      <c r="E543" s="445">
        <v>5200</v>
      </c>
      <c r="F543" s="440">
        <v>1001010004</v>
      </c>
      <c r="G543" s="440" t="s">
        <v>632</v>
      </c>
    </row>
    <row r="544" spans="1:7">
      <c r="A544" s="440">
        <v>4700500173</v>
      </c>
      <c r="B544" s="440">
        <v>6100118223</v>
      </c>
      <c r="C544" s="440" t="s">
        <v>631</v>
      </c>
      <c r="D544" s="444">
        <v>44153</v>
      </c>
      <c r="E544" s="445">
        <v>14000</v>
      </c>
      <c r="F544" s="440">
        <v>1001010004</v>
      </c>
      <c r="G544" s="440" t="s">
        <v>632</v>
      </c>
    </row>
    <row r="545" spans="1:7">
      <c r="A545" s="440">
        <v>4700500173</v>
      </c>
      <c r="B545" s="440">
        <v>6100118223</v>
      </c>
      <c r="C545" s="440" t="s">
        <v>631</v>
      </c>
      <c r="D545" s="444">
        <v>44153</v>
      </c>
      <c r="E545" s="445">
        <v>41500</v>
      </c>
      <c r="F545" s="440">
        <v>1001010004</v>
      </c>
      <c r="G545" s="440" t="s">
        <v>632</v>
      </c>
    </row>
    <row r="546" spans="1:7">
      <c r="A546" s="440">
        <v>4700500173</v>
      </c>
      <c r="B546" s="440">
        <v>6100118223</v>
      </c>
      <c r="C546" s="440" t="s">
        <v>631</v>
      </c>
      <c r="D546" s="444">
        <v>44153</v>
      </c>
      <c r="E546" s="445">
        <v>9500</v>
      </c>
      <c r="F546" s="440">
        <v>1001010004</v>
      </c>
      <c r="G546" s="440" t="s">
        <v>632</v>
      </c>
    </row>
    <row r="547" spans="1:7">
      <c r="A547" s="440">
        <v>4700500173</v>
      </c>
      <c r="B547" s="440">
        <v>6100118223</v>
      </c>
      <c r="C547" s="440" t="s">
        <v>631</v>
      </c>
      <c r="D547" s="444">
        <v>44153</v>
      </c>
      <c r="E547" s="445">
        <v>16638</v>
      </c>
      <c r="F547" s="440">
        <v>1001010004</v>
      </c>
      <c r="G547" s="440" t="s">
        <v>632</v>
      </c>
    </row>
    <row r="548" spans="1:7">
      <c r="A548" s="440">
        <v>4700500173</v>
      </c>
      <c r="B548" s="440">
        <v>6100118223</v>
      </c>
      <c r="C548" s="440" t="s">
        <v>631</v>
      </c>
      <c r="D548" s="444">
        <v>44153</v>
      </c>
      <c r="E548" s="445">
        <v>3024</v>
      </c>
      <c r="F548" s="440">
        <v>1001010004</v>
      </c>
      <c r="G548" s="440" t="s">
        <v>632</v>
      </c>
    </row>
    <row r="549" spans="1:7">
      <c r="A549" s="440">
        <v>4700500173</v>
      </c>
      <c r="B549" s="440">
        <v>6100118223</v>
      </c>
      <c r="C549" s="440" t="s">
        <v>631</v>
      </c>
      <c r="D549" s="444">
        <v>44153</v>
      </c>
      <c r="E549" s="445">
        <v>9200</v>
      </c>
      <c r="F549" s="440">
        <v>1001010004</v>
      </c>
      <c r="G549" s="440" t="s">
        <v>632</v>
      </c>
    </row>
    <row r="550" spans="1:7">
      <c r="A550" s="440">
        <v>4700500173</v>
      </c>
      <c r="B550" s="440">
        <v>6100118223</v>
      </c>
      <c r="C550" s="440" t="s">
        <v>631</v>
      </c>
      <c r="D550" s="444">
        <v>44153</v>
      </c>
      <c r="E550" s="445">
        <v>5300</v>
      </c>
      <c r="F550" s="440">
        <v>1001010004</v>
      </c>
      <c r="G550" s="440" t="s">
        <v>632</v>
      </c>
    </row>
    <row r="551" spans="1:7">
      <c r="A551" s="440">
        <v>4700500173</v>
      </c>
      <c r="B551" s="440">
        <v>6100118223</v>
      </c>
      <c r="C551" s="440" t="s">
        <v>631</v>
      </c>
      <c r="D551" s="444">
        <v>44153</v>
      </c>
      <c r="E551" s="445">
        <v>8404</v>
      </c>
      <c r="F551" s="440">
        <v>1001010004</v>
      </c>
      <c r="G551" s="440" t="s">
        <v>632</v>
      </c>
    </row>
    <row r="552" spans="1:7">
      <c r="A552" s="440">
        <v>4700500173</v>
      </c>
      <c r="B552" s="440">
        <v>6100118223</v>
      </c>
      <c r="C552" s="440" t="s">
        <v>631</v>
      </c>
      <c r="D552" s="444">
        <v>44153</v>
      </c>
      <c r="E552" s="445">
        <v>3400</v>
      </c>
      <c r="F552" s="440">
        <v>1001010004</v>
      </c>
      <c r="G552" s="440" t="s">
        <v>632</v>
      </c>
    </row>
    <row r="553" spans="1:7">
      <c r="A553" s="440">
        <v>4700500173</v>
      </c>
      <c r="B553" s="440">
        <v>6100118223</v>
      </c>
      <c r="C553" s="440" t="s">
        <v>631</v>
      </c>
      <c r="D553" s="444">
        <v>44153</v>
      </c>
      <c r="E553" s="445">
        <v>3400</v>
      </c>
      <c r="F553" s="440">
        <v>1001010004</v>
      </c>
      <c r="G553" s="440" t="s">
        <v>632</v>
      </c>
    </row>
    <row r="554" spans="1:7">
      <c r="A554" s="440">
        <v>4700500173</v>
      </c>
      <c r="B554" s="440">
        <v>6100118223</v>
      </c>
      <c r="C554" s="440" t="s">
        <v>631</v>
      </c>
      <c r="D554" s="444">
        <v>44153</v>
      </c>
      <c r="E554" s="445">
        <v>18000</v>
      </c>
      <c r="F554" s="440">
        <v>1001010004</v>
      </c>
      <c r="G554" s="440" t="s">
        <v>632</v>
      </c>
    </row>
    <row r="555" spans="1:7">
      <c r="A555" s="440">
        <v>4700500173</v>
      </c>
      <c r="B555" s="440">
        <v>6100118223</v>
      </c>
      <c r="C555" s="440" t="s">
        <v>631</v>
      </c>
      <c r="D555" s="444">
        <v>44153</v>
      </c>
      <c r="E555" s="445">
        <v>3200</v>
      </c>
      <c r="F555" s="440">
        <v>1001010004</v>
      </c>
      <c r="G555" s="440" t="s">
        <v>632</v>
      </c>
    </row>
    <row r="556" spans="1:7">
      <c r="A556" s="440">
        <v>4700500173</v>
      </c>
      <c r="B556" s="440">
        <v>6100118223</v>
      </c>
      <c r="C556" s="440" t="s">
        <v>631</v>
      </c>
      <c r="D556" s="444">
        <v>44153</v>
      </c>
      <c r="E556" s="445">
        <v>4300</v>
      </c>
      <c r="F556" s="440">
        <v>1001010004</v>
      </c>
      <c r="G556" s="440" t="s">
        <v>632</v>
      </c>
    </row>
    <row r="557" spans="1:7">
      <c r="A557" s="440">
        <v>4700500173</v>
      </c>
      <c r="B557" s="440">
        <v>6100118223</v>
      </c>
      <c r="C557" s="440" t="s">
        <v>631</v>
      </c>
      <c r="D557" s="444">
        <v>44153</v>
      </c>
      <c r="E557" s="445">
        <v>12600</v>
      </c>
      <c r="F557" s="440">
        <v>1001010004</v>
      </c>
      <c r="G557" s="440" t="s">
        <v>632</v>
      </c>
    </row>
    <row r="558" spans="1:7">
      <c r="A558" s="440">
        <v>4700500173</v>
      </c>
      <c r="B558" s="440">
        <v>6100118223</v>
      </c>
      <c r="C558" s="440" t="s">
        <v>631</v>
      </c>
      <c r="D558" s="444">
        <v>44153</v>
      </c>
      <c r="E558" s="445">
        <v>65880</v>
      </c>
      <c r="F558" s="440">
        <v>1001010004</v>
      </c>
      <c r="G558" s="440" t="s">
        <v>632</v>
      </c>
    </row>
    <row r="559" spans="1:7">
      <c r="A559" s="440">
        <v>4700500173</v>
      </c>
      <c r="B559" s="440">
        <v>6100118223</v>
      </c>
      <c r="C559" s="440" t="s">
        <v>631</v>
      </c>
      <c r="D559" s="444">
        <v>44153</v>
      </c>
      <c r="E559" s="445">
        <v>32772</v>
      </c>
      <c r="F559" s="440">
        <v>1001010004</v>
      </c>
      <c r="G559" s="440" t="s">
        <v>632</v>
      </c>
    </row>
    <row r="560" spans="1:7">
      <c r="A560" s="440">
        <v>4700500173</v>
      </c>
      <c r="B560" s="440">
        <v>6100118223</v>
      </c>
      <c r="C560" s="440" t="s">
        <v>631</v>
      </c>
      <c r="D560" s="444">
        <v>44153</v>
      </c>
      <c r="E560" s="445">
        <v>33024</v>
      </c>
      <c r="F560" s="440">
        <v>1001010004</v>
      </c>
      <c r="G560" s="440" t="s">
        <v>632</v>
      </c>
    </row>
    <row r="561" spans="1:7">
      <c r="A561" s="440">
        <v>4700528102</v>
      </c>
      <c r="B561" s="440">
        <v>6100005252</v>
      </c>
      <c r="C561" s="440" t="s">
        <v>631</v>
      </c>
      <c r="D561" s="444">
        <v>44211</v>
      </c>
      <c r="E561" s="445">
        <v>9500</v>
      </c>
      <c r="F561" s="440">
        <v>1001010004</v>
      </c>
      <c r="G561" s="440" t="s">
        <v>632</v>
      </c>
    </row>
    <row r="562" spans="1:7">
      <c r="A562" s="440">
        <v>4700528102</v>
      </c>
      <c r="B562" s="440">
        <v>6100005252</v>
      </c>
      <c r="C562" s="440" t="s">
        <v>631</v>
      </c>
      <c r="D562" s="444">
        <v>44211</v>
      </c>
      <c r="E562" s="445">
        <v>9705</v>
      </c>
      <c r="F562" s="440">
        <v>1001010004</v>
      </c>
      <c r="G562" s="440" t="s">
        <v>632</v>
      </c>
    </row>
    <row r="563" spans="1:7">
      <c r="A563" s="440">
        <v>4700528102</v>
      </c>
      <c r="B563" s="440">
        <v>6100005252</v>
      </c>
      <c r="C563" s="440" t="s">
        <v>631</v>
      </c>
      <c r="D563" s="444">
        <v>44211</v>
      </c>
      <c r="E563" s="445">
        <v>12200</v>
      </c>
      <c r="F563" s="440">
        <v>1001010004</v>
      </c>
      <c r="G563" s="440" t="s">
        <v>632</v>
      </c>
    </row>
    <row r="564" spans="1:7">
      <c r="A564" s="440">
        <v>4700528102</v>
      </c>
      <c r="B564" s="440">
        <v>6100005252</v>
      </c>
      <c r="C564" s="440" t="s">
        <v>631</v>
      </c>
      <c r="D564" s="444">
        <v>44211</v>
      </c>
      <c r="E564" s="445">
        <v>5300</v>
      </c>
      <c r="F564" s="440">
        <v>1001010004</v>
      </c>
      <c r="G564" s="440" t="s">
        <v>632</v>
      </c>
    </row>
    <row r="565" spans="1:7">
      <c r="A565" s="440">
        <v>4700528102</v>
      </c>
      <c r="B565" s="440">
        <v>6100005252</v>
      </c>
      <c r="C565" s="440" t="s">
        <v>631</v>
      </c>
      <c r="D565" s="444">
        <v>44211</v>
      </c>
      <c r="E565" s="445">
        <v>15630</v>
      </c>
      <c r="F565" s="440">
        <v>1001010004</v>
      </c>
      <c r="G565" s="440" t="s">
        <v>632</v>
      </c>
    </row>
    <row r="566" spans="1:7">
      <c r="A566" s="440">
        <v>4700528102</v>
      </c>
      <c r="B566" s="440">
        <v>6100005252</v>
      </c>
      <c r="C566" s="440" t="s">
        <v>631</v>
      </c>
      <c r="D566" s="444">
        <v>44211</v>
      </c>
      <c r="E566" s="445">
        <v>12100</v>
      </c>
      <c r="F566" s="440">
        <v>1001010004</v>
      </c>
      <c r="G566" s="440" t="s">
        <v>632</v>
      </c>
    </row>
    <row r="567" spans="1:7">
      <c r="A567" s="440">
        <v>4700528102</v>
      </c>
      <c r="B567" s="440">
        <v>6100005252</v>
      </c>
      <c r="C567" s="440" t="s">
        <v>631</v>
      </c>
      <c r="D567" s="444">
        <v>44211</v>
      </c>
      <c r="E567" s="445">
        <v>12500</v>
      </c>
      <c r="F567" s="440">
        <v>1001010004</v>
      </c>
      <c r="G567" s="440" t="s">
        <v>632</v>
      </c>
    </row>
    <row r="568" spans="1:7">
      <c r="A568" s="440">
        <v>4700528102</v>
      </c>
      <c r="B568" s="440">
        <v>6100005252</v>
      </c>
      <c r="C568" s="440" t="s">
        <v>631</v>
      </c>
      <c r="D568" s="444">
        <v>44211</v>
      </c>
      <c r="E568" s="445">
        <v>3200</v>
      </c>
      <c r="F568" s="440">
        <v>1001010004</v>
      </c>
      <c r="G568" s="440" t="s">
        <v>632</v>
      </c>
    </row>
    <row r="569" spans="1:7">
      <c r="A569" s="440">
        <v>4700528102</v>
      </c>
      <c r="B569" s="440">
        <v>6100005252</v>
      </c>
      <c r="C569" s="440" t="s">
        <v>631</v>
      </c>
      <c r="D569" s="444">
        <v>44211</v>
      </c>
      <c r="E569" s="445">
        <v>3800</v>
      </c>
      <c r="F569" s="440">
        <v>1001010004</v>
      </c>
      <c r="G569" s="440" t="s">
        <v>632</v>
      </c>
    </row>
    <row r="570" spans="1:7">
      <c r="A570" s="440">
        <v>4700528102</v>
      </c>
      <c r="B570" s="440">
        <v>6100005252</v>
      </c>
      <c r="C570" s="440" t="s">
        <v>631</v>
      </c>
      <c r="D570" s="444">
        <v>44211</v>
      </c>
      <c r="E570" s="445">
        <v>16386</v>
      </c>
      <c r="F570" s="440">
        <v>1001010004</v>
      </c>
      <c r="G570" s="440" t="s">
        <v>632</v>
      </c>
    </row>
    <row r="571" spans="1:7">
      <c r="A571" s="440">
        <v>4700528102</v>
      </c>
      <c r="B571" s="440">
        <v>6100005252</v>
      </c>
      <c r="C571" s="440" t="s">
        <v>631</v>
      </c>
      <c r="D571" s="444">
        <v>44211</v>
      </c>
      <c r="E571" s="445">
        <v>38574</v>
      </c>
      <c r="F571" s="440">
        <v>1001010004</v>
      </c>
      <c r="G571" s="440" t="s">
        <v>632</v>
      </c>
    </row>
    <row r="572" spans="1:7">
      <c r="A572" s="440">
        <v>4700557304</v>
      </c>
      <c r="B572" s="440">
        <v>6100024583</v>
      </c>
      <c r="C572" s="440" t="s">
        <v>631</v>
      </c>
      <c r="D572" s="444">
        <v>44267</v>
      </c>
      <c r="E572" s="445">
        <v>9500</v>
      </c>
      <c r="F572" s="440">
        <v>1001010004</v>
      </c>
      <c r="G572" s="440" t="s">
        <v>632</v>
      </c>
    </row>
    <row r="573" spans="1:7">
      <c r="A573" s="440">
        <v>4700557304</v>
      </c>
      <c r="B573" s="440">
        <v>6100024583</v>
      </c>
      <c r="C573" s="440" t="s">
        <v>631</v>
      </c>
      <c r="D573" s="444">
        <v>44267</v>
      </c>
      <c r="E573" s="445">
        <v>13865</v>
      </c>
      <c r="F573" s="440">
        <v>1001010004</v>
      </c>
      <c r="G573" s="440" t="s">
        <v>632</v>
      </c>
    </row>
    <row r="574" spans="1:7">
      <c r="A574" s="440">
        <v>4700557304</v>
      </c>
      <c r="B574" s="440">
        <v>6100024583</v>
      </c>
      <c r="C574" s="440" t="s">
        <v>631</v>
      </c>
      <c r="D574" s="444">
        <v>44267</v>
      </c>
      <c r="E574" s="445">
        <v>2016</v>
      </c>
      <c r="F574" s="440">
        <v>1001010004</v>
      </c>
      <c r="G574" s="440" t="s">
        <v>632</v>
      </c>
    </row>
    <row r="575" spans="1:7">
      <c r="A575" s="440">
        <v>4700557304</v>
      </c>
      <c r="B575" s="440">
        <v>6100024583</v>
      </c>
      <c r="C575" s="440" t="s">
        <v>631</v>
      </c>
      <c r="D575" s="444">
        <v>44267</v>
      </c>
      <c r="E575" s="445">
        <v>12200</v>
      </c>
      <c r="F575" s="440">
        <v>1001010004</v>
      </c>
      <c r="G575" s="440" t="s">
        <v>632</v>
      </c>
    </row>
    <row r="576" spans="1:7">
      <c r="A576" s="440">
        <v>4700557304</v>
      </c>
      <c r="B576" s="440">
        <v>6100024583</v>
      </c>
      <c r="C576" s="440" t="s">
        <v>631</v>
      </c>
      <c r="D576" s="444">
        <v>44267</v>
      </c>
      <c r="E576" s="445">
        <v>5300</v>
      </c>
      <c r="F576" s="440">
        <v>1001010004</v>
      </c>
      <c r="G576" s="440" t="s">
        <v>632</v>
      </c>
    </row>
    <row r="577" spans="1:7">
      <c r="A577" s="440">
        <v>4700557304</v>
      </c>
      <c r="B577" s="440">
        <v>6100024583</v>
      </c>
      <c r="C577" s="440" t="s">
        <v>631</v>
      </c>
      <c r="D577" s="444">
        <v>44267</v>
      </c>
      <c r="E577" s="445">
        <v>10504</v>
      </c>
      <c r="F577" s="440">
        <v>1001010004</v>
      </c>
      <c r="G577" s="440" t="s">
        <v>632</v>
      </c>
    </row>
    <row r="578" spans="1:7">
      <c r="A578" s="440">
        <v>4700557304</v>
      </c>
      <c r="B578" s="440">
        <v>6100024583</v>
      </c>
      <c r="C578" s="440" t="s">
        <v>631</v>
      </c>
      <c r="D578" s="444">
        <v>44267</v>
      </c>
      <c r="E578" s="445">
        <v>3400</v>
      </c>
      <c r="F578" s="440">
        <v>1001010004</v>
      </c>
      <c r="G578" s="440" t="s">
        <v>632</v>
      </c>
    </row>
    <row r="579" spans="1:7">
      <c r="A579" s="440">
        <v>4700557304</v>
      </c>
      <c r="B579" s="440">
        <v>6100024583</v>
      </c>
      <c r="C579" s="440" t="s">
        <v>631</v>
      </c>
      <c r="D579" s="444">
        <v>44267</v>
      </c>
      <c r="E579" s="445">
        <v>12100</v>
      </c>
      <c r="F579" s="440">
        <v>1001010004</v>
      </c>
      <c r="G579" s="440" t="s">
        <v>632</v>
      </c>
    </row>
    <row r="580" spans="1:7">
      <c r="A580" s="440">
        <v>4700557304</v>
      </c>
      <c r="B580" s="440">
        <v>6100024583</v>
      </c>
      <c r="C580" s="440" t="s">
        <v>631</v>
      </c>
      <c r="D580" s="444">
        <v>44267</v>
      </c>
      <c r="E580" s="445">
        <v>3400</v>
      </c>
      <c r="F580" s="440">
        <v>1001010004</v>
      </c>
      <c r="G580" s="440" t="s">
        <v>632</v>
      </c>
    </row>
    <row r="581" spans="1:7">
      <c r="A581" s="440">
        <v>4700557304</v>
      </c>
      <c r="B581" s="440">
        <v>6100024583</v>
      </c>
      <c r="C581" s="440" t="s">
        <v>631</v>
      </c>
      <c r="D581" s="444">
        <v>44267</v>
      </c>
      <c r="E581" s="445">
        <v>5500</v>
      </c>
      <c r="F581" s="440">
        <v>1001010004</v>
      </c>
      <c r="G581" s="440" t="s">
        <v>632</v>
      </c>
    </row>
    <row r="582" spans="1:7">
      <c r="A582" s="440">
        <v>4700557304</v>
      </c>
      <c r="B582" s="440">
        <v>6100024583</v>
      </c>
      <c r="C582" s="440" t="s">
        <v>631</v>
      </c>
      <c r="D582" s="444">
        <v>44267</v>
      </c>
      <c r="E582" s="445">
        <v>3200</v>
      </c>
      <c r="F582" s="440">
        <v>1001010004</v>
      </c>
      <c r="G582" s="440" t="s">
        <v>632</v>
      </c>
    </row>
    <row r="583" spans="1:7">
      <c r="A583" s="440">
        <v>4700557304</v>
      </c>
      <c r="B583" s="440">
        <v>6100024583</v>
      </c>
      <c r="C583" s="440" t="s">
        <v>631</v>
      </c>
      <c r="D583" s="444">
        <v>44267</v>
      </c>
      <c r="E583" s="445">
        <v>2050</v>
      </c>
      <c r="F583" s="440">
        <v>1001010004</v>
      </c>
      <c r="G583" s="440" t="s">
        <v>632</v>
      </c>
    </row>
    <row r="584" spans="1:7">
      <c r="A584" s="440">
        <v>4700557304</v>
      </c>
      <c r="B584" s="440">
        <v>6100024583</v>
      </c>
      <c r="C584" s="440" t="s">
        <v>631</v>
      </c>
      <c r="D584" s="444">
        <v>44267</v>
      </c>
      <c r="E584" s="445">
        <v>25200</v>
      </c>
      <c r="F584" s="440">
        <v>1001010004</v>
      </c>
      <c r="G584" s="440" t="s">
        <v>632</v>
      </c>
    </row>
    <row r="585" spans="1:7">
      <c r="A585" s="440">
        <v>4700557304</v>
      </c>
      <c r="B585" s="440">
        <v>6100024583</v>
      </c>
      <c r="C585" s="440" t="s">
        <v>631</v>
      </c>
      <c r="D585" s="444">
        <v>44267</v>
      </c>
      <c r="E585" s="445">
        <v>32940</v>
      </c>
      <c r="F585" s="440">
        <v>1001010004</v>
      </c>
      <c r="G585" s="440" t="s">
        <v>632</v>
      </c>
    </row>
    <row r="586" spans="1:7">
      <c r="A586" s="440">
        <v>4700557304</v>
      </c>
      <c r="B586" s="440">
        <v>6100024583</v>
      </c>
      <c r="C586" s="440" t="s">
        <v>631</v>
      </c>
      <c r="D586" s="444">
        <v>44267</v>
      </c>
      <c r="E586" s="445">
        <v>2101</v>
      </c>
      <c r="F586" s="440">
        <v>1001010004</v>
      </c>
      <c r="G586" s="440" t="s">
        <v>632</v>
      </c>
    </row>
    <row r="587" spans="1:7">
      <c r="A587" s="440">
        <v>4700557304</v>
      </c>
      <c r="B587" s="440">
        <v>6100024583</v>
      </c>
      <c r="C587" s="440" t="s">
        <v>631</v>
      </c>
      <c r="D587" s="444">
        <v>44267</v>
      </c>
      <c r="E587" s="445">
        <v>10600</v>
      </c>
      <c r="F587" s="440">
        <v>1001010004</v>
      </c>
      <c r="G587" s="440" t="s">
        <v>632</v>
      </c>
    </row>
    <row r="588" spans="1:7">
      <c r="A588" s="440">
        <v>4700557304</v>
      </c>
      <c r="B588" s="440">
        <v>6100024583</v>
      </c>
      <c r="C588" s="440" t="s">
        <v>631</v>
      </c>
      <c r="D588" s="444">
        <v>44267</v>
      </c>
      <c r="E588" s="445">
        <v>34800</v>
      </c>
      <c r="F588" s="440">
        <v>1001010004</v>
      </c>
      <c r="G588" s="440" t="s">
        <v>632</v>
      </c>
    </row>
    <row r="589" spans="1:7">
      <c r="A589" s="440">
        <v>4700557304</v>
      </c>
      <c r="B589" s="440">
        <v>6100024583</v>
      </c>
      <c r="C589" s="440" t="s">
        <v>631</v>
      </c>
      <c r="D589" s="444">
        <v>44267</v>
      </c>
      <c r="E589" s="445">
        <v>5779</v>
      </c>
      <c r="F589" s="440">
        <v>1001010004</v>
      </c>
      <c r="G589" s="440" t="s">
        <v>632</v>
      </c>
    </row>
    <row r="590" spans="1:7">
      <c r="A590" s="440">
        <v>4700579824</v>
      </c>
      <c r="B590" s="440">
        <v>6100035866</v>
      </c>
      <c r="C590" s="440" t="s">
        <v>631</v>
      </c>
      <c r="D590" s="444">
        <v>44321</v>
      </c>
      <c r="E590" s="445">
        <v>9500</v>
      </c>
      <c r="F590" s="440">
        <v>1001010004</v>
      </c>
      <c r="G590" s="440" t="s">
        <v>632</v>
      </c>
    </row>
    <row r="591" spans="1:7">
      <c r="A591" s="440">
        <v>4700579824</v>
      </c>
      <c r="B591" s="440">
        <v>6100035866</v>
      </c>
      <c r="C591" s="440" t="s">
        <v>631</v>
      </c>
      <c r="D591" s="444">
        <v>44321</v>
      </c>
      <c r="E591" s="445">
        <v>12815</v>
      </c>
      <c r="F591" s="440">
        <v>1001010004</v>
      </c>
      <c r="G591" s="440" t="s">
        <v>632</v>
      </c>
    </row>
    <row r="592" spans="1:7">
      <c r="A592" s="440">
        <v>4700579824</v>
      </c>
      <c r="B592" s="440">
        <v>6100035866</v>
      </c>
      <c r="C592" s="440" t="s">
        <v>631</v>
      </c>
      <c r="D592" s="444">
        <v>44321</v>
      </c>
      <c r="E592" s="445">
        <v>12200</v>
      </c>
      <c r="F592" s="440">
        <v>1001010004</v>
      </c>
      <c r="G592" s="440" t="s">
        <v>632</v>
      </c>
    </row>
    <row r="593" spans="1:7">
      <c r="A593" s="440">
        <v>4700579824</v>
      </c>
      <c r="B593" s="440">
        <v>6100035866</v>
      </c>
      <c r="C593" s="440" t="s">
        <v>631</v>
      </c>
      <c r="D593" s="444">
        <v>44321</v>
      </c>
      <c r="E593" s="445">
        <v>5100</v>
      </c>
      <c r="F593" s="440">
        <v>1001010004</v>
      </c>
      <c r="G593" s="440" t="s">
        <v>632</v>
      </c>
    </row>
    <row r="594" spans="1:7">
      <c r="A594" s="440">
        <v>4700579824</v>
      </c>
      <c r="B594" s="440">
        <v>6100035866</v>
      </c>
      <c r="C594" s="440" t="s">
        <v>631</v>
      </c>
      <c r="D594" s="444">
        <v>44321</v>
      </c>
      <c r="E594" s="445">
        <v>5500</v>
      </c>
      <c r="F594" s="440">
        <v>1001010004</v>
      </c>
      <c r="G594" s="440" t="s">
        <v>632</v>
      </c>
    </row>
    <row r="595" spans="1:7">
      <c r="A595" s="440">
        <v>4700579824</v>
      </c>
      <c r="B595" s="440">
        <v>6100035866</v>
      </c>
      <c r="C595" s="440" t="s">
        <v>631</v>
      </c>
      <c r="D595" s="444">
        <v>44321</v>
      </c>
      <c r="E595" s="445">
        <v>2000</v>
      </c>
      <c r="F595" s="440">
        <v>1001010004</v>
      </c>
      <c r="G595" s="440" t="s">
        <v>632</v>
      </c>
    </row>
    <row r="596" spans="1:7">
      <c r="A596" s="440">
        <v>4700579824</v>
      </c>
      <c r="B596" s="440">
        <v>6100035866</v>
      </c>
      <c r="C596" s="440" t="s">
        <v>631</v>
      </c>
      <c r="D596" s="444">
        <v>44321</v>
      </c>
      <c r="E596" s="445">
        <v>15000</v>
      </c>
      <c r="F596" s="440">
        <v>1001010004</v>
      </c>
      <c r="G596" s="440" t="s">
        <v>632</v>
      </c>
    </row>
    <row r="597" spans="1:7">
      <c r="A597" s="440">
        <v>4700579824</v>
      </c>
      <c r="B597" s="440">
        <v>6100035866</v>
      </c>
      <c r="C597" s="440" t="s">
        <v>631</v>
      </c>
      <c r="D597" s="444">
        <v>44321</v>
      </c>
      <c r="E597" s="445">
        <v>26850</v>
      </c>
      <c r="F597" s="440">
        <v>1001010004</v>
      </c>
      <c r="G597" s="440" t="s">
        <v>632</v>
      </c>
    </row>
    <row r="598" spans="1:7">
      <c r="A598" s="440">
        <v>4700579824</v>
      </c>
      <c r="B598" s="440">
        <v>6100035866</v>
      </c>
      <c r="C598" s="440" t="s">
        <v>631</v>
      </c>
      <c r="D598" s="444">
        <v>44321</v>
      </c>
      <c r="E598" s="445">
        <v>5881</v>
      </c>
      <c r="F598" s="440">
        <v>1001010004</v>
      </c>
      <c r="G598" s="440" t="s">
        <v>632</v>
      </c>
    </row>
    <row r="599" spans="1:7">
      <c r="A599" s="440">
        <v>4700609737</v>
      </c>
      <c r="B599" s="440">
        <v>6100048088</v>
      </c>
      <c r="C599" s="440" t="s">
        <v>631</v>
      </c>
      <c r="D599" s="444">
        <v>44390</v>
      </c>
      <c r="E599" s="445">
        <v>9450</v>
      </c>
      <c r="F599" s="440">
        <v>1001010004</v>
      </c>
      <c r="G599" s="440" t="s">
        <v>632</v>
      </c>
    </row>
    <row r="600" spans="1:7">
      <c r="A600" s="440">
        <v>4700609737</v>
      </c>
      <c r="B600" s="440">
        <v>6100048088</v>
      </c>
      <c r="C600" s="440" t="s">
        <v>631</v>
      </c>
      <c r="D600" s="444">
        <v>44390</v>
      </c>
      <c r="E600" s="445">
        <v>8823</v>
      </c>
      <c r="F600" s="440">
        <v>1001010004</v>
      </c>
      <c r="G600" s="440" t="s">
        <v>632</v>
      </c>
    </row>
    <row r="601" spans="1:7">
      <c r="A601" s="440">
        <v>4700609737</v>
      </c>
      <c r="B601" s="440">
        <v>6100048088</v>
      </c>
      <c r="C601" s="440" t="s">
        <v>631</v>
      </c>
      <c r="D601" s="444">
        <v>44390</v>
      </c>
      <c r="E601" s="445">
        <v>5650</v>
      </c>
      <c r="F601" s="440">
        <v>1001010004</v>
      </c>
      <c r="G601" s="440" t="s">
        <v>632</v>
      </c>
    </row>
    <row r="602" spans="1:7">
      <c r="A602" s="440">
        <v>4700609737</v>
      </c>
      <c r="B602" s="440">
        <v>6100048088</v>
      </c>
      <c r="C602" s="440" t="s">
        <v>631</v>
      </c>
      <c r="D602" s="444">
        <v>44390</v>
      </c>
      <c r="E602" s="445">
        <v>5300</v>
      </c>
      <c r="F602" s="440">
        <v>1001010004</v>
      </c>
      <c r="G602" s="440" t="s">
        <v>632</v>
      </c>
    </row>
    <row r="603" spans="1:7">
      <c r="A603" s="440">
        <v>4700609737</v>
      </c>
      <c r="B603" s="440">
        <v>6100048088</v>
      </c>
      <c r="C603" s="440" t="s">
        <v>631</v>
      </c>
      <c r="D603" s="444">
        <v>44390</v>
      </c>
      <c r="E603" s="445">
        <v>3000</v>
      </c>
      <c r="F603" s="440">
        <v>1001010004</v>
      </c>
      <c r="G603" s="440" t="s">
        <v>632</v>
      </c>
    </row>
    <row r="604" spans="1:7">
      <c r="A604" s="440">
        <v>4700609737</v>
      </c>
      <c r="B604" s="440">
        <v>6100048088</v>
      </c>
      <c r="C604" s="440" t="s">
        <v>631</v>
      </c>
      <c r="D604" s="444">
        <v>44390</v>
      </c>
      <c r="E604" s="445">
        <v>3550</v>
      </c>
      <c r="F604" s="440">
        <v>1001010004</v>
      </c>
      <c r="G604" s="440" t="s">
        <v>632</v>
      </c>
    </row>
    <row r="605" spans="1:7">
      <c r="A605" s="440">
        <v>4700609737</v>
      </c>
      <c r="B605" s="440">
        <v>6100048088</v>
      </c>
      <c r="C605" s="440" t="s">
        <v>631</v>
      </c>
      <c r="D605" s="444">
        <v>44390</v>
      </c>
      <c r="E605" s="445">
        <v>3400</v>
      </c>
      <c r="F605" s="440">
        <v>1001010004</v>
      </c>
      <c r="G605" s="440" t="s">
        <v>632</v>
      </c>
    </row>
    <row r="606" spans="1:7">
      <c r="A606" s="440">
        <v>4700609737</v>
      </c>
      <c r="B606" s="440">
        <v>6100048088</v>
      </c>
      <c r="C606" s="440" t="s">
        <v>631</v>
      </c>
      <c r="D606" s="444">
        <v>44390</v>
      </c>
      <c r="E606" s="445">
        <v>2200</v>
      </c>
      <c r="F606" s="440">
        <v>1001010004</v>
      </c>
      <c r="G606" s="440" t="s">
        <v>632</v>
      </c>
    </row>
    <row r="607" spans="1:7">
      <c r="A607" s="440">
        <v>4700609737</v>
      </c>
      <c r="B607" s="440">
        <v>6100048088</v>
      </c>
      <c r="C607" s="440" t="s">
        <v>631</v>
      </c>
      <c r="D607" s="444">
        <v>44390</v>
      </c>
      <c r="E607" s="445">
        <v>32940</v>
      </c>
      <c r="F607" s="440">
        <v>1001010004</v>
      </c>
      <c r="G607" s="440" t="s">
        <v>632</v>
      </c>
    </row>
    <row r="608" spans="1:7">
      <c r="A608" s="440">
        <v>4700609737</v>
      </c>
      <c r="B608" s="440">
        <v>6100048088</v>
      </c>
      <c r="C608" s="440" t="s">
        <v>631</v>
      </c>
      <c r="D608" s="444">
        <v>44390</v>
      </c>
      <c r="E608" s="445">
        <v>15504</v>
      </c>
      <c r="F608" s="440">
        <v>1001010004</v>
      </c>
      <c r="G608" s="440" t="s">
        <v>632</v>
      </c>
    </row>
    <row r="609" spans="1:7">
      <c r="A609" s="440">
        <v>4700609737</v>
      </c>
      <c r="B609" s="440">
        <v>6100048088</v>
      </c>
      <c r="C609" s="440" t="s">
        <v>631</v>
      </c>
      <c r="D609" s="444">
        <v>44390</v>
      </c>
      <c r="E609" s="445">
        <v>26850</v>
      </c>
      <c r="F609" s="440">
        <v>1001010004</v>
      </c>
      <c r="G609" s="440" t="s">
        <v>632</v>
      </c>
    </row>
    <row r="610" spans="1:7">
      <c r="A610" s="440">
        <v>4700609737</v>
      </c>
      <c r="B610" s="440">
        <v>6100048088</v>
      </c>
      <c r="C610" s="440" t="s">
        <v>631</v>
      </c>
      <c r="D610" s="444">
        <v>44390</v>
      </c>
      <c r="E610" s="445">
        <v>2438</v>
      </c>
      <c r="F610" s="440">
        <v>1001010004</v>
      </c>
      <c r="G610" s="440" t="s">
        <v>632</v>
      </c>
    </row>
    <row r="611" spans="1:7">
      <c r="A611" s="440">
        <v>4700616144</v>
      </c>
      <c r="B611" s="440">
        <v>6100050132</v>
      </c>
      <c r="C611" s="440" t="s">
        <v>631</v>
      </c>
      <c r="D611" s="444">
        <v>44400</v>
      </c>
      <c r="E611" s="445">
        <v>3800</v>
      </c>
      <c r="F611" s="440">
        <v>1001010004</v>
      </c>
      <c r="G611" s="440" t="s">
        <v>632</v>
      </c>
    </row>
    <row r="612" spans="1:7">
      <c r="A612" s="440">
        <v>4700641025</v>
      </c>
      <c r="B612" s="440">
        <v>6100060162</v>
      </c>
      <c r="C612" s="440" t="s">
        <v>631</v>
      </c>
      <c r="D612" s="444">
        <v>44449</v>
      </c>
      <c r="E612" s="445">
        <v>9450</v>
      </c>
      <c r="F612" s="440">
        <v>1001010004</v>
      </c>
      <c r="G612" s="440" t="s">
        <v>632</v>
      </c>
    </row>
    <row r="613" spans="1:7">
      <c r="A613" s="440">
        <v>4700641025</v>
      </c>
      <c r="B613" s="440">
        <v>6100060162</v>
      </c>
      <c r="C613" s="440" t="s">
        <v>631</v>
      </c>
      <c r="D613" s="444">
        <v>44449</v>
      </c>
      <c r="E613" s="445">
        <v>14705</v>
      </c>
      <c r="F613" s="440">
        <v>1001010004</v>
      </c>
      <c r="G613" s="440" t="s">
        <v>632</v>
      </c>
    </row>
    <row r="614" spans="1:7">
      <c r="A614" s="440">
        <v>4700641025</v>
      </c>
      <c r="B614" s="440">
        <v>6100060162</v>
      </c>
      <c r="C614" s="440" t="s">
        <v>631</v>
      </c>
      <c r="D614" s="444">
        <v>44449</v>
      </c>
      <c r="E614" s="445">
        <v>2436</v>
      </c>
      <c r="F614" s="440">
        <v>1001010004</v>
      </c>
      <c r="G614" s="440" t="s">
        <v>632</v>
      </c>
    </row>
    <row r="615" spans="1:7">
      <c r="A615" s="440">
        <v>4700641025</v>
      </c>
      <c r="B615" s="440">
        <v>6100060162</v>
      </c>
      <c r="C615" s="440" t="s">
        <v>631</v>
      </c>
      <c r="D615" s="444">
        <v>44449</v>
      </c>
      <c r="E615" s="445">
        <v>6550</v>
      </c>
      <c r="F615" s="440">
        <v>1001010004</v>
      </c>
      <c r="G615" s="440" t="s">
        <v>632</v>
      </c>
    </row>
    <row r="616" spans="1:7">
      <c r="A616" s="440">
        <v>4700641025</v>
      </c>
      <c r="B616" s="440">
        <v>6100060162</v>
      </c>
      <c r="C616" s="440" t="s">
        <v>631</v>
      </c>
      <c r="D616" s="444">
        <v>44449</v>
      </c>
      <c r="E616" s="445">
        <v>5300</v>
      </c>
      <c r="F616" s="440">
        <v>1001010004</v>
      </c>
      <c r="G616" s="440" t="s">
        <v>632</v>
      </c>
    </row>
    <row r="617" spans="1:7">
      <c r="A617" s="440">
        <v>4700641025</v>
      </c>
      <c r="B617" s="440">
        <v>6100060162</v>
      </c>
      <c r="C617" s="440" t="s">
        <v>631</v>
      </c>
      <c r="D617" s="444">
        <v>44449</v>
      </c>
      <c r="E617" s="445">
        <v>1750</v>
      </c>
      <c r="F617" s="440">
        <v>1001010004</v>
      </c>
      <c r="G617" s="440" t="s">
        <v>632</v>
      </c>
    </row>
    <row r="618" spans="1:7">
      <c r="A618" s="440">
        <v>4700641025</v>
      </c>
      <c r="B618" s="440">
        <v>6100060162</v>
      </c>
      <c r="C618" s="440" t="s">
        <v>631</v>
      </c>
      <c r="D618" s="444">
        <v>44449</v>
      </c>
      <c r="E618" s="445">
        <v>3900</v>
      </c>
      <c r="F618" s="440">
        <v>1001010004</v>
      </c>
      <c r="G618" s="440" t="s">
        <v>632</v>
      </c>
    </row>
    <row r="619" spans="1:7">
      <c r="A619" s="440">
        <v>4700641025</v>
      </c>
      <c r="B619" s="440">
        <v>6100060162</v>
      </c>
      <c r="C619" s="440" t="s">
        <v>631</v>
      </c>
      <c r="D619" s="444">
        <v>44449</v>
      </c>
      <c r="E619" s="445">
        <v>3400</v>
      </c>
      <c r="F619" s="440">
        <v>1001010004</v>
      </c>
      <c r="G619" s="440" t="s">
        <v>632</v>
      </c>
    </row>
    <row r="620" spans="1:7">
      <c r="A620" s="440">
        <v>4700641025</v>
      </c>
      <c r="B620" s="440">
        <v>6100060162</v>
      </c>
      <c r="C620" s="440" t="s">
        <v>631</v>
      </c>
      <c r="D620" s="444">
        <v>44449</v>
      </c>
      <c r="E620" s="445">
        <v>2000</v>
      </c>
      <c r="F620" s="440">
        <v>1001010004</v>
      </c>
      <c r="G620" s="440" t="s">
        <v>632</v>
      </c>
    </row>
    <row r="621" spans="1:7">
      <c r="A621" s="440">
        <v>4700641025</v>
      </c>
      <c r="B621" s="440">
        <v>6100060162</v>
      </c>
      <c r="C621" s="440" t="s">
        <v>631</v>
      </c>
      <c r="D621" s="444">
        <v>44449</v>
      </c>
      <c r="E621" s="445">
        <v>35464</v>
      </c>
      <c r="F621" s="440">
        <v>1001010004</v>
      </c>
      <c r="G621" s="440" t="s">
        <v>632</v>
      </c>
    </row>
    <row r="622" spans="1:7">
      <c r="A622" s="440">
        <v>4700641025</v>
      </c>
      <c r="B622" s="440">
        <v>6100060162</v>
      </c>
      <c r="C622" s="440" t="s">
        <v>631</v>
      </c>
      <c r="D622" s="444">
        <v>44449</v>
      </c>
      <c r="E622" s="445">
        <v>35800</v>
      </c>
      <c r="F622" s="440">
        <v>1001010004</v>
      </c>
      <c r="G622" s="440" t="s">
        <v>632</v>
      </c>
    </row>
    <row r="623" spans="1:7">
      <c r="A623" s="440">
        <v>4700657536</v>
      </c>
      <c r="B623" s="440">
        <v>6100070727</v>
      </c>
      <c r="C623" s="440" t="s">
        <v>631</v>
      </c>
      <c r="D623" s="444">
        <v>44483</v>
      </c>
      <c r="E623" s="445">
        <v>9450</v>
      </c>
      <c r="F623" s="440">
        <v>1001010004</v>
      </c>
      <c r="G623" s="440" t="s">
        <v>632</v>
      </c>
    </row>
    <row r="624" spans="1:7">
      <c r="A624" s="440">
        <v>4700657536</v>
      </c>
      <c r="B624" s="440">
        <v>6100070727</v>
      </c>
      <c r="C624" s="440" t="s">
        <v>631</v>
      </c>
      <c r="D624" s="444">
        <v>44483</v>
      </c>
      <c r="E624" s="445">
        <v>6550</v>
      </c>
      <c r="F624" s="440">
        <v>1001010004</v>
      </c>
      <c r="G624" s="440" t="s">
        <v>632</v>
      </c>
    </row>
    <row r="625" spans="1:7">
      <c r="A625" s="440">
        <v>4700657536</v>
      </c>
      <c r="B625" s="440">
        <v>6100070727</v>
      </c>
      <c r="C625" s="440" t="s">
        <v>631</v>
      </c>
      <c r="D625" s="444">
        <v>44483</v>
      </c>
      <c r="E625" s="445">
        <v>5300</v>
      </c>
      <c r="F625" s="440">
        <v>1001010004</v>
      </c>
      <c r="G625" s="440" t="s">
        <v>632</v>
      </c>
    </row>
    <row r="626" spans="1:7">
      <c r="A626" s="440">
        <v>4700657536</v>
      </c>
      <c r="B626" s="440">
        <v>6100070727</v>
      </c>
      <c r="C626" s="440" t="s">
        <v>631</v>
      </c>
      <c r="D626" s="444">
        <v>44483</v>
      </c>
      <c r="E626" s="445">
        <v>1800</v>
      </c>
      <c r="F626" s="440">
        <v>1001010004</v>
      </c>
      <c r="G626" s="440" t="s">
        <v>632</v>
      </c>
    </row>
    <row r="627" spans="1:7">
      <c r="A627" s="440">
        <v>4700657536</v>
      </c>
      <c r="B627" s="440">
        <v>6100070727</v>
      </c>
      <c r="C627" s="440" t="s">
        <v>631</v>
      </c>
      <c r="D627" s="444">
        <v>44483</v>
      </c>
      <c r="E627" s="445">
        <v>4550</v>
      </c>
      <c r="F627" s="440">
        <v>1001010004</v>
      </c>
      <c r="G627" s="440" t="s">
        <v>632</v>
      </c>
    </row>
    <row r="628" spans="1:7">
      <c r="A628" s="440">
        <v>4700657536</v>
      </c>
      <c r="B628" s="440">
        <v>6100070727</v>
      </c>
      <c r="C628" s="440" t="s">
        <v>631</v>
      </c>
      <c r="D628" s="444">
        <v>44483</v>
      </c>
      <c r="E628" s="445">
        <v>5400</v>
      </c>
      <c r="F628" s="440">
        <v>1001010004</v>
      </c>
      <c r="G628" s="440" t="s">
        <v>632</v>
      </c>
    </row>
    <row r="629" spans="1:7">
      <c r="A629" s="440">
        <v>4700657536</v>
      </c>
      <c r="B629" s="440">
        <v>6100070727</v>
      </c>
      <c r="C629" s="440" t="s">
        <v>631</v>
      </c>
      <c r="D629" s="444">
        <v>44483</v>
      </c>
      <c r="E629" s="445">
        <v>2200</v>
      </c>
      <c r="F629" s="440">
        <v>1001010004</v>
      </c>
      <c r="G629" s="440" t="s">
        <v>632</v>
      </c>
    </row>
    <row r="630" spans="1:7">
      <c r="A630" s="440">
        <v>4700657536</v>
      </c>
      <c r="B630" s="440">
        <v>6100070727</v>
      </c>
      <c r="C630" s="440" t="s">
        <v>631</v>
      </c>
      <c r="D630" s="444">
        <v>44483</v>
      </c>
      <c r="E630" s="445">
        <v>23700</v>
      </c>
      <c r="F630" s="440">
        <v>1001010004</v>
      </c>
      <c r="G630" s="440" t="s">
        <v>632</v>
      </c>
    </row>
    <row r="631" spans="1:7">
      <c r="A631" s="440">
        <v>4700657536</v>
      </c>
      <c r="B631" s="440">
        <v>6100070727</v>
      </c>
      <c r="C631" s="440" t="s">
        <v>631</v>
      </c>
      <c r="D631" s="444">
        <v>44483</v>
      </c>
      <c r="E631" s="445">
        <v>12604</v>
      </c>
      <c r="F631" s="440">
        <v>1001010004</v>
      </c>
      <c r="G631" s="440" t="s">
        <v>632</v>
      </c>
    </row>
    <row r="632" spans="1:7">
      <c r="A632" s="440">
        <v>4700687740</v>
      </c>
      <c r="B632" s="440">
        <v>6100094226</v>
      </c>
      <c r="C632" s="440" t="s">
        <v>631</v>
      </c>
      <c r="D632" s="444">
        <v>44544</v>
      </c>
      <c r="E632" s="445">
        <v>9450</v>
      </c>
      <c r="F632" s="440">
        <v>1001010004</v>
      </c>
      <c r="G632" s="440" t="s">
        <v>632</v>
      </c>
    </row>
    <row r="633" spans="1:7">
      <c r="A633" s="440">
        <v>4700687740</v>
      </c>
      <c r="B633" s="440">
        <v>6100094226</v>
      </c>
      <c r="C633" s="440" t="s">
        <v>631</v>
      </c>
      <c r="D633" s="444">
        <v>44544</v>
      </c>
      <c r="E633" s="445">
        <v>10083</v>
      </c>
      <c r="F633" s="440">
        <v>1001010004</v>
      </c>
      <c r="G633" s="440" t="s">
        <v>632</v>
      </c>
    </row>
    <row r="634" spans="1:7">
      <c r="A634" s="440">
        <v>4700687740</v>
      </c>
      <c r="B634" s="440">
        <v>6100094226</v>
      </c>
      <c r="C634" s="440" t="s">
        <v>631</v>
      </c>
      <c r="D634" s="444">
        <v>44544</v>
      </c>
      <c r="E634" s="445">
        <v>5882</v>
      </c>
      <c r="F634" s="440">
        <v>1001010004</v>
      </c>
      <c r="G634" s="440" t="s">
        <v>632</v>
      </c>
    </row>
    <row r="635" spans="1:7">
      <c r="A635" s="440">
        <v>4700687740</v>
      </c>
      <c r="B635" s="440">
        <v>6100094226</v>
      </c>
      <c r="C635" s="440" t="s">
        <v>631</v>
      </c>
      <c r="D635" s="444">
        <v>44544</v>
      </c>
      <c r="E635" s="445">
        <v>6550</v>
      </c>
      <c r="F635" s="440">
        <v>1001010004</v>
      </c>
      <c r="G635" s="440" t="s">
        <v>632</v>
      </c>
    </row>
    <row r="636" spans="1:7">
      <c r="A636" s="440">
        <v>4700687740</v>
      </c>
      <c r="B636" s="440">
        <v>6100094226</v>
      </c>
      <c r="C636" s="440" t="s">
        <v>631</v>
      </c>
      <c r="D636" s="444">
        <v>44544</v>
      </c>
      <c r="E636" s="445">
        <v>5300</v>
      </c>
      <c r="F636" s="440">
        <v>1001010004</v>
      </c>
      <c r="G636" s="440" t="s">
        <v>632</v>
      </c>
    </row>
    <row r="637" spans="1:7">
      <c r="A637" s="440">
        <v>4700687740</v>
      </c>
      <c r="B637" s="440">
        <v>6100094226</v>
      </c>
      <c r="C637" s="440" t="s">
        <v>631</v>
      </c>
      <c r="D637" s="444">
        <v>44544</v>
      </c>
      <c r="E637" s="445">
        <v>9790</v>
      </c>
      <c r="F637" s="440">
        <v>1001010004</v>
      </c>
      <c r="G637" s="440" t="s">
        <v>632</v>
      </c>
    </row>
    <row r="638" spans="1:7">
      <c r="A638" s="440">
        <v>4700687740</v>
      </c>
      <c r="B638" s="440">
        <v>6100094226</v>
      </c>
      <c r="C638" s="440" t="s">
        <v>631</v>
      </c>
      <c r="D638" s="444">
        <v>44544</v>
      </c>
      <c r="E638" s="445">
        <v>15756</v>
      </c>
      <c r="F638" s="440">
        <v>1001010004</v>
      </c>
      <c r="G638" s="440" t="s">
        <v>632</v>
      </c>
    </row>
    <row r="639" spans="1:7">
      <c r="A639" s="440">
        <v>4700687740</v>
      </c>
      <c r="B639" s="440">
        <v>6100094226</v>
      </c>
      <c r="C639" s="440" t="s">
        <v>631</v>
      </c>
      <c r="D639" s="444">
        <v>44544</v>
      </c>
      <c r="E639" s="445">
        <v>1800</v>
      </c>
      <c r="F639" s="440">
        <v>1001010004</v>
      </c>
      <c r="G639" s="440" t="s">
        <v>632</v>
      </c>
    </row>
    <row r="640" spans="1:7">
      <c r="A640" s="440">
        <v>4700687740</v>
      </c>
      <c r="B640" s="440">
        <v>6100094226</v>
      </c>
      <c r="C640" s="440" t="s">
        <v>631</v>
      </c>
      <c r="D640" s="444">
        <v>44544</v>
      </c>
      <c r="E640" s="445">
        <v>3900</v>
      </c>
      <c r="F640" s="440">
        <v>1001010004</v>
      </c>
      <c r="G640" s="440" t="s">
        <v>632</v>
      </c>
    </row>
    <row r="641" spans="1:7">
      <c r="A641" s="440">
        <v>4700687740</v>
      </c>
      <c r="B641" s="440">
        <v>6100094226</v>
      </c>
      <c r="C641" s="440" t="s">
        <v>631</v>
      </c>
      <c r="D641" s="444">
        <v>44544</v>
      </c>
      <c r="E641" s="445">
        <v>10800</v>
      </c>
      <c r="F641" s="440">
        <v>1001010004</v>
      </c>
      <c r="G641" s="440" t="s">
        <v>632</v>
      </c>
    </row>
    <row r="642" spans="1:7">
      <c r="A642" s="440">
        <v>4700687740</v>
      </c>
      <c r="B642" s="440">
        <v>6100094226</v>
      </c>
      <c r="C642" s="440" t="s">
        <v>631</v>
      </c>
      <c r="D642" s="444">
        <v>44544</v>
      </c>
      <c r="E642" s="445">
        <v>3400</v>
      </c>
      <c r="F642" s="440">
        <v>1001010004</v>
      </c>
      <c r="G642" s="440" t="s">
        <v>632</v>
      </c>
    </row>
    <row r="643" spans="1:7">
      <c r="A643" s="440">
        <v>4700687740</v>
      </c>
      <c r="B643" s="440">
        <v>6100094226</v>
      </c>
      <c r="C643" s="440" t="s">
        <v>631</v>
      </c>
      <c r="D643" s="444">
        <v>44544</v>
      </c>
      <c r="E643" s="445">
        <v>2100</v>
      </c>
      <c r="F643" s="440">
        <v>1001010004</v>
      </c>
      <c r="G643" s="440" t="s">
        <v>632</v>
      </c>
    </row>
    <row r="644" spans="1:7">
      <c r="A644" s="440">
        <v>4700687740</v>
      </c>
      <c r="B644" s="440">
        <v>6100094226</v>
      </c>
      <c r="C644" s="440" t="s">
        <v>631</v>
      </c>
      <c r="D644" s="444">
        <v>44544</v>
      </c>
      <c r="E644" s="445">
        <v>35464</v>
      </c>
      <c r="F644" s="440">
        <v>1001010004</v>
      </c>
      <c r="G644" s="440" t="s">
        <v>632</v>
      </c>
    </row>
    <row r="645" spans="1:7">
      <c r="A645" s="440">
        <v>4700687740</v>
      </c>
      <c r="B645" s="440">
        <v>6100094226</v>
      </c>
      <c r="C645" s="440" t="s">
        <v>631</v>
      </c>
      <c r="D645" s="444">
        <v>44544</v>
      </c>
      <c r="E645" s="445">
        <v>37058</v>
      </c>
      <c r="F645" s="440">
        <v>1001010004</v>
      </c>
      <c r="G645" s="440" t="s">
        <v>632</v>
      </c>
    </row>
    <row r="646" spans="1:7">
      <c r="A646" s="440">
        <v>4700687740</v>
      </c>
      <c r="B646" s="440">
        <v>6100094226</v>
      </c>
      <c r="C646" s="440" t="s">
        <v>631</v>
      </c>
      <c r="D646" s="444">
        <v>44544</v>
      </c>
      <c r="E646" s="445">
        <v>2059</v>
      </c>
      <c r="F646" s="440">
        <v>1001010004</v>
      </c>
      <c r="G646" s="440" t="s">
        <v>632</v>
      </c>
    </row>
    <row r="647" spans="1:7">
      <c r="A647" s="440">
        <v>4700687740</v>
      </c>
      <c r="B647" s="440">
        <v>6100094226</v>
      </c>
      <c r="C647" s="440" t="s">
        <v>631</v>
      </c>
      <c r="D647" s="444">
        <v>44544</v>
      </c>
      <c r="E647" s="445">
        <v>27315</v>
      </c>
      <c r="F647" s="440">
        <v>1001010004</v>
      </c>
      <c r="G647" s="440" t="s">
        <v>632</v>
      </c>
    </row>
    <row r="648" spans="1:7">
      <c r="A648" s="440">
        <v>4700687740</v>
      </c>
      <c r="B648" s="440">
        <v>6100094226</v>
      </c>
      <c r="C648" s="440" t="s">
        <v>631</v>
      </c>
      <c r="D648" s="444">
        <v>44544</v>
      </c>
      <c r="E648" s="445">
        <v>23530</v>
      </c>
      <c r="F648" s="440">
        <v>1001010004</v>
      </c>
      <c r="G648" s="440" t="s">
        <v>632</v>
      </c>
    </row>
    <row r="649" spans="1:7">
      <c r="A649" s="440">
        <v>4700455398</v>
      </c>
      <c r="B649" s="440">
        <v>6100070600</v>
      </c>
      <c r="C649" s="440" t="s">
        <v>631</v>
      </c>
      <c r="D649" s="444">
        <v>44053</v>
      </c>
      <c r="E649" s="445">
        <v>8904</v>
      </c>
      <c r="F649" s="440">
        <v>1001010005</v>
      </c>
      <c r="G649" s="440" t="s">
        <v>632</v>
      </c>
    </row>
    <row r="650" spans="1:7">
      <c r="A650" s="440">
        <v>4700455398</v>
      </c>
      <c r="B650" s="440">
        <v>6100070600</v>
      </c>
      <c r="C650" s="440" t="s">
        <v>631</v>
      </c>
      <c r="D650" s="444">
        <v>44053</v>
      </c>
      <c r="E650" s="445">
        <v>7058</v>
      </c>
      <c r="F650" s="440">
        <v>1001010005</v>
      </c>
      <c r="G650" s="440" t="s">
        <v>632</v>
      </c>
    </row>
    <row r="651" spans="1:7">
      <c r="A651" s="440">
        <v>4700455398</v>
      </c>
      <c r="B651" s="440">
        <v>6100070600</v>
      </c>
      <c r="C651" s="440" t="s">
        <v>631</v>
      </c>
      <c r="D651" s="444">
        <v>44053</v>
      </c>
      <c r="E651" s="445">
        <v>20700</v>
      </c>
      <c r="F651" s="440">
        <v>1001010005</v>
      </c>
      <c r="G651" s="440" t="s">
        <v>632</v>
      </c>
    </row>
    <row r="652" spans="1:7">
      <c r="A652" s="440">
        <v>4700455398</v>
      </c>
      <c r="B652" s="440">
        <v>6100070600</v>
      </c>
      <c r="C652" s="440" t="s">
        <v>631</v>
      </c>
      <c r="D652" s="444">
        <v>44053</v>
      </c>
      <c r="E652" s="445">
        <v>33024</v>
      </c>
      <c r="F652" s="440">
        <v>1001010005</v>
      </c>
      <c r="G652" s="440" t="s">
        <v>632</v>
      </c>
    </row>
    <row r="653" spans="1:7">
      <c r="A653" s="440">
        <v>4700455398</v>
      </c>
      <c r="B653" s="440">
        <v>6100070600</v>
      </c>
      <c r="C653" s="440" t="s">
        <v>631</v>
      </c>
      <c r="D653" s="444">
        <v>44053</v>
      </c>
      <c r="E653" s="445">
        <v>16050</v>
      </c>
      <c r="F653" s="440">
        <v>1001010005</v>
      </c>
      <c r="G653" s="440" t="s">
        <v>632</v>
      </c>
    </row>
    <row r="654" spans="1:7">
      <c r="A654" s="440">
        <v>4700455398</v>
      </c>
      <c r="B654" s="440">
        <v>6100070600</v>
      </c>
      <c r="C654" s="440" t="s">
        <v>631</v>
      </c>
      <c r="D654" s="444">
        <v>44053</v>
      </c>
      <c r="E654" s="445">
        <v>9915</v>
      </c>
      <c r="F654" s="440">
        <v>1001010005</v>
      </c>
      <c r="G654" s="440" t="s">
        <v>632</v>
      </c>
    </row>
    <row r="655" spans="1:7">
      <c r="A655" s="440">
        <v>4700455398</v>
      </c>
      <c r="B655" s="440">
        <v>6100070600</v>
      </c>
      <c r="C655" s="440" t="s">
        <v>631</v>
      </c>
      <c r="D655" s="444">
        <v>44053</v>
      </c>
      <c r="E655" s="445">
        <v>2050</v>
      </c>
      <c r="F655" s="440">
        <v>1001010005</v>
      </c>
      <c r="G655" s="440" t="s">
        <v>632</v>
      </c>
    </row>
    <row r="656" spans="1:7">
      <c r="A656" s="440">
        <v>4700455398</v>
      </c>
      <c r="B656" s="440">
        <v>6100070600</v>
      </c>
      <c r="C656" s="440" t="s">
        <v>631</v>
      </c>
      <c r="D656" s="444">
        <v>44053</v>
      </c>
      <c r="E656" s="445">
        <v>12909</v>
      </c>
      <c r="F656" s="440">
        <v>1001010005</v>
      </c>
      <c r="G656" s="440" t="s">
        <v>632</v>
      </c>
    </row>
    <row r="657" spans="1:7">
      <c r="A657" s="440">
        <v>4700455398</v>
      </c>
      <c r="B657" s="440">
        <v>6100070600</v>
      </c>
      <c r="C657" s="440" t="s">
        <v>631</v>
      </c>
      <c r="D657" s="444">
        <v>44053</v>
      </c>
      <c r="E657" s="445">
        <v>18402</v>
      </c>
      <c r="F657" s="440">
        <v>1001010005</v>
      </c>
      <c r="G657" s="440" t="s">
        <v>632</v>
      </c>
    </row>
    <row r="658" spans="1:7">
      <c r="A658" s="440">
        <v>4700455398</v>
      </c>
      <c r="B658" s="440">
        <v>6100070600</v>
      </c>
      <c r="C658" s="440" t="s">
        <v>631</v>
      </c>
      <c r="D658" s="444">
        <v>44053</v>
      </c>
      <c r="E658" s="445">
        <v>32700</v>
      </c>
      <c r="F658" s="440">
        <v>1001010005</v>
      </c>
      <c r="G658" s="440" t="s">
        <v>632</v>
      </c>
    </row>
    <row r="659" spans="1:7">
      <c r="A659" s="440">
        <v>4700455398</v>
      </c>
      <c r="B659" s="440">
        <v>6100070600</v>
      </c>
      <c r="C659" s="440" t="s">
        <v>631</v>
      </c>
      <c r="D659" s="444">
        <v>44053</v>
      </c>
      <c r="E659" s="445">
        <v>9500</v>
      </c>
      <c r="F659" s="440">
        <v>1001010005</v>
      </c>
      <c r="G659" s="440" t="s">
        <v>632</v>
      </c>
    </row>
    <row r="660" spans="1:7">
      <c r="A660" s="440">
        <v>4700455398</v>
      </c>
      <c r="B660" s="440">
        <v>6100070600</v>
      </c>
      <c r="C660" s="440" t="s">
        <v>631</v>
      </c>
      <c r="D660" s="444">
        <v>44053</v>
      </c>
      <c r="E660" s="445">
        <v>4500</v>
      </c>
      <c r="F660" s="440">
        <v>1001010005</v>
      </c>
      <c r="G660" s="440" t="s">
        <v>632</v>
      </c>
    </row>
    <row r="661" spans="1:7">
      <c r="A661" s="440">
        <v>4700455398</v>
      </c>
      <c r="B661" s="440">
        <v>6100070600</v>
      </c>
      <c r="C661" s="440" t="s">
        <v>631</v>
      </c>
      <c r="D661" s="444">
        <v>44053</v>
      </c>
      <c r="E661" s="445">
        <v>4201</v>
      </c>
      <c r="F661" s="440">
        <v>1001010005</v>
      </c>
      <c r="G661" s="440" t="s">
        <v>632</v>
      </c>
    </row>
    <row r="662" spans="1:7">
      <c r="A662" s="440">
        <v>4700455398</v>
      </c>
      <c r="B662" s="440">
        <v>6100070600</v>
      </c>
      <c r="C662" s="440" t="s">
        <v>631</v>
      </c>
      <c r="D662" s="444">
        <v>44053</v>
      </c>
      <c r="E662" s="445">
        <v>5100</v>
      </c>
      <c r="F662" s="440">
        <v>1001010005</v>
      </c>
      <c r="G662" s="440" t="s">
        <v>632</v>
      </c>
    </row>
    <row r="663" spans="1:7">
      <c r="A663" s="440">
        <v>4700471298</v>
      </c>
      <c r="B663" s="440">
        <v>6100081454</v>
      </c>
      <c r="C663" s="440" t="s">
        <v>631</v>
      </c>
      <c r="D663" s="444">
        <v>44088</v>
      </c>
      <c r="E663" s="445">
        <v>1900</v>
      </c>
      <c r="F663" s="440">
        <v>1001010005</v>
      </c>
      <c r="G663" s="440" t="s">
        <v>632</v>
      </c>
    </row>
    <row r="664" spans="1:7">
      <c r="A664" s="440">
        <v>4700471298</v>
      </c>
      <c r="B664" s="440">
        <v>6100081454</v>
      </c>
      <c r="C664" s="440" t="s">
        <v>631</v>
      </c>
      <c r="D664" s="444">
        <v>44088</v>
      </c>
      <c r="E664" s="445">
        <v>2250</v>
      </c>
      <c r="F664" s="440">
        <v>1001010005</v>
      </c>
      <c r="G664" s="440" t="s">
        <v>632</v>
      </c>
    </row>
    <row r="665" spans="1:7">
      <c r="A665" s="440">
        <v>4700471298</v>
      </c>
      <c r="B665" s="440">
        <v>6100081454</v>
      </c>
      <c r="C665" s="440" t="s">
        <v>631</v>
      </c>
      <c r="D665" s="444">
        <v>44088</v>
      </c>
      <c r="E665" s="445">
        <v>9250</v>
      </c>
      <c r="F665" s="440">
        <v>1001010005</v>
      </c>
      <c r="G665" s="440" t="s">
        <v>632</v>
      </c>
    </row>
    <row r="666" spans="1:7">
      <c r="A666" s="440">
        <v>4700471298</v>
      </c>
      <c r="B666" s="440">
        <v>6100081454</v>
      </c>
      <c r="C666" s="440" t="s">
        <v>631</v>
      </c>
      <c r="D666" s="444">
        <v>44088</v>
      </c>
      <c r="E666" s="445">
        <v>16050</v>
      </c>
      <c r="F666" s="440">
        <v>1001010005</v>
      </c>
      <c r="G666" s="440" t="s">
        <v>632</v>
      </c>
    </row>
    <row r="667" spans="1:7">
      <c r="A667" s="440">
        <v>4700471298</v>
      </c>
      <c r="B667" s="440">
        <v>6100081454</v>
      </c>
      <c r="C667" s="440" t="s">
        <v>631</v>
      </c>
      <c r="D667" s="444">
        <v>44088</v>
      </c>
      <c r="E667" s="445">
        <v>8319</v>
      </c>
      <c r="F667" s="440">
        <v>1001010005</v>
      </c>
      <c r="G667" s="440" t="s">
        <v>632</v>
      </c>
    </row>
    <row r="668" spans="1:7">
      <c r="A668" s="440">
        <v>4700471298</v>
      </c>
      <c r="B668" s="440">
        <v>6100081454</v>
      </c>
      <c r="C668" s="440" t="s">
        <v>631</v>
      </c>
      <c r="D668" s="444">
        <v>44088</v>
      </c>
      <c r="E668" s="445">
        <v>12268</v>
      </c>
      <c r="F668" s="440">
        <v>1001010005</v>
      </c>
      <c r="G668" s="440" t="s">
        <v>632</v>
      </c>
    </row>
    <row r="669" spans="1:7">
      <c r="A669" s="440">
        <v>4700471298</v>
      </c>
      <c r="B669" s="440">
        <v>6100081454</v>
      </c>
      <c r="C669" s="440" t="s">
        <v>631</v>
      </c>
      <c r="D669" s="444">
        <v>44088</v>
      </c>
      <c r="E669" s="445">
        <v>5546</v>
      </c>
      <c r="F669" s="440">
        <v>1001010005</v>
      </c>
      <c r="G669" s="440" t="s">
        <v>632</v>
      </c>
    </row>
    <row r="670" spans="1:7">
      <c r="A670" s="440">
        <v>4700471298</v>
      </c>
      <c r="B670" s="440">
        <v>6100081454</v>
      </c>
      <c r="C670" s="440" t="s">
        <v>631</v>
      </c>
      <c r="D670" s="444">
        <v>44088</v>
      </c>
      <c r="E670" s="445">
        <v>26721</v>
      </c>
      <c r="F670" s="440">
        <v>1001010005</v>
      </c>
      <c r="G670" s="440" t="s">
        <v>632</v>
      </c>
    </row>
    <row r="671" spans="1:7">
      <c r="A671" s="440">
        <v>4700471298</v>
      </c>
      <c r="B671" s="440">
        <v>6100081454</v>
      </c>
      <c r="C671" s="440" t="s">
        <v>631</v>
      </c>
      <c r="D671" s="444">
        <v>44088</v>
      </c>
      <c r="E671" s="445">
        <v>14550</v>
      </c>
      <c r="F671" s="440">
        <v>1001010005</v>
      </c>
      <c r="G671" s="440" t="s">
        <v>632</v>
      </c>
    </row>
    <row r="672" spans="1:7">
      <c r="A672" s="440">
        <v>4700471298</v>
      </c>
      <c r="B672" s="440">
        <v>6100081454</v>
      </c>
      <c r="C672" s="440" t="s">
        <v>631</v>
      </c>
      <c r="D672" s="444">
        <v>44088</v>
      </c>
      <c r="E672" s="445">
        <v>8904</v>
      </c>
      <c r="F672" s="440">
        <v>1001010005</v>
      </c>
      <c r="G672" s="440" t="s">
        <v>632</v>
      </c>
    </row>
    <row r="673" spans="1:7">
      <c r="A673" s="440">
        <v>4700471298</v>
      </c>
      <c r="B673" s="440">
        <v>6100081454</v>
      </c>
      <c r="C673" s="440" t="s">
        <v>631</v>
      </c>
      <c r="D673" s="444">
        <v>44088</v>
      </c>
      <c r="E673" s="445">
        <v>28500</v>
      </c>
      <c r="F673" s="440">
        <v>1001010005</v>
      </c>
      <c r="G673" s="440" t="s">
        <v>632</v>
      </c>
    </row>
    <row r="674" spans="1:7">
      <c r="A674" s="440">
        <v>4700471298</v>
      </c>
      <c r="B674" s="440">
        <v>6100081454</v>
      </c>
      <c r="C674" s="440" t="s">
        <v>631</v>
      </c>
      <c r="D674" s="444">
        <v>44088</v>
      </c>
      <c r="E674" s="445">
        <v>4100</v>
      </c>
      <c r="F674" s="440">
        <v>1001010005</v>
      </c>
      <c r="G674" s="440" t="s">
        <v>632</v>
      </c>
    </row>
    <row r="675" spans="1:7">
      <c r="A675" s="440">
        <v>4700471298</v>
      </c>
      <c r="B675" s="440">
        <v>6100081454</v>
      </c>
      <c r="C675" s="440" t="s">
        <v>631</v>
      </c>
      <c r="D675" s="444">
        <v>44088</v>
      </c>
      <c r="E675" s="445">
        <v>33024</v>
      </c>
      <c r="F675" s="440">
        <v>1001010005</v>
      </c>
      <c r="G675" s="440" t="s">
        <v>632</v>
      </c>
    </row>
    <row r="676" spans="1:7">
      <c r="A676" s="440">
        <v>4700486603</v>
      </c>
      <c r="B676" s="440">
        <v>6100099401</v>
      </c>
      <c r="C676" s="440" t="s">
        <v>631</v>
      </c>
      <c r="D676" s="444">
        <v>44123</v>
      </c>
      <c r="E676" s="445">
        <v>1600</v>
      </c>
      <c r="F676" s="440">
        <v>1001010005</v>
      </c>
      <c r="G676" s="440" t="s">
        <v>632</v>
      </c>
    </row>
    <row r="677" spans="1:7">
      <c r="A677" s="440">
        <v>4700486603</v>
      </c>
      <c r="B677" s="440">
        <v>6100099401</v>
      </c>
      <c r="C677" s="440" t="s">
        <v>631</v>
      </c>
      <c r="D677" s="444">
        <v>44123</v>
      </c>
      <c r="E677" s="445">
        <v>13100</v>
      </c>
      <c r="F677" s="440">
        <v>1001010005</v>
      </c>
      <c r="G677" s="440" t="s">
        <v>632</v>
      </c>
    </row>
    <row r="678" spans="1:7">
      <c r="A678" s="440">
        <v>4700486603</v>
      </c>
      <c r="B678" s="440">
        <v>6100099401</v>
      </c>
      <c r="C678" s="440" t="s">
        <v>631</v>
      </c>
      <c r="D678" s="444">
        <v>44123</v>
      </c>
      <c r="E678" s="445">
        <v>1750</v>
      </c>
      <c r="F678" s="440">
        <v>1001010005</v>
      </c>
      <c r="G678" s="440" t="s">
        <v>632</v>
      </c>
    </row>
    <row r="679" spans="1:7">
      <c r="A679" s="440">
        <v>4700486603</v>
      </c>
      <c r="B679" s="440">
        <v>6100099401</v>
      </c>
      <c r="C679" s="440" t="s">
        <v>631</v>
      </c>
      <c r="D679" s="444">
        <v>44123</v>
      </c>
      <c r="E679" s="445">
        <v>1600</v>
      </c>
      <c r="F679" s="440">
        <v>1001010005</v>
      </c>
      <c r="G679" s="440" t="s">
        <v>632</v>
      </c>
    </row>
    <row r="680" spans="1:7">
      <c r="A680" s="440">
        <v>4700486603</v>
      </c>
      <c r="B680" s="440">
        <v>6100099401</v>
      </c>
      <c r="C680" s="440" t="s">
        <v>631</v>
      </c>
      <c r="D680" s="444">
        <v>44123</v>
      </c>
      <c r="E680" s="445">
        <v>7058</v>
      </c>
      <c r="F680" s="440">
        <v>1001010005</v>
      </c>
      <c r="G680" s="440" t="s">
        <v>632</v>
      </c>
    </row>
    <row r="681" spans="1:7">
      <c r="A681" s="440">
        <v>4700486603</v>
      </c>
      <c r="B681" s="440">
        <v>6100099401</v>
      </c>
      <c r="C681" s="440" t="s">
        <v>631</v>
      </c>
      <c r="D681" s="444">
        <v>44123</v>
      </c>
      <c r="E681" s="445">
        <v>16050</v>
      </c>
      <c r="F681" s="440">
        <v>1001010005</v>
      </c>
      <c r="G681" s="440" t="s">
        <v>632</v>
      </c>
    </row>
    <row r="682" spans="1:7">
      <c r="A682" s="440">
        <v>4700486603</v>
      </c>
      <c r="B682" s="440">
        <v>6100099401</v>
      </c>
      <c r="C682" s="440" t="s">
        <v>631</v>
      </c>
      <c r="D682" s="444">
        <v>44123</v>
      </c>
      <c r="E682" s="445">
        <v>35796</v>
      </c>
      <c r="F682" s="440">
        <v>1001010005</v>
      </c>
      <c r="G682" s="440" t="s">
        <v>632</v>
      </c>
    </row>
    <row r="683" spans="1:7">
      <c r="A683" s="440">
        <v>4700486603</v>
      </c>
      <c r="B683" s="440">
        <v>6100099401</v>
      </c>
      <c r="C683" s="440" t="s">
        <v>631</v>
      </c>
      <c r="D683" s="444">
        <v>44123</v>
      </c>
      <c r="E683" s="445">
        <v>33024</v>
      </c>
      <c r="F683" s="440">
        <v>1001010005</v>
      </c>
      <c r="G683" s="440" t="s">
        <v>632</v>
      </c>
    </row>
    <row r="684" spans="1:7">
      <c r="A684" s="440">
        <v>4700486603</v>
      </c>
      <c r="B684" s="440">
        <v>6100099401</v>
      </c>
      <c r="C684" s="440" t="s">
        <v>631</v>
      </c>
      <c r="D684" s="444">
        <v>44123</v>
      </c>
      <c r="E684" s="445">
        <v>5546</v>
      </c>
      <c r="F684" s="440">
        <v>1001010005</v>
      </c>
      <c r="G684" s="440" t="s">
        <v>632</v>
      </c>
    </row>
    <row r="685" spans="1:7">
      <c r="A685" s="440">
        <v>4700486603</v>
      </c>
      <c r="B685" s="440">
        <v>6100099401</v>
      </c>
      <c r="C685" s="440" t="s">
        <v>631</v>
      </c>
      <c r="D685" s="444">
        <v>44123</v>
      </c>
      <c r="E685" s="445">
        <v>10800</v>
      </c>
      <c r="F685" s="440">
        <v>1001010005</v>
      </c>
      <c r="G685" s="440" t="s">
        <v>632</v>
      </c>
    </row>
    <row r="686" spans="1:7">
      <c r="A686" s="440">
        <v>4700486603</v>
      </c>
      <c r="B686" s="440">
        <v>6100099401</v>
      </c>
      <c r="C686" s="440" t="s">
        <v>631</v>
      </c>
      <c r="D686" s="444">
        <v>44123</v>
      </c>
      <c r="E686" s="445">
        <v>21200</v>
      </c>
      <c r="F686" s="440">
        <v>1001010005</v>
      </c>
      <c r="G686" s="440" t="s">
        <v>632</v>
      </c>
    </row>
    <row r="687" spans="1:7">
      <c r="A687" s="440">
        <v>4700486603</v>
      </c>
      <c r="B687" s="440">
        <v>6100099401</v>
      </c>
      <c r="C687" s="440" t="s">
        <v>631</v>
      </c>
      <c r="D687" s="444">
        <v>44123</v>
      </c>
      <c r="E687" s="445">
        <v>12268</v>
      </c>
      <c r="F687" s="440">
        <v>1001010005</v>
      </c>
      <c r="G687" s="440" t="s">
        <v>632</v>
      </c>
    </row>
    <row r="688" spans="1:7">
      <c r="A688" s="440">
        <v>4700486603</v>
      </c>
      <c r="B688" s="440">
        <v>6100099401</v>
      </c>
      <c r="C688" s="440" t="s">
        <v>631</v>
      </c>
      <c r="D688" s="444">
        <v>44123</v>
      </c>
      <c r="E688" s="445">
        <v>17400</v>
      </c>
      <c r="F688" s="440">
        <v>1001010005</v>
      </c>
      <c r="G688" s="440" t="s">
        <v>632</v>
      </c>
    </row>
    <row r="689" spans="1:7">
      <c r="A689" s="440">
        <v>4700486603</v>
      </c>
      <c r="B689" s="440">
        <v>6100099401</v>
      </c>
      <c r="C689" s="440" t="s">
        <v>631</v>
      </c>
      <c r="D689" s="444">
        <v>44123</v>
      </c>
      <c r="E689" s="445">
        <v>3400</v>
      </c>
      <c r="F689" s="440">
        <v>1001010005</v>
      </c>
      <c r="G689" s="440" t="s">
        <v>632</v>
      </c>
    </row>
    <row r="690" spans="1:7">
      <c r="A690" s="440">
        <v>4700486603</v>
      </c>
      <c r="B690" s="440">
        <v>6100099401</v>
      </c>
      <c r="C690" s="440" t="s">
        <v>631</v>
      </c>
      <c r="D690" s="444">
        <v>44123</v>
      </c>
      <c r="E690" s="445">
        <v>1750</v>
      </c>
      <c r="F690" s="440">
        <v>1001010005</v>
      </c>
      <c r="G690" s="440" t="s">
        <v>632</v>
      </c>
    </row>
    <row r="691" spans="1:7">
      <c r="A691" s="440">
        <v>4700486603</v>
      </c>
      <c r="B691" s="440">
        <v>6100099401</v>
      </c>
      <c r="C691" s="440" t="s">
        <v>631</v>
      </c>
      <c r="D691" s="444">
        <v>44123</v>
      </c>
      <c r="E691" s="445">
        <v>5300</v>
      </c>
      <c r="F691" s="440">
        <v>1001010005</v>
      </c>
      <c r="G691" s="440" t="s">
        <v>632</v>
      </c>
    </row>
    <row r="692" spans="1:7">
      <c r="A692" s="440">
        <v>4700486603</v>
      </c>
      <c r="B692" s="440">
        <v>6100099401</v>
      </c>
      <c r="C692" s="440" t="s">
        <v>631</v>
      </c>
      <c r="D692" s="444">
        <v>44123</v>
      </c>
      <c r="E692" s="445">
        <v>4200</v>
      </c>
      <c r="F692" s="440">
        <v>1001010005</v>
      </c>
      <c r="G692" s="440" t="s">
        <v>632</v>
      </c>
    </row>
    <row r="693" spans="1:7">
      <c r="A693" s="440">
        <v>4700501322</v>
      </c>
      <c r="B693" s="440">
        <v>6100122044</v>
      </c>
      <c r="C693" s="440" t="s">
        <v>631</v>
      </c>
      <c r="D693" s="444">
        <v>44158</v>
      </c>
      <c r="E693" s="445">
        <v>31800</v>
      </c>
      <c r="F693" s="440">
        <v>1001010005</v>
      </c>
      <c r="G693" s="440" t="s">
        <v>632</v>
      </c>
    </row>
    <row r="694" spans="1:7">
      <c r="A694" s="440">
        <v>4700501322</v>
      </c>
      <c r="B694" s="440">
        <v>6100122044</v>
      </c>
      <c r="C694" s="440" t="s">
        <v>631</v>
      </c>
      <c r="D694" s="444">
        <v>44158</v>
      </c>
      <c r="E694" s="445">
        <v>16806</v>
      </c>
      <c r="F694" s="440">
        <v>1001010005</v>
      </c>
      <c r="G694" s="440" t="s">
        <v>632</v>
      </c>
    </row>
    <row r="695" spans="1:7">
      <c r="A695" s="440">
        <v>4700501322</v>
      </c>
      <c r="B695" s="440">
        <v>6100122044</v>
      </c>
      <c r="C695" s="440" t="s">
        <v>631</v>
      </c>
      <c r="D695" s="444">
        <v>44158</v>
      </c>
      <c r="E695" s="445">
        <v>19000</v>
      </c>
      <c r="F695" s="440">
        <v>1001010005</v>
      </c>
      <c r="G695" s="440" t="s">
        <v>632</v>
      </c>
    </row>
    <row r="696" spans="1:7">
      <c r="A696" s="440">
        <v>4700501322</v>
      </c>
      <c r="B696" s="440">
        <v>6100122044</v>
      </c>
      <c r="C696" s="440" t="s">
        <v>631</v>
      </c>
      <c r="D696" s="444">
        <v>44158</v>
      </c>
      <c r="E696" s="445">
        <v>12268</v>
      </c>
      <c r="F696" s="440">
        <v>1001010005</v>
      </c>
      <c r="G696" s="440" t="s">
        <v>632</v>
      </c>
    </row>
    <row r="697" spans="1:7">
      <c r="A697" s="440">
        <v>4700501322</v>
      </c>
      <c r="B697" s="440">
        <v>6100122044</v>
      </c>
      <c r="C697" s="440" t="s">
        <v>631</v>
      </c>
      <c r="D697" s="444">
        <v>44158</v>
      </c>
      <c r="E697" s="445">
        <v>11600</v>
      </c>
      <c r="F697" s="440">
        <v>1001010005</v>
      </c>
      <c r="G697" s="440" t="s">
        <v>632</v>
      </c>
    </row>
    <row r="698" spans="1:7">
      <c r="A698" s="440">
        <v>4700501322</v>
      </c>
      <c r="B698" s="440">
        <v>6100122044</v>
      </c>
      <c r="C698" s="440" t="s">
        <v>631</v>
      </c>
      <c r="D698" s="444">
        <v>44158</v>
      </c>
      <c r="E698" s="445">
        <v>7941</v>
      </c>
      <c r="F698" s="440">
        <v>1001010005</v>
      </c>
      <c r="G698" s="440" t="s">
        <v>632</v>
      </c>
    </row>
    <row r="699" spans="1:7">
      <c r="A699" s="440">
        <v>4700501322</v>
      </c>
      <c r="B699" s="440">
        <v>6100122044</v>
      </c>
      <c r="C699" s="440" t="s">
        <v>631</v>
      </c>
      <c r="D699" s="444">
        <v>44158</v>
      </c>
      <c r="E699" s="445">
        <v>3400</v>
      </c>
      <c r="F699" s="440">
        <v>1001010005</v>
      </c>
      <c r="G699" s="440" t="s">
        <v>632</v>
      </c>
    </row>
    <row r="700" spans="1:7">
      <c r="A700" s="440">
        <v>4700501322</v>
      </c>
      <c r="B700" s="440">
        <v>6100122044</v>
      </c>
      <c r="C700" s="440" t="s">
        <v>631</v>
      </c>
      <c r="D700" s="444">
        <v>44158</v>
      </c>
      <c r="E700" s="445">
        <v>11400</v>
      </c>
      <c r="F700" s="440">
        <v>1001010005</v>
      </c>
      <c r="G700" s="440" t="s">
        <v>632</v>
      </c>
    </row>
    <row r="701" spans="1:7">
      <c r="A701" s="440">
        <v>4700501322</v>
      </c>
      <c r="B701" s="440">
        <v>6100122044</v>
      </c>
      <c r="C701" s="440" t="s">
        <v>631</v>
      </c>
      <c r="D701" s="444">
        <v>44158</v>
      </c>
      <c r="E701" s="445">
        <v>7058</v>
      </c>
      <c r="F701" s="440">
        <v>1001010005</v>
      </c>
      <c r="G701" s="440" t="s">
        <v>632</v>
      </c>
    </row>
    <row r="702" spans="1:7">
      <c r="A702" s="440">
        <v>4700501322</v>
      </c>
      <c r="B702" s="440">
        <v>6100122044</v>
      </c>
      <c r="C702" s="440" t="s">
        <v>631</v>
      </c>
      <c r="D702" s="444">
        <v>44158</v>
      </c>
      <c r="E702" s="445">
        <v>16512</v>
      </c>
      <c r="F702" s="440">
        <v>1001010005</v>
      </c>
      <c r="G702" s="440" t="s">
        <v>632</v>
      </c>
    </row>
    <row r="703" spans="1:7">
      <c r="A703" s="440">
        <v>4700501322</v>
      </c>
      <c r="B703" s="440">
        <v>6100122044</v>
      </c>
      <c r="C703" s="440" t="s">
        <v>631</v>
      </c>
      <c r="D703" s="444">
        <v>44158</v>
      </c>
      <c r="E703" s="445">
        <v>48237</v>
      </c>
      <c r="F703" s="440">
        <v>1001010005</v>
      </c>
      <c r="G703" s="440" t="s">
        <v>632</v>
      </c>
    </row>
    <row r="704" spans="1:7">
      <c r="A704" s="440">
        <v>4700501322</v>
      </c>
      <c r="B704" s="440">
        <v>6100122044</v>
      </c>
      <c r="C704" s="440" t="s">
        <v>631</v>
      </c>
      <c r="D704" s="444">
        <v>44158</v>
      </c>
      <c r="E704" s="445">
        <v>21849</v>
      </c>
      <c r="F704" s="440">
        <v>1001010005</v>
      </c>
      <c r="G704" s="440" t="s">
        <v>632</v>
      </c>
    </row>
    <row r="705" spans="1:7">
      <c r="A705" s="440">
        <v>4700530653</v>
      </c>
      <c r="B705" s="440">
        <v>6100008492</v>
      </c>
      <c r="C705" s="440" t="s">
        <v>631</v>
      </c>
      <c r="D705" s="444">
        <v>44217</v>
      </c>
      <c r="E705" s="445">
        <v>9500</v>
      </c>
      <c r="F705" s="440">
        <v>1001010005</v>
      </c>
      <c r="G705" s="440" t="s">
        <v>632</v>
      </c>
    </row>
    <row r="706" spans="1:7">
      <c r="A706" s="440">
        <v>4700530653</v>
      </c>
      <c r="B706" s="440">
        <v>6100008492</v>
      </c>
      <c r="C706" s="440" t="s">
        <v>631</v>
      </c>
      <c r="D706" s="444">
        <v>44217</v>
      </c>
      <c r="E706" s="445">
        <v>5798</v>
      </c>
      <c r="F706" s="440">
        <v>1001010005</v>
      </c>
      <c r="G706" s="440" t="s">
        <v>632</v>
      </c>
    </row>
    <row r="707" spans="1:7">
      <c r="A707" s="440">
        <v>4700530653</v>
      </c>
      <c r="B707" s="440">
        <v>6100008492</v>
      </c>
      <c r="C707" s="440" t="s">
        <v>631</v>
      </c>
      <c r="D707" s="444">
        <v>44217</v>
      </c>
      <c r="E707" s="445">
        <v>5126</v>
      </c>
      <c r="F707" s="440">
        <v>1001010005</v>
      </c>
      <c r="G707" s="440" t="s">
        <v>632</v>
      </c>
    </row>
    <row r="708" spans="1:7">
      <c r="A708" s="440">
        <v>4700530653</v>
      </c>
      <c r="B708" s="440">
        <v>6100008492</v>
      </c>
      <c r="C708" s="440" t="s">
        <v>631</v>
      </c>
      <c r="D708" s="444">
        <v>44217</v>
      </c>
      <c r="E708" s="445">
        <v>4600</v>
      </c>
      <c r="F708" s="440">
        <v>1001010005</v>
      </c>
      <c r="G708" s="440" t="s">
        <v>632</v>
      </c>
    </row>
    <row r="709" spans="1:7">
      <c r="A709" s="440">
        <v>4700530653</v>
      </c>
      <c r="B709" s="440">
        <v>6100008492</v>
      </c>
      <c r="C709" s="440" t="s">
        <v>631</v>
      </c>
      <c r="D709" s="444">
        <v>44217</v>
      </c>
      <c r="E709" s="445">
        <v>8277</v>
      </c>
      <c r="F709" s="440">
        <v>1001010005</v>
      </c>
      <c r="G709" s="440" t="s">
        <v>632</v>
      </c>
    </row>
    <row r="710" spans="1:7">
      <c r="A710" s="440">
        <v>4700530653</v>
      </c>
      <c r="B710" s="440">
        <v>6100008492</v>
      </c>
      <c r="C710" s="440" t="s">
        <v>631</v>
      </c>
      <c r="D710" s="444">
        <v>44217</v>
      </c>
      <c r="E710" s="445">
        <v>2050</v>
      </c>
      <c r="F710" s="440">
        <v>1001010005</v>
      </c>
      <c r="G710" s="440" t="s">
        <v>632</v>
      </c>
    </row>
    <row r="711" spans="1:7">
      <c r="A711" s="440">
        <v>4700530653</v>
      </c>
      <c r="B711" s="440">
        <v>6100008492</v>
      </c>
      <c r="C711" s="440" t="s">
        <v>631</v>
      </c>
      <c r="D711" s="444">
        <v>44217</v>
      </c>
      <c r="E711" s="445">
        <v>1900</v>
      </c>
      <c r="F711" s="440">
        <v>1001010005</v>
      </c>
      <c r="G711" s="440" t="s">
        <v>632</v>
      </c>
    </row>
    <row r="712" spans="1:7">
      <c r="A712" s="440">
        <v>4700530653</v>
      </c>
      <c r="B712" s="440">
        <v>6100008492</v>
      </c>
      <c r="C712" s="440" t="s">
        <v>631</v>
      </c>
      <c r="D712" s="444">
        <v>44217</v>
      </c>
      <c r="E712" s="445">
        <v>11428</v>
      </c>
      <c r="F712" s="440">
        <v>1001010005</v>
      </c>
      <c r="G712" s="440" t="s">
        <v>632</v>
      </c>
    </row>
    <row r="713" spans="1:7">
      <c r="A713" s="440">
        <v>4700530653</v>
      </c>
      <c r="B713" s="440">
        <v>6100008492</v>
      </c>
      <c r="C713" s="440" t="s">
        <v>631</v>
      </c>
      <c r="D713" s="444">
        <v>44217</v>
      </c>
      <c r="E713" s="445">
        <v>35800</v>
      </c>
      <c r="F713" s="440">
        <v>1001010005</v>
      </c>
      <c r="G713" s="440" t="s">
        <v>632</v>
      </c>
    </row>
    <row r="714" spans="1:7">
      <c r="A714" s="440">
        <v>4700530653</v>
      </c>
      <c r="B714" s="440">
        <v>6100008492</v>
      </c>
      <c r="C714" s="440" t="s">
        <v>631</v>
      </c>
      <c r="D714" s="444">
        <v>44217</v>
      </c>
      <c r="E714" s="445">
        <v>21847</v>
      </c>
      <c r="F714" s="440">
        <v>1001010005</v>
      </c>
      <c r="G714" s="440" t="s">
        <v>632</v>
      </c>
    </row>
    <row r="715" spans="1:7">
      <c r="A715" s="440">
        <v>4700596102</v>
      </c>
      <c r="B715" s="440">
        <v>6100043764</v>
      </c>
      <c r="C715" s="440" t="s">
        <v>631</v>
      </c>
      <c r="D715" s="444">
        <v>44364</v>
      </c>
      <c r="E715" s="445">
        <v>11300</v>
      </c>
      <c r="F715" s="440">
        <v>1001010005</v>
      </c>
      <c r="G715" s="440" t="s">
        <v>632</v>
      </c>
    </row>
    <row r="716" spans="1:7">
      <c r="A716" s="440">
        <v>4700596102</v>
      </c>
      <c r="B716" s="440">
        <v>6100043764</v>
      </c>
      <c r="C716" s="440" t="s">
        <v>631</v>
      </c>
      <c r="D716" s="444">
        <v>44364</v>
      </c>
      <c r="E716" s="445">
        <v>6722</v>
      </c>
      <c r="F716" s="440">
        <v>1001010005</v>
      </c>
      <c r="G716" s="440" t="s">
        <v>632</v>
      </c>
    </row>
    <row r="717" spans="1:7">
      <c r="A717" s="440">
        <v>4700596102</v>
      </c>
      <c r="B717" s="440">
        <v>6100043764</v>
      </c>
      <c r="C717" s="440" t="s">
        <v>631</v>
      </c>
      <c r="D717" s="444">
        <v>44364</v>
      </c>
      <c r="E717" s="445">
        <v>2941</v>
      </c>
      <c r="F717" s="440">
        <v>1001010005</v>
      </c>
      <c r="G717" s="440" t="s">
        <v>632</v>
      </c>
    </row>
    <row r="718" spans="1:7">
      <c r="A718" s="440">
        <v>4700596102</v>
      </c>
      <c r="B718" s="440">
        <v>6100043764</v>
      </c>
      <c r="C718" s="440" t="s">
        <v>631</v>
      </c>
      <c r="D718" s="444">
        <v>44364</v>
      </c>
      <c r="E718" s="445">
        <v>5650</v>
      </c>
      <c r="F718" s="440">
        <v>1001010005</v>
      </c>
      <c r="G718" s="440" t="s">
        <v>632</v>
      </c>
    </row>
    <row r="719" spans="1:7">
      <c r="A719" s="440">
        <v>4700596102</v>
      </c>
      <c r="B719" s="440">
        <v>6100043764</v>
      </c>
      <c r="C719" s="440" t="s">
        <v>631</v>
      </c>
      <c r="D719" s="444">
        <v>44364</v>
      </c>
      <c r="E719" s="445">
        <v>8277</v>
      </c>
      <c r="F719" s="440">
        <v>1001010005</v>
      </c>
      <c r="G719" s="440" t="s">
        <v>632</v>
      </c>
    </row>
    <row r="720" spans="1:7">
      <c r="A720" s="440">
        <v>4700596102</v>
      </c>
      <c r="B720" s="440">
        <v>6100043764</v>
      </c>
      <c r="C720" s="440" t="s">
        <v>631</v>
      </c>
      <c r="D720" s="444">
        <v>44364</v>
      </c>
      <c r="E720" s="445">
        <v>2100</v>
      </c>
      <c r="F720" s="440">
        <v>1001010005</v>
      </c>
      <c r="G720" s="440" t="s">
        <v>632</v>
      </c>
    </row>
    <row r="721" spans="1:7">
      <c r="A721" s="440">
        <v>4700596102</v>
      </c>
      <c r="B721" s="440">
        <v>6100043764</v>
      </c>
      <c r="C721" s="440" t="s">
        <v>631</v>
      </c>
      <c r="D721" s="444">
        <v>44364</v>
      </c>
      <c r="E721" s="445">
        <v>2200</v>
      </c>
      <c r="F721" s="440">
        <v>1001010005</v>
      </c>
      <c r="G721" s="440" t="s">
        <v>632</v>
      </c>
    </row>
    <row r="722" spans="1:7">
      <c r="A722" s="440">
        <v>4700596102</v>
      </c>
      <c r="B722" s="440">
        <v>6100043764</v>
      </c>
      <c r="C722" s="440" t="s">
        <v>631</v>
      </c>
      <c r="D722" s="444">
        <v>44364</v>
      </c>
      <c r="E722" s="445">
        <v>32940</v>
      </c>
      <c r="F722" s="440">
        <v>1001010005</v>
      </c>
      <c r="G722" s="440" t="s">
        <v>632</v>
      </c>
    </row>
    <row r="723" spans="1:7">
      <c r="A723" s="440">
        <v>4700596102</v>
      </c>
      <c r="B723" s="440">
        <v>6100043764</v>
      </c>
      <c r="C723" s="440" t="s">
        <v>631</v>
      </c>
      <c r="D723" s="444">
        <v>44364</v>
      </c>
      <c r="E723" s="445">
        <v>9204</v>
      </c>
      <c r="F723" s="440">
        <v>1001010005</v>
      </c>
      <c r="G723" s="440" t="s">
        <v>632</v>
      </c>
    </row>
    <row r="724" spans="1:7">
      <c r="A724" s="440">
        <v>4700641541</v>
      </c>
      <c r="B724" s="440">
        <v>6100061264</v>
      </c>
      <c r="C724" s="440" t="s">
        <v>631</v>
      </c>
      <c r="D724" s="444">
        <v>44453</v>
      </c>
      <c r="E724" s="445">
        <v>18900</v>
      </c>
      <c r="F724" s="440">
        <v>1001010005</v>
      </c>
      <c r="G724" s="440" t="s">
        <v>632</v>
      </c>
    </row>
    <row r="725" spans="1:7">
      <c r="A725" s="440">
        <v>4700641541</v>
      </c>
      <c r="B725" s="440">
        <v>6100061264</v>
      </c>
      <c r="C725" s="440" t="s">
        <v>631</v>
      </c>
      <c r="D725" s="444">
        <v>44453</v>
      </c>
      <c r="E725" s="445">
        <v>6720</v>
      </c>
      <c r="F725" s="440">
        <v>1001010005</v>
      </c>
      <c r="G725" s="440" t="s">
        <v>632</v>
      </c>
    </row>
    <row r="726" spans="1:7">
      <c r="A726" s="440">
        <v>4700641541</v>
      </c>
      <c r="B726" s="440">
        <v>6100061264</v>
      </c>
      <c r="C726" s="440" t="s">
        <v>631</v>
      </c>
      <c r="D726" s="444">
        <v>44453</v>
      </c>
      <c r="E726" s="445">
        <v>2941</v>
      </c>
      <c r="F726" s="440">
        <v>1001010005</v>
      </c>
      <c r="G726" s="440" t="s">
        <v>632</v>
      </c>
    </row>
    <row r="727" spans="1:7">
      <c r="A727" s="440">
        <v>4700641541</v>
      </c>
      <c r="B727" s="440">
        <v>6100061264</v>
      </c>
      <c r="C727" s="440" t="s">
        <v>631</v>
      </c>
      <c r="D727" s="444">
        <v>44453</v>
      </c>
      <c r="E727" s="445">
        <v>8277</v>
      </c>
      <c r="F727" s="440">
        <v>1001010005</v>
      </c>
      <c r="G727" s="440" t="s">
        <v>632</v>
      </c>
    </row>
    <row r="728" spans="1:7">
      <c r="A728" s="440">
        <v>4700641541</v>
      </c>
      <c r="B728" s="440">
        <v>6100061264</v>
      </c>
      <c r="C728" s="440" t="s">
        <v>631</v>
      </c>
      <c r="D728" s="444">
        <v>44453</v>
      </c>
      <c r="E728" s="445">
        <v>2200</v>
      </c>
      <c r="F728" s="440">
        <v>1001010005</v>
      </c>
      <c r="G728" s="440" t="s">
        <v>632</v>
      </c>
    </row>
    <row r="729" spans="1:7">
      <c r="A729" s="440">
        <v>4700641541</v>
      </c>
      <c r="B729" s="440">
        <v>6100061264</v>
      </c>
      <c r="C729" s="440" t="s">
        <v>631</v>
      </c>
      <c r="D729" s="444">
        <v>44453</v>
      </c>
      <c r="E729" s="445">
        <v>35464</v>
      </c>
      <c r="F729" s="440">
        <v>1001010005</v>
      </c>
      <c r="G729" s="440" t="s">
        <v>632</v>
      </c>
    </row>
    <row r="730" spans="1:7">
      <c r="A730" s="440">
        <v>4700641541</v>
      </c>
      <c r="B730" s="440">
        <v>6100061264</v>
      </c>
      <c r="C730" s="440" t="s">
        <v>631</v>
      </c>
      <c r="D730" s="444">
        <v>44453</v>
      </c>
      <c r="E730" s="445">
        <v>23823</v>
      </c>
      <c r="F730" s="440">
        <v>1001010005</v>
      </c>
      <c r="G730" s="440" t="s">
        <v>632</v>
      </c>
    </row>
    <row r="731" spans="1:7">
      <c r="A731" s="440">
        <v>4700641541</v>
      </c>
      <c r="B731" s="440">
        <v>6100061264</v>
      </c>
      <c r="C731" s="440" t="s">
        <v>631</v>
      </c>
      <c r="D731" s="444">
        <v>44453</v>
      </c>
      <c r="E731" s="445">
        <v>2050</v>
      </c>
      <c r="F731" s="440">
        <v>1001010005</v>
      </c>
      <c r="G731" s="440" t="s">
        <v>632</v>
      </c>
    </row>
    <row r="732" spans="1:7">
      <c r="A732" s="440">
        <v>4700641541</v>
      </c>
      <c r="B732" s="440">
        <v>6100061264</v>
      </c>
      <c r="C732" s="440" t="s">
        <v>631</v>
      </c>
      <c r="D732" s="444">
        <v>44453</v>
      </c>
      <c r="E732" s="445">
        <v>4000</v>
      </c>
      <c r="F732" s="440">
        <v>1001010005</v>
      </c>
      <c r="G732" s="440" t="s">
        <v>632</v>
      </c>
    </row>
    <row r="733" spans="1:7">
      <c r="A733" s="440">
        <v>4700641541</v>
      </c>
      <c r="B733" s="440">
        <v>6100061264</v>
      </c>
      <c r="C733" s="440" t="s">
        <v>631</v>
      </c>
      <c r="D733" s="444">
        <v>44453</v>
      </c>
      <c r="E733" s="445">
        <v>8404</v>
      </c>
      <c r="F733" s="440">
        <v>1001010005</v>
      </c>
      <c r="G733" s="440" t="s">
        <v>632</v>
      </c>
    </row>
    <row r="734" spans="1:7">
      <c r="A734" s="440">
        <v>4700641541</v>
      </c>
      <c r="B734" s="440">
        <v>6100061264</v>
      </c>
      <c r="C734" s="440" t="s">
        <v>631</v>
      </c>
      <c r="D734" s="444">
        <v>44453</v>
      </c>
      <c r="E734" s="445">
        <v>1750</v>
      </c>
      <c r="F734" s="440">
        <v>1001010005</v>
      </c>
      <c r="G734" s="440" t="s">
        <v>632</v>
      </c>
    </row>
    <row r="735" spans="1:7">
      <c r="A735" s="440">
        <v>4700641541</v>
      </c>
      <c r="B735" s="440">
        <v>6100061264</v>
      </c>
      <c r="C735" s="440" t="s">
        <v>631</v>
      </c>
      <c r="D735" s="444">
        <v>44453</v>
      </c>
      <c r="E735" s="445">
        <v>3900</v>
      </c>
      <c r="F735" s="440">
        <v>1001010005</v>
      </c>
      <c r="G735" s="440" t="s">
        <v>632</v>
      </c>
    </row>
    <row r="736" spans="1:7">
      <c r="A736" s="440">
        <v>4700641541</v>
      </c>
      <c r="B736" s="440">
        <v>6100061264</v>
      </c>
      <c r="C736" s="440" t="s">
        <v>631</v>
      </c>
      <c r="D736" s="444">
        <v>44453</v>
      </c>
      <c r="E736" s="445">
        <v>3900</v>
      </c>
      <c r="F736" s="440">
        <v>1001010005</v>
      </c>
      <c r="G736" s="440" t="s">
        <v>632</v>
      </c>
    </row>
    <row r="737" spans="1:7">
      <c r="A737" s="440">
        <v>4700641541</v>
      </c>
      <c r="B737" s="440">
        <v>6100061264</v>
      </c>
      <c r="C737" s="440" t="s">
        <v>631</v>
      </c>
      <c r="D737" s="444">
        <v>44453</v>
      </c>
      <c r="E737" s="445">
        <v>12604</v>
      </c>
      <c r="F737" s="440">
        <v>1001010005</v>
      </c>
      <c r="G737" s="440" t="s">
        <v>632</v>
      </c>
    </row>
    <row r="738" spans="1:7">
      <c r="A738" s="440">
        <v>4700641541</v>
      </c>
      <c r="B738" s="440">
        <v>6100061264</v>
      </c>
      <c r="C738" s="440" t="s">
        <v>631</v>
      </c>
      <c r="D738" s="444">
        <v>44453</v>
      </c>
      <c r="E738" s="445">
        <v>23532</v>
      </c>
      <c r="F738" s="440">
        <v>1001010005</v>
      </c>
      <c r="G738" s="440" t="s">
        <v>632</v>
      </c>
    </row>
    <row r="739" spans="1:7">
      <c r="A739" s="440">
        <v>4700641541</v>
      </c>
      <c r="B739" s="440">
        <v>6100061264</v>
      </c>
      <c r="C739" s="440" t="s">
        <v>631</v>
      </c>
      <c r="D739" s="444">
        <v>44453</v>
      </c>
      <c r="E739" s="445">
        <v>10400</v>
      </c>
      <c r="F739" s="440">
        <v>1001010005</v>
      </c>
      <c r="G739" s="440" t="s">
        <v>632</v>
      </c>
    </row>
    <row r="740" spans="1:7">
      <c r="A740" s="440">
        <v>4700688689</v>
      </c>
      <c r="B740" s="440">
        <v>6100094988</v>
      </c>
      <c r="C740" s="440" t="s">
        <v>631</v>
      </c>
      <c r="D740" s="444">
        <v>44547</v>
      </c>
      <c r="E740" s="445">
        <v>17394</v>
      </c>
      <c r="F740" s="440">
        <v>1001010005</v>
      </c>
      <c r="G740" s="440" t="s">
        <v>632</v>
      </c>
    </row>
    <row r="741" spans="1:7">
      <c r="A741" s="440">
        <v>4700688689</v>
      </c>
      <c r="B741" s="440">
        <v>6100094988</v>
      </c>
      <c r="C741" s="440" t="s">
        <v>631</v>
      </c>
      <c r="D741" s="444">
        <v>44547</v>
      </c>
      <c r="E741" s="445">
        <v>18900</v>
      </c>
      <c r="F741" s="440">
        <v>1001010005</v>
      </c>
      <c r="G741" s="440" t="s">
        <v>632</v>
      </c>
    </row>
    <row r="742" spans="1:7">
      <c r="A742" s="440">
        <v>4700688689</v>
      </c>
      <c r="B742" s="440">
        <v>6100094988</v>
      </c>
      <c r="C742" s="440" t="s">
        <v>631</v>
      </c>
      <c r="D742" s="444">
        <v>44547</v>
      </c>
      <c r="E742" s="445">
        <v>13444</v>
      </c>
      <c r="F742" s="440">
        <v>1001010005</v>
      </c>
      <c r="G742" s="440" t="s">
        <v>632</v>
      </c>
    </row>
    <row r="743" spans="1:7">
      <c r="A743" s="440">
        <v>4700688689</v>
      </c>
      <c r="B743" s="440">
        <v>6100094988</v>
      </c>
      <c r="C743" s="440" t="s">
        <v>631</v>
      </c>
      <c r="D743" s="444">
        <v>44547</v>
      </c>
      <c r="E743" s="445">
        <v>5882</v>
      </c>
      <c r="F743" s="440">
        <v>1001010005</v>
      </c>
      <c r="G743" s="440" t="s">
        <v>632</v>
      </c>
    </row>
    <row r="744" spans="1:7">
      <c r="A744" s="440">
        <v>4700688689</v>
      </c>
      <c r="B744" s="440">
        <v>6100094988</v>
      </c>
      <c r="C744" s="440" t="s">
        <v>631</v>
      </c>
      <c r="D744" s="444">
        <v>44547</v>
      </c>
      <c r="E744" s="445">
        <v>20800</v>
      </c>
      <c r="F744" s="440">
        <v>1001010005</v>
      </c>
      <c r="G744" s="440" t="s">
        <v>632</v>
      </c>
    </row>
    <row r="745" spans="1:7">
      <c r="A745" s="440">
        <v>4700688689</v>
      </c>
      <c r="B745" s="440">
        <v>6100094988</v>
      </c>
      <c r="C745" s="440" t="s">
        <v>631</v>
      </c>
      <c r="D745" s="444">
        <v>44547</v>
      </c>
      <c r="E745" s="445">
        <v>3025</v>
      </c>
      <c r="F745" s="440">
        <v>1001010005</v>
      </c>
      <c r="G745" s="440" t="s">
        <v>632</v>
      </c>
    </row>
    <row r="746" spans="1:7">
      <c r="A746" s="440">
        <v>4700688689</v>
      </c>
      <c r="B746" s="440">
        <v>6100094988</v>
      </c>
      <c r="C746" s="440" t="s">
        <v>631</v>
      </c>
      <c r="D746" s="444">
        <v>44547</v>
      </c>
      <c r="E746" s="445">
        <v>8824</v>
      </c>
      <c r="F746" s="440">
        <v>1001010005</v>
      </c>
      <c r="G746" s="440" t="s">
        <v>632</v>
      </c>
    </row>
    <row r="747" spans="1:7">
      <c r="A747" s="440">
        <v>4700688689</v>
      </c>
      <c r="B747" s="440">
        <v>6100094988</v>
      </c>
      <c r="C747" s="440" t="s">
        <v>631</v>
      </c>
      <c r="D747" s="444">
        <v>44547</v>
      </c>
      <c r="E747" s="445">
        <v>1800</v>
      </c>
      <c r="F747" s="440">
        <v>1001010005</v>
      </c>
      <c r="G747" s="440" t="s">
        <v>632</v>
      </c>
    </row>
    <row r="748" spans="1:7">
      <c r="A748" s="440">
        <v>4700688689</v>
      </c>
      <c r="B748" s="440">
        <v>6100094988</v>
      </c>
      <c r="C748" s="440" t="s">
        <v>631</v>
      </c>
      <c r="D748" s="444">
        <v>44547</v>
      </c>
      <c r="E748" s="445">
        <v>10800</v>
      </c>
      <c r="F748" s="440">
        <v>1001010005</v>
      </c>
      <c r="G748" s="440" t="s">
        <v>632</v>
      </c>
    </row>
    <row r="749" spans="1:7">
      <c r="A749" s="440">
        <v>4700688689</v>
      </c>
      <c r="B749" s="440">
        <v>6100094988</v>
      </c>
      <c r="C749" s="440" t="s">
        <v>631</v>
      </c>
      <c r="D749" s="444">
        <v>44547</v>
      </c>
      <c r="E749" s="445">
        <v>12200</v>
      </c>
      <c r="F749" s="440">
        <v>1001010005</v>
      </c>
      <c r="G749" s="440" t="s">
        <v>632</v>
      </c>
    </row>
    <row r="750" spans="1:7">
      <c r="A750" s="440">
        <v>4700688689</v>
      </c>
      <c r="B750" s="440">
        <v>6100094988</v>
      </c>
      <c r="C750" s="440" t="s">
        <v>631</v>
      </c>
      <c r="D750" s="444">
        <v>44547</v>
      </c>
      <c r="E750" s="445">
        <v>47646</v>
      </c>
      <c r="F750" s="440">
        <v>1001010005</v>
      </c>
      <c r="G750" s="440" t="s">
        <v>632</v>
      </c>
    </row>
    <row r="751" spans="1:7">
      <c r="A751" s="440">
        <v>4700688689</v>
      </c>
      <c r="B751" s="440">
        <v>6100094988</v>
      </c>
      <c r="C751" s="440" t="s">
        <v>631</v>
      </c>
      <c r="D751" s="444">
        <v>44547</v>
      </c>
      <c r="E751" s="445">
        <v>21852</v>
      </c>
      <c r="F751" s="440">
        <v>1001010005</v>
      </c>
      <c r="G751" s="440" t="s">
        <v>632</v>
      </c>
    </row>
    <row r="752" spans="1:7">
      <c r="A752" s="440">
        <v>4700688689</v>
      </c>
      <c r="B752" s="440">
        <v>6100094988</v>
      </c>
      <c r="C752" s="440" t="s">
        <v>631</v>
      </c>
      <c r="D752" s="444">
        <v>44547</v>
      </c>
      <c r="E752" s="445">
        <v>23529</v>
      </c>
      <c r="F752" s="440">
        <v>1001010005</v>
      </c>
      <c r="G752" s="440" t="s">
        <v>632</v>
      </c>
    </row>
    <row r="753" spans="1:7">
      <c r="A753" s="440">
        <v>4700376562</v>
      </c>
      <c r="B753" s="440">
        <v>6100002346</v>
      </c>
      <c r="C753" s="440" t="s">
        <v>631</v>
      </c>
      <c r="D753" s="444">
        <v>43839</v>
      </c>
      <c r="E753" s="445">
        <v>8740</v>
      </c>
      <c r="F753" s="440">
        <v>1001010006</v>
      </c>
      <c r="G753" s="440" t="s">
        <v>632</v>
      </c>
    </row>
    <row r="754" spans="1:7">
      <c r="A754" s="440">
        <v>4700394704</v>
      </c>
      <c r="B754" s="440">
        <v>6100014407</v>
      </c>
      <c r="C754" s="440" t="s">
        <v>631</v>
      </c>
      <c r="D754" s="444">
        <v>43875</v>
      </c>
      <c r="E754" s="445">
        <v>9246</v>
      </c>
      <c r="F754" s="440">
        <v>1001010006</v>
      </c>
      <c r="G754" s="440" t="s">
        <v>632</v>
      </c>
    </row>
    <row r="755" spans="1:7">
      <c r="A755" s="440">
        <v>4700394704</v>
      </c>
      <c r="B755" s="440">
        <v>6100014407</v>
      </c>
      <c r="C755" s="440" t="s">
        <v>631</v>
      </c>
      <c r="D755" s="444">
        <v>43875</v>
      </c>
      <c r="E755" s="445">
        <v>14116</v>
      </c>
      <c r="F755" s="440">
        <v>1001010006</v>
      </c>
      <c r="G755" s="440" t="s">
        <v>632</v>
      </c>
    </row>
    <row r="756" spans="1:7">
      <c r="A756" s="440">
        <v>4700410650</v>
      </c>
      <c r="B756" s="440">
        <v>6100024614</v>
      </c>
      <c r="C756" s="440" t="s">
        <v>631</v>
      </c>
      <c r="D756" s="444">
        <v>43905</v>
      </c>
      <c r="E756" s="445">
        <v>17480</v>
      </c>
      <c r="F756" s="440">
        <v>1001010006</v>
      </c>
      <c r="G756" s="440" t="s">
        <v>632</v>
      </c>
    </row>
    <row r="757" spans="1:7">
      <c r="A757" s="440">
        <v>4700410650</v>
      </c>
      <c r="B757" s="440">
        <v>6100024614</v>
      </c>
      <c r="C757" s="440" t="s">
        <v>631</v>
      </c>
      <c r="D757" s="444">
        <v>43905</v>
      </c>
      <c r="E757" s="445">
        <v>11008</v>
      </c>
      <c r="F757" s="440">
        <v>1001010006</v>
      </c>
      <c r="G757" s="440" t="s">
        <v>632</v>
      </c>
    </row>
    <row r="758" spans="1:7">
      <c r="A758" s="440">
        <v>4700410650</v>
      </c>
      <c r="B758" s="440">
        <v>6100024614</v>
      </c>
      <c r="C758" s="440" t="s">
        <v>631</v>
      </c>
      <c r="D758" s="444">
        <v>43905</v>
      </c>
      <c r="E758" s="445">
        <v>5714</v>
      </c>
      <c r="F758" s="440">
        <v>1001010006</v>
      </c>
      <c r="G758" s="440" t="s">
        <v>632</v>
      </c>
    </row>
    <row r="759" spans="1:7">
      <c r="A759" s="440">
        <v>4700410650</v>
      </c>
      <c r="B759" s="440">
        <v>6100024614</v>
      </c>
      <c r="C759" s="440" t="s">
        <v>631</v>
      </c>
      <c r="D759" s="444">
        <v>43905</v>
      </c>
      <c r="E759" s="445">
        <v>5167</v>
      </c>
      <c r="F759" s="440">
        <v>1001010006</v>
      </c>
      <c r="G759" s="440" t="s">
        <v>632</v>
      </c>
    </row>
    <row r="760" spans="1:7">
      <c r="A760" s="440">
        <v>4700425157</v>
      </c>
      <c r="B760" s="440">
        <v>6100049371</v>
      </c>
      <c r="C760" s="440" t="s">
        <v>631</v>
      </c>
      <c r="D760" s="444">
        <v>43973</v>
      </c>
      <c r="E760" s="445">
        <v>14116</v>
      </c>
      <c r="F760" s="440">
        <v>1001010006</v>
      </c>
      <c r="G760" s="440" t="s">
        <v>632</v>
      </c>
    </row>
    <row r="761" spans="1:7">
      <c r="A761" s="440">
        <v>4700425157</v>
      </c>
      <c r="B761" s="440">
        <v>6100049371</v>
      </c>
      <c r="C761" s="440" t="s">
        <v>631</v>
      </c>
      <c r="D761" s="444">
        <v>43973</v>
      </c>
      <c r="E761" s="445">
        <v>11010</v>
      </c>
      <c r="F761" s="440">
        <v>1001010006</v>
      </c>
      <c r="G761" s="440" t="s">
        <v>632</v>
      </c>
    </row>
    <row r="762" spans="1:7">
      <c r="A762" s="440">
        <v>4700425157</v>
      </c>
      <c r="B762" s="440">
        <v>6100049371</v>
      </c>
      <c r="C762" s="440" t="s">
        <v>631</v>
      </c>
      <c r="D762" s="444">
        <v>43973</v>
      </c>
      <c r="E762" s="445">
        <v>11000</v>
      </c>
      <c r="F762" s="440">
        <v>1001010006</v>
      </c>
      <c r="G762" s="440" t="s">
        <v>632</v>
      </c>
    </row>
    <row r="763" spans="1:7">
      <c r="A763" s="440">
        <v>4700425157</v>
      </c>
      <c r="B763" s="440">
        <v>6100049371</v>
      </c>
      <c r="C763" s="440" t="s">
        <v>631</v>
      </c>
      <c r="D763" s="444">
        <v>43973</v>
      </c>
      <c r="E763" s="445">
        <v>5100</v>
      </c>
      <c r="F763" s="440">
        <v>1001010006</v>
      </c>
      <c r="G763" s="440" t="s">
        <v>632</v>
      </c>
    </row>
    <row r="764" spans="1:7">
      <c r="A764" s="440">
        <v>4700435289</v>
      </c>
      <c r="B764" s="440">
        <v>6100057596</v>
      </c>
      <c r="C764" s="440" t="s">
        <v>631</v>
      </c>
      <c r="D764" s="444">
        <v>44000</v>
      </c>
      <c r="E764" s="445">
        <v>1764</v>
      </c>
      <c r="F764" s="440">
        <v>1001010006</v>
      </c>
      <c r="G764" s="440" t="s">
        <v>632</v>
      </c>
    </row>
    <row r="765" spans="1:7">
      <c r="A765" s="440">
        <v>4700435289</v>
      </c>
      <c r="B765" s="440">
        <v>6100057596</v>
      </c>
      <c r="C765" s="440" t="s">
        <v>631</v>
      </c>
      <c r="D765" s="444">
        <v>44000</v>
      </c>
      <c r="E765" s="445">
        <v>2050</v>
      </c>
      <c r="F765" s="440">
        <v>1001010006</v>
      </c>
      <c r="G765" s="440" t="s">
        <v>632</v>
      </c>
    </row>
    <row r="766" spans="1:7">
      <c r="A766" s="440">
        <v>4700435289</v>
      </c>
      <c r="B766" s="440">
        <v>6100057596</v>
      </c>
      <c r="C766" s="440" t="s">
        <v>631</v>
      </c>
      <c r="D766" s="444">
        <v>44000</v>
      </c>
      <c r="E766" s="445">
        <v>12520</v>
      </c>
      <c r="F766" s="440">
        <v>1001010006</v>
      </c>
      <c r="G766" s="440" t="s">
        <v>632</v>
      </c>
    </row>
    <row r="767" spans="1:7">
      <c r="A767" s="440">
        <v>4700435289</v>
      </c>
      <c r="B767" s="440">
        <v>6100057596</v>
      </c>
      <c r="C767" s="440" t="s">
        <v>631</v>
      </c>
      <c r="D767" s="444">
        <v>44000</v>
      </c>
      <c r="E767" s="445">
        <v>9500</v>
      </c>
      <c r="F767" s="440">
        <v>1001010006</v>
      </c>
      <c r="G767" s="440" t="s">
        <v>632</v>
      </c>
    </row>
    <row r="768" spans="1:7">
      <c r="A768" s="440">
        <v>4700435289</v>
      </c>
      <c r="B768" s="440">
        <v>6100057596</v>
      </c>
      <c r="C768" s="440" t="s">
        <v>631</v>
      </c>
      <c r="D768" s="444">
        <v>44000</v>
      </c>
      <c r="E768" s="445">
        <v>17312</v>
      </c>
      <c r="F768" s="440">
        <v>1001010006</v>
      </c>
      <c r="G768" s="440" t="s">
        <v>632</v>
      </c>
    </row>
    <row r="769" spans="1:7">
      <c r="A769" s="440">
        <v>4700435289</v>
      </c>
      <c r="B769" s="440">
        <v>6100057596</v>
      </c>
      <c r="C769" s="440" t="s">
        <v>631</v>
      </c>
      <c r="D769" s="444">
        <v>44000</v>
      </c>
      <c r="E769" s="445">
        <v>11976</v>
      </c>
      <c r="F769" s="440">
        <v>1001010006</v>
      </c>
      <c r="G769" s="440" t="s">
        <v>632</v>
      </c>
    </row>
    <row r="770" spans="1:7">
      <c r="A770" s="440">
        <v>4700435289</v>
      </c>
      <c r="B770" s="440">
        <v>6100057596</v>
      </c>
      <c r="C770" s="440" t="s">
        <v>631</v>
      </c>
      <c r="D770" s="444">
        <v>44000</v>
      </c>
      <c r="E770" s="445">
        <v>3300</v>
      </c>
      <c r="F770" s="440">
        <v>1001010006</v>
      </c>
      <c r="G770" s="440" t="s">
        <v>632</v>
      </c>
    </row>
    <row r="771" spans="1:7">
      <c r="A771" s="440">
        <v>4700435289</v>
      </c>
      <c r="B771" s="440">
        <v>6100057596</v>
      </c>
      <c r="C771" s="440" t="s">
        <v>631</v>
      </c>
      <c r="D771" s="444">
        <v>44000</v>
      </c>
      <c r="E771" s="445">
        <v>2521</v>
      </c>
      <c r="F771" s="440">
        <v>1001010006</v>
      </c>
      <c r="G771" s="440" t="s">
        <v>632</v>
      </c>
    </row>
    <row r="772" spans="1:7">
      <c r="A772" s="440">
        <v>4700435289</v>
      </c>
      <c r="B772" s="440">
        <v>6100057596</v>
      </c>
      <c r="C772" s="440" t="s">
        <v>631</v>
      </c>
      <c r="D772" s="444">
        <v>44000</v>
      </c>
      <c r="E772" s="445">
        <v>9500</v>
      </c>
      <c r="F772" s="440">
        <v>1001010006</v>
      </c>
      <c r="G772" s="440" t="s">
        <v>632</v>
      </c>
    </row>
    <row r="773" spans="1:7">
      <c r="A773" s="440">
        <v>4700435304</v>
      </c>
      <c r="B773" s="440">
        <v>6100057597</v>
      </c>
      <c r="C773" s="440" t="s">
        <v>631</v>
      </c>
      <c r="D773" s="444">
        <v>44000</v>
      </c>
      <c r="E773" s="445">
        <v>7300</v>
      </c>
      <c r="F773" s="440">
        <v>1001010006</v>
      </c>
      <c r="G773" s="440" t="s">
        <v>632</v>
      </c>
    </row>
    <row r="774" spans="1:7">
      <c r="A774" s="440">
        <v>4700445821</v>
      </c>
      <c r="B774" s="440">
        <v>6100064396</v>
      </c>
      <c r="C774" s="440" t="s">
        <v>631</v>
      </c>
      <c r="D774" s="444">
        <v>44028</v>
      </c>
      <c r="E774" s="445">
        <v>6399</v>
      </c>
      <c r="F774" s="440">
        <v>1001010006</v>
      </c>
      <c r="G774" s="440" t="s">
        <v>632</v>
      </c>
    </row>
    <row r="775" spans="1:7">
      <c r="A775" s="440">
        <v>4700445821</v>
      </c>
      <c r="B775" s="440">
        <v>6100064396</v>
      </c>
      <c r="C775" s="440" t="s">
        <v>631</v>
      </c>
      <c r="D775" s="444">
        <v>44028</v>
      </c>
      <c r="E775" s="445">
        <v>35800</v>
      </c>
      <c r="F775" s="440">
        <v>1001010006</v>
      </c>
      <c r="G775" s="440" t="s">
        <v>632</v>
      </c>
    </row>
    <row r="776" spans="1:7">
      <c r="A776" s="440">
        <v>4700445821</v>
      </c>
      <c r="B776" s="440">
        <v>6100064396</v>
      </c>
      <c r="C776" s="440" t="s">
        <v>631</v>
      </c>
      <c r="D776" s="444">
        <v>44028</v>
      </c>
      <c r="E776" s="445">
        <v>23600</v>
      </c>
      <c r="F776" s="440">
        <v>1001010006</v>
      </c>
      <c r="G776" s="440" t="s">
        <v>632</v>
      </c>
    </row>
    <row r="777" spans="1:7">
      <c r="A777" s="440">
        <v>4700445821</v>
      </c>
      <c r="B777" s="440">
        <v>6100064396</v>
      </c>
      <c r="C777" s="440" t="s">
        <v>631</v>
      </c>
      <c r="D777" s="444">
        <v>44028</v>
      </c>
      <c r="E777" s="445">
        <v>15966</v>
      </c>
      <c r="F777" s="440">
        <v>1001010006</v>
      </c>
      <c r="G777" s="440" t="s">
        <v>632</v>
      </c>
    </row>
    <row r="778" spans="1:7">
      <c r="A778" s="440">
        <v>4700445821</v>
      </c>
      <c r="B778" s="440">
        <v>6100064396</v>
      </c>
      <c r="C778" s="440" t="s">
        <v>631</v>
      </c>
      <c r="D778" s="444">
        <v>44028</v>
      </c>
      <c r="E778" s="445">
        <v>5100</v>
      </c>
      <c r="F778" s="440">
        <v>1001010006</v>
      </c>
      <c r="G778" s="440" t="s">
        <v>632</v>
      </c>
    </row>
    <row r="779" spans="1:7">
      <c r="A779" s="440">
        <v>4700445821</v>
      </c>
      <c r="B779" s="440">
        <v>6100064396</v>
      </c>
      <c r="C779" s="440" t="s">
        <v>631</v>
      </c>
      <c r="D779" s="444">
        <v>44028</v>
      </c>
      <c r="E779" s="445">
        <v>4300</v>
      </c>
      <c r="F779" s="440">
        <v>1001010006</v>
      </c>
      <c r="G779" s="440" t="s">
        <v>632</v>
      </c>
    </row>
    <row r="780" spans="1:7">
      <c r="A780" s="440">
        <v>4700445821</v>
      </c>
      <c r="B780" s="440">
        <v>6100064413</v>
      </c>
      <c r="C780" s="440" t="s">
        <v>631</v>
      </c>
      <c r="D780" s="444">
        <v>44028</v>
      </c>
      <c r="E780" s="445">
        <v>-6399</v>
      </c>
      <c r="F780" s="440">
        <v>1001010006</v>
      </c>
      <c r="G780" s="440" t="s">
        <v>632</v>
      </c>
    </row>
    <row r="781" spans="1:7">
      <c r="A781" s="440">
        <v>4700445821</v>
      </c>
      <c r="B781" s="440">
        <v>6100064413</v>
      </c>
      <c r="C781" s="440" t="s">
        <v>631</v>
      </c>
      <c r="D781" s="444">
        <v>44028</v>
      </c>
      <c r="E781" s="445">
        <v>-35800</v>
      </c>
      <c r="F781" s="440">
        <v>1001010006</v>
      </c>
      <c r="G781" s="440" t="s">
        <v>632</v>
      </c>
    </row>
    <row r="782" spans="1:7">
      <c r="A782" s="440">
        <v>4700445821</v>
      </c>
      <c r="B782" s="440">
        <v>6100064413</v>
      </c>
      <c r="C782" s="440" t="s">
        <v>631</v>
      </c>
      <c r="D782" s="444">
        <v>44028</v>
      </c>
      <c r="E782" s="445">
        <v>-23600</v>
      </c>
      <c r="F782" s="440">
        <v>1001010006</v>
      </c>
      <c r="G782" s="440" t="s">
        <v>632</v>
      </c>
    </row>
    <row r="783" spans="1:7">
      <c r="A783" s="440">
        <v>4700445821</v>
      </c>
      <c r="B783" s="440">
        <v>6100064413</v>
      </c>
      <c r="C783" s="440" t="s">
        <v>631</v>
      </c>
      <c r="D783" s="444">
        <v>44028</v>
      </c>
      <c r="E783" s="445">
        <v>-15966</v>
      </c>
      <c r="F783" s="440">
        <v>1001010006</v>
      </c>
      <c r="G783" s="440" t="s">
        <v>632</v>
      </c>
    </row>
    <row r="784" spans="1:7">
      <c r="A784" s="440">
        <v>4700445821</v>
      </c>
      <c r="B784" s="440">
        <v>6100064413</v>
      </c>
      <c r="C784" s="440" t="s">
        <v>631</v>
      </c>
      <c r="D784" s="444">
        <v>44028</v>
      </c>
      <c r="E784" s="445">
        <v>-5100</v>
      </c>
      <c r="F784" s="440">
        <v>1001010006</v>
      </c>
      <c r="G784" s="440" t="s">
        <v>632</v>
      </c>
    </row>
    <row r="785" spans="1:7">
      <c r="A785" s="440">
        <v>4700445821</v>
      </c>
      <c r="B785" s="440">
        <v>6100064413</v>
      </c>
      <c r="C785" s="440" t="s">
        <v>631</v>
      </c>
      <c r="D785" s="444">
        <v>44028</v>
      </c>
      <c r="E785" s="445">
        <v>-4300</v>
      </c>
      <c r="F785" s="440">
        <v>1001010006</v>
      </c>
      <c r="G785" s="440" t="s">
        <v>632</v>
      </c>
    </row>
    <row r="786" spans="1:7">
      <c r="A786" s="440">
        <v>4700459592</v>
      </c>
      <c r="B786" s="440">
        <v>6100072926</v>
      </c>
      <c r="C786" s="440" t="s">
        <v>631</v>
      </c>
      <c r="D786" s="444">
        <v>44063</v>
      </c>
      <c r="E786" s="445">
        <v>22016</v>
      </c>
      <c r="F786" s="440">
        <v>1001010006</v>
      </c>
      <c r="G786" s="440" t="s">
        <v>632</v>
      </c>
    </row>
    <row r="787" spans="1:7">
      <c r="A787" s="440">
        <v>4700459592</v>
      </c>
      <c r="B787" s="440">
        <v>6100072926</v>
      </c>
      <c r="C787" s="440" t="s">
        <v>631</v>
      </c>
      <c r="D787" s="444">
        <v>44063</v>
      </c>
      <c r="E787" s="445">
        <v>14600</v>
      </c>
      <c r="F787" s="440">
        <v>1001010006</v>
      </c>
      <c r="G787" s="440" t="s">
        <v>632</v>
      </c>
    </row>
    <row r="788" spans="1:7">
      <c r="A788" s="440">
        <v>4700459592</v>
      </c>
      <c r="B788" s="440">
        <v>6100072926</v>
      </c>
      <c r="C788" s="440" t="s">
        <v>631</v>
      </c>
      <c r="D788" s="444">
        <v>44063</v>
      </c>
      <c r="E788" s="445">
        <v>21849</v>
      </c>
      <c r="F788" s="440">
        <v>1001010006</v>
      </c>
      <c r="G788" s="440" t="s">
        <v>632</v>
      </c>
    </row>
    <row r="789" spans="1:7">
      <c r="A789" s="440">
        <v>4700459592</v>
      </c>
      <c r="B789" s="440">
        <v>6100072926</v>
      </c>
      <c r="C789" s="440" t="s">
        <v>631</v>
      </c>
      <c r="D789" s="444">
        <v>44063</v>
      </c>
      <c r="E789" s="445">
        <v>5799</v>
      </c>
      <c r="F789" s="440">
        <v>1001010006</v>
      </c>
      <c r="G789" s="440" t="s">
        <v>632</v>
      </c>
    </row>
    <row r="790" spans="1:7">
      <c r="A790" s="440">
        <v>4700459592</v>
      </c>
      <c r="B790" s="440">
        <v>6100072926</v>
      </c>
      <c r="C790" s="440" t="s">
        <v>631</v>
      </c>
      <c r="D790" s="444">
        <v>44063</v>
      </c>
      <c r="E790" s="445">
        <v>2050</v>
      </c>
      <c r="F790" s="440">
        <v>1001010006</v>
      </c>
      <c r="G790" s="440" t="s">
        <v>632</v>
      </c>
    </row>
    <row r="791" spans="1:7">
      <c r="A791" s="440">
        <v>4700459592</v>
      </c>
      <c r="B791" s="440">
        <v>6100072926</v>
      </c>
      <c r="C791" s="440" t="s">
        <v>631</v>
      </c>
      <c r="D791" s="444">
        <v>44063</v>
      </c>
      <c r="E791" s="445">
        <v>1700</v>
      </c>
      <c r="F791" s="440">
        <v>1001010006</v>
      </c>
      <c r="G791" s="440" t="s">
        <v>632</v>
      </c>
    </row>
    <row r="792" spans="1:7">
      <c r="A792" s="440">
        <v>4700459592</v>
      </c>
      <c r="B792" s="440">
        <v>6100072926</v>
      </c>
      <c r="C792" s="440" t="s">
        <v>631</v>
      </c>
      <c r="D792" s="444">
        <v>44063</v>
      </c>
      <c r="E792" s="445">
        <v>23600</v>
      </c>
      <c r="F792" s="440">
        <v>1001010006</v>
      </c>
      <c r="G792" s="440" t="s">
        <v>632</v>
      </c>
    </row>
    <row r="793" spans="1:7">
      <c r="A793" s="440">
        <v>4700475434</v>
      </c>
      <c r="B793" s="440">
        <v>6100084566</v>
      </c>
      <c r="C793" s="440" t="s">
        <v>631</v>
      </c>
      <c r="D793" s="444">
        <v>44095</v>
      </c>
      <c r="E793" s="445">
        <v>10587</v>
      </c>
      <c r="F793" s="440">
        <v>1001010006</v>
      </c>
      <c r="G793" s="440" t="s">
        <v>632</v>
      </c>
    </row>
    <row r="794" spans="1:7">
      <c r="A794" s="440">
        <v>4700475434</v>
      </c>
      <c r="B794" s="440">
        <v>6100084566</v>
      </c>
      <c r="C794" s="440" t="s">
        <v>631</v>
      </c>
      <c r="D794" s="444">
        <v>44095</v>
      </c>
      <c r="E794" s="445">
        <v>11008</v>
      </c>
      <c r="F794" s="440">
        <v>1001010006</v>
      </c>
      <c r="G794" s="440" t="s">
        <v>632</v>
      </c>
    </row>
    <row r="795" spans="1:7">
      <c r="A795" s="440">
        <v>4700475434</v>
      </c>
      <c r="B795" s="440">
        <v>6100084566</v>
      </c>
      <c r="C795" s="440" t="s">
        <v>631</v>
      </c>
      <c r="D795" s="444">
        <v>44095</v>
      </c>
      <c r="E795" s="445">
        <v>4917</v>
      </c>
      <c r="F795" s="440">
        <v>1001010006</v>
      </c>
      <c r="G795" s="440" t="s">
        <v>632</v>
      </c>
    </row>
    <row r="796" spans="1:7">
      <c r="A796" s="440">
        <v>4700475434</v>
      </c>
      <c r="B796" s="440">
        <v>6100084566</v>
      </c>
      <c r="C796" s="440" t="s">
        <v>631</v>
      </c>
      <c r="D796" s="444">
        <v>44095</v>
      </c>
      <c r="E796" s="445">
        <v>1700</v>
      </c>
      <c r="F796" s="440">
        <v>1001010006</v>
      </c>
      <c r="G796" s="440" t="s">
        <v>632</v>
      </c>
    </row>
    <row r="797" spans="1:7">
      <c r="A797" s="440">
        <v>4700491555</v>
      </c>
      <c r="B797" s="440">
        <v>6100104740</v>
      </c>
      <c r="C797" s="440" t="s">
        <v>631</v>
      </c>
      <c r="D797" s="444">
        <v>44132</v>
      </c>
      <c r="E797" s="445">
        <v>32700</v>
      </c>
      <c r="F797" s="440">
        <v>1001010006</v>
      </c>
      <c r="G797" s="440" t="s">
        <v>632</v>
      </c>
    </row>
    <row r="798" spans="1:7">
      <c r="A798" s="440">
        <v>4700491555</v>
      </c>
      <c r="B798" s="440">
        <v>6100104740</v>
      </c>
      <c r="C798" s="440" t="s">
        <v>631</v>
      </c>
      <c r="D798" s="444">
        <v>44132</v>
      </c>
      <c r="E798" s="445">
        <v>15882</v>
      </c>
      <c r="F798" s="440">
        <v>1001010006</v>
      </c>
      <c r="G798" s="440" t="s">
        <v>632</v>
      </c>
    </row>
    <row r="799" spans="1:7">
      <c r="A799" s="440">
        <v>4700491555</v>
      </c>
      <c r="B799" s="440">
        <v>6100104740</v>
      </c>
      <c r="C799" s="440" t="s">
        <v>631</v>
      </c>
      <c r="D799" s="444">
        <v>44132</v>
      </c>
      <c r="E799" s="445">
        <v>11008</v>
      </c>
      <c r="F799" s="440">
        <v>1001010006</v>
      </c>
      <c r="G799" s="440" t="s">
        <v>632</v>
      </c>
    </row>
    <row r="800" spans="1:7">
      <c r="A800" s="440">
        <v>4700500188</v>
      </c>
      <c r="B800" s="440">
        <v>6100118221</v>
      </c>
      <c r="C800" s="440" t="s">
        <v>631</v>
      </c>
      <c r="D800" s="444">
        <v>44153</v>
      </c>
      <c r="E800" s="445">
        <v>9500</v>
      </c>
      <c r="F800" s="440">
        <v>1001010006</v>
      </c>
      <c r="G800" s="440" t="s">
        <v>632</v>
      </c>
    </row>
    <row r="801" spans="1:7">
      <c r="A801" s="440">
        <v>4700500188</v>
      </c>
      <c r="B801" s="440">
        <v>6100118221</v>
      </c>
      <c r="C801" s="440" t="s">
        <v>631</v>
      </c>
      <c r="D801" s="444">
        <v>44153</v>
      </c>
      <c r="E801" s="445">
        <v>5300</v>
      </c>
      <c r="F801" s="440">
        <v>1001010006</v>
      </c>
      <c r="G801" s="440" t="s">
        <v>632</v>
      </c>
    </row>
    <row r="802" spans="1:7">
      <c r="A802" s="440">
        <v>4700500188</v>
      </c>
      <c r="B802" s="440">
        <v>6100118221</v>
      </c>
      <c r="C802" s="440" t="s">
        <v>631</v>
      </c>
      <c r="D802" s="444">
        <v>44153</v>
      </c>
      <c r="E802" s="445">
        <v>65880</v>
      </c>
      <c r="F802" s="440">
        <v>1001010006</v>
      </c>
      <c r="G802" s="440" t="s">
        <v>632</v>
      </c>
    </row>
    <row r="803" spans="1:7">
      <c r="A803" s="440">
        <v>4700500188</v>
      </c>
      <c r="B803" s="440">
        <v>6100118221</v>
      </c>
      <c r="C803" s="440" t="s">
        <v>631</v>
      </c>
      <c r="D803" s="444">
        <v>44153</v>
      </c>
      <c r="E803" s="445">
        <v>11008</v>
      </c>
      <c r="F803" s="440">
        <v>1001010006</v>
      </c>
      <c r="G803" s="440" t="s">
        <v>632</v>
      </c>
    </row>
    <row r="804" spans="1:7">
      <c r="A804" s="440">
        <v>4700510578</v>
      </c>
      <c r="B804" s="440">
        <v>6100130264</v>
      </c>
      <c r="C804" s="440" t="s">
        <v>631</v>
      </c>
      <c r="D804" s="444">
        <v>44170</v>
      </c>
      <c r="E804" s="445">
        <v>5300</v>
      </c>
      <c r="F804" s="440">
        <v>1001010006</v>
      </c>
      <c r="G804" s="440" t="s">
        <v>632</v>
      </c>
    </row>
    <row r="805" spans="1:7">
      <c r="A805" s="440">
        <v>4700510578</v>
      </c>
      <c r="B805" s="440">
        <v>6100130264</v>
      </c>
      <c r="C805" s="440" t="s">
        <v>631</v>
      </c>
      <c r="D805" s="444">
        <v>44170</v>
      </c>
      <c r="E805" s="445">
        <v>7058</v>
      </c>
      <c r="F805" s="440">
        <v>1001010006</v>
      </c>
      <c r="G805" s="440" t="s">
        <v>632</v>
      </c>
    </row>
    <row r="806" spans="1:7">
      <c r="A806" s="440">
        <v>4700510578</v>
      </c>
      <c r="B806" s="440">
        <v>6100130264</v>
      </c>
      <c r="C806" s="440" t="s">
        <v>631</v>
      </c>
      <c r="D806" s="444">
        <v>44170</v>
      </c>
      <c r="E806" s="445">
        <v>11008</v>
      </c>
      <c r="F806" s="440">
        <v>1001010006</v>
      </c>
      <c r="G806" s="440" t="s">
        <v>632</v>
      </c>
    </row>
    <row r="807" spans="1:7">
      <c r="A807" s="440">
        <v>4700526028</v>
      </c>
      <c r="B807" s="440">
        <v>6100005255</v>
      </c>
      <c r="C807" s="440" t="s">
        <v>631</v>
      </c>
      <c r="D807" s="444">
        <v>44211</v>
      </c>
      <c r="E807" s="445">
        <v>47000</v>
      </c>
      <c r="F807" s="440">
        <v>1001010006</v>
      </c>
      <c r="G807" s="440" t="s">
        <v>632</v>
      </c>
    </row>
    <row r="808" spans="1:7">
      <c r="A808" s="440">
        <v>4700526028</v>
      </c>
      <c r="B808" s="440">
        <v>6100005255</v>
      </c>
      <c r="C808" s="440" t="s">
        <v>631</v>
      </c>
      <c r="D808" s="444">
        <v>44211</v>
      </c>
      <c r="E808" s="445">
        <v>5300</v>
      </c>
      <c r="F808" s="440">
        <v>1001010006</v>
      </c>
      <c r="G808" s="440" t="s">
        <v>632</v>
      </c>
    </row>
    <row r="809" spans="1:7">
      <c r="A809" s="440">
        <v>4700526028</v>
      </c>
      <c r="B809" s="440">
        <v>6100005255</v>
      </c>
      <c r="C809" s="440" t="s">
        <v>631</v>
      </c>
      <c r="D809" s="444">
        <v>44211</v>
      </c>
      <c r="E809" s="445">
        <v>14116</v>
      </c>
      <c r="F809" s="440">
        <v>1001010006</v>
      </c>
      <c r="G809" s="440" t="s">
        <v>632</v>
      </c>
    </row>
    <row r="810" spans="1:7">
      <c r="A810" s="440">
        <v>4700526028</v>
      </c>
      <c r="B810" s="440">
        <v>6100005255</v>
      </c>
      <c r="C810" s="440" t="s">
        <v>631</v>
      </c>
      <c r="D810" s="444">
        <v>44211</v>
      </c>
      <c r="E810" s="445">
        <v>26850</v>
      </c>
      <c r="F810" s="440">
        <v>1001010006</v>
      </c>
      <c r="G810" s="440" t="s">
        <v>632</v>
      </c>
    </row>
    <row r="811" spans="1:7">
      <c r="A811" s="440">
        <v>4700543434</v>
      </c>
      <c r="B811" s="440">
        <v>6100018216</v>
      </c>
      <c r="C811" s="440" t="s">
        <v>631</v>
      </c>
      <c r="D811" s="444">
        <v>44245</v>
      </c>
      <c r="E811" s="445">
        <v>1700</v>
      </c>
      <c r="F811" s="440">
        <v>1001010006</v>
      </c>
      <c r="G811" s="440" t="s">
        <v>632</v>
      </c>
    </row>
    <row r="812" spans="1:7">
      <c r="A812" s="440">
        <v>4700543434</v>
      </c>
      <c r="B812" s="440">
        <v>6100018216</v>
      </c>
      <c r="C812" s="440" t="s">
        <v>631</v>
      </c>
      <c r="D812" s="444">
        <v>44245</v>
      </c>
      <c r="E812" s="445">
        <v>14116</v>
      </c>
      <c r="F812" s="440">
        <v>1001010006</v>
      </c>
      <c r="G812" s="440" t="s">
        <v>632</v>
      </c>
    </row>
    <row r="813" spans="1:7">
      <c r="A813" s="440">
        <v>4700543434</v>
      </c>
      <c r="B813" s="440">
        <v>6100018216</v>
      </c>
      <c r="C813" s="440" t="s">
        <v>631</v>
      </c>
      <c r="D813" s="444">
        <v>44245</v>
      </c>
      <c r="E813" s="445">
        <v>19287</v>
      </c>
      <c r="F813" s="440">
        <v>1001010006</v>
      </c>
      <c r="G813" s="440" t="s">
        <v>632</v>
      </c>
    </row>
    <row r="814" spans="1:7">
      <c r="A814" s="440">
        <v>4700557283</v>
      </c>
      <c r="B814" s="440">
        <v>6100024581</v>
      </c>
      <c r="C814" s="440" t="s">
        <v>631</v>
      </c>
      <c r="D814" s="444">
        <v>44267</v>
      </c>
      <c r="E814" s="445">
        <v>10590</v>
      </c>
      <c r="F814" s="440">
        <v>1001010006</v>
      </c>
      <c r="G814" s="440" t="s">
        <v>632</v>
      </c>
    </row>
    <row r="815" spans="1:7">
      <c r="A815" s="440">
        <v>4700557283</v>
      </c>
      <c r="B815" s="440">
        <v>6100024581</v>
      </c>
      <c r="C815" s="440" t="s">
        <v>631</v>
      </c>
      <c r="D815" s="444">
        <v>44267</v>
      </c>
      <c r="E815" s="445">
        <v>12856</v>
      </c>
      <c r="F815" s="440">
        <v>1001010006</v>
      </c>
      <c r="G815" s="440" t="s">
        <v>632</v>
      </c>
    </row>
    <row r="816" spans="1:7">
      <c r="A816" s="440">
        <v>4700569272</v>
      </c>
      <c r="B816" s="440">
        <v>6100030323</v>
      </c>
      <c r="C816" s="440" t="s">
        <v>631</v>
      </c>
      <c r="D816" s="444">
        <v>44295</v>
      </c>
      <c r="E816" s="445">
        <v>10587</v>
      </c>
      <c r="F816" s="440">
        <v>1001010006</v>
      </c>
      <c r="G816" s="440" t="s">
        <v>632</v>
      </c>
    </row>
    <row r="817" spans="1:7">
      <c r="A817" s="440">
        <v>4700569272</v>
      </c>
      <c r="B817" s="440">
        <v>6100030323</v>
      </c>
      <c r="C817" s="440" t="s">
        <v>631</v>
      </c>
      <c r="D817" s="444">
        <v>44295</v>
      </c>
      <c r="E817" s="445">
        <v>6136</v>
      </c>
      <c r="F817" s="440">
        <v>1001010006</v>
      </c>
      <c r="G817" s="440" t="s">
        <v>632</v>
      </c>
    </row>
    <row r="818" spans="1:7">
      <c r="A818" s="440">
        <v>4700579716</v>
      </c>
      <c r="B818" s="440">
        <v>6100035858</v>
      </c>
      <c r="C818" s="440" t="s">
        <v>631</v>
      </c>
      <c r="D818" s="444">
        <v>44321</v>
      </c>
      <c r="E818" s="445">
        <v>2000</v>
      </c>
      <c r="F818" s="440">
        <v>1001010006</v>
      </c>
      <c r="G818" s="440" t="s">
        <v>632</v>
      </c>
    </row>
    <row r="819" spans="1:7">
      <c r="A819" s="440">
        <v>4700579716</v>
      </c>
      <c r="B819" s="440">
        <v>6100035858</v>
      </c>
      <c r="C819" s="440" t="s">
        <v>631</v>
      </c>
      <c r="D819" s="444">
        <v>44321</v>
      </c>
      <c r="E819" s="445">
        <v>6134</v>
      </c>
      <c r="F819" s="440">
        <v>1001010006</v>
      </c>
      <c r="G819" s="440" t="s">
        <v>632</v>
      </c>
    </row>
    <row r="820" spans="1:7">
      <c r="A820" s="440">
        <v>4700593908</v>
      </c>
      <c r="B820" s="440">
        <v>6100043546</v>
      </c>
      <c r="C820" s="440" t="s">
        <v>631</v>
      </c>
      <c r="D820" s="444">
        <v>44362</v>
      </c>
      <c r="E820" s="445">
        <v>17900</v>
      </c>
      <c r="F820" s="440">
        <v>1001010006</v>
      </c>
      <c r="G820" s="440" t="s">
        <v>632</v>
      </c>
    </row>
    <row r="821" spans="1:7">
      <c r="A821" s="440">
        <v>4700609800</v>
      </c>
      <c r="B821" s="440">
        <v>6100048086</v>
      </c>
      <c r="C821" s="440" t="s">
        <v>631</v>
      </c>
      <c r="D821" s="444">
        <v>44390</v>
      </c>
      <c r="E821" s="445">
        <v>1750</v>
      </c>
      <c r="F821" s="440">
        <v>1001010006</v>
      </c>
      <c r="G821" s="440" t="s">
        <v>632</v>
      </c>
    </row>
    <row r="822" spans="1:7">
      <c r="A822" s="440">
        <v>4700609800</v>
      </c>
      <c r="B822" s="440">
        <v>6100048086</v>
      </c>
      <c r="C822" s="440" t="s">
        <v>631</v>
      </c>
      <c r="D822" s="444">
        <v>44390</v>
      </c>
      <c r="E822" s="445">
        <v>7058</v>
      </c>
      <c r="F822" s="440">
        <v>1001010006</v>
      </c>
      <c r="G822" s="440" t="s">
        <v>632</v>
      </c>
    </row>
    <row r="823" spans="1:7">
      <c r="A823" s="440">
        <v>4700609800</v>
      </c>
      <c r="B823" s="440">
        <v>6100048086</v>
      </c>
      <c r="C823" s="440" t="s">
        <v>631</v>
      </c>
      <c r="D823" s="444">
        <v>44390</v>
      </c>
      <c r="E823" s="445">
        <v>17900</v>
      </c>
      <c r="F823" s="440">
        <v>1001010006</v>
      </c>
      <c r="G823" s="440" t="s">
        <v>632</v>
      </c>
    </row>
    <row r="824" spans="1:7">
      <c r="A824" s="440">
        <v>4700625009</v>
      </c>
      <c r="B824" s="440">
        <v>6100054693</v>
      </c>
      <c r="C824" s="440" t="s">
        <v>631</v>
      </c>
      <c r="D824" s="444">
        <v>44425</v>
      </c>
      <c r="E824" s="445">
        <v>1749</v>
      </c>
      <c r="F824" s="440">
        <v>1001010006</v>
      </c>
      <c r="G824" s="440" t="s">
        <v>632</v>
      </c>
    </row>
    <row r="825" spans="1:7">
      <c r="A825" s="440">
        <v>4700625009</v>
      </c>
      <c r="B825" s="440">
        <v>6100054693</v>
      </c>
      <c r="C825" s="440" t="s">
        <v>631</v>
      </c>
      <c r="D825" s="444">
        <v>44425</v>
      </c>
      <c r="E825" s="445">
        <v>17900</v>
      </c>
      <c r="F825" s="440">
        <v>1001010006</v>
      </c>
      <c r="G825" s="440" t="s">
        <v>632</v>
      </c>
    </row>
    <row r="826" spans="1:7">
      <c r="A826" s="440">
        <v>4700625009</v>
      </c>
      <c r="B826" s="440">
        <v>6100054693</v>
      </c>
      <c r="C826" s="440" t="s">
        <v>631</v>
      </c>
      <c r="D826" s="444">
        <v>44425</v>
      </c>
      <c r="E826" s="445">
        <v>5300</v>
      </c>
      <c r="F826" s="440">
        <v>1001010006</v>
      </c>
      <c r="G826" s="440" t="s">
        <v>632</v>
      </c>
    </row>
    <row r="827" spans="1:7">
      <c r="A827" s="440">
        <v>4700640904</v>
      </c>
      <c r="B827" s="440">
        <v>6100060246</v>
      </c>
      <c r="C827" s="440" t="s">
        <v>631</v>
      </c>
      <c r="D827" s="444">
        <v>44449</v>
      </c>
      <c r="E827" s="445">
        <v>11750</v>
      </c>
      <c r="F827" s="440">
        <v>1001010006</v>
      </c>
      <c r="G827" s="440" t="s">
        <v>632</v>
      </c>
    </row>
    <row r="828" spans="1:7">
      <c r="A828" s="440">
        <v>4700640904</v>
      </c>
      <c r="B828" s="440">
        <v>6100060246</v>
      </c>
      <c r="C828" s="440" t="s">
        <v>631</v>
      </c>
      <c r="D828" s="444">
        <v>44449</v>
      </c>
      <c r="E828" s="445">
        <v>5300</v>
      </c>
      <c r="F828" s="440">
        <v>1001010006</v>
      </c>
      <c r="G828" s="440" t="s">
        <v>632</v>
      </c>
    </row>
    <row r="829" spans="1:7">
      <c r="A829" s="440">
        <v>4700640904</v>
      </c>
      <c r="B829" s="440">
        <v>6100060246</v>
      </c>
      <c r="C829" s="440" t="s">
        <v>631</v>
      </c>
      <c r="D829" s="444">
        <v>44449</v>
      </c>
      <c r="E829" s="445">
        <v>1750</v>
      </c>
      <c r="F829" s="440">
        <v>1001010006</v>
      </c>
      <c r="G829" s="440" t="s">
        <v>632</v>
      </c>
    </row>
    <row r="830" spans="1:7">
      <c r="A830" s="440">
        <v>4700640904</v>
      </c>
      <c r="B830" s="440">
        <v>6100060246</v>
      </c>
      <c r="C830" s="440" t="s">
        <v>631</v>
      </c>
      <c r="D830" s="444">
        <v>44449</v>
      </c>
      <c r="E830" s="445">
        <v>7058</v>
      </c>
      <c r="F830" s="440">
        <v>1001010006</v>
      </c>
      <c r="G830" s="440" t="s">
        <v>632</v>
      </c>
    </row>
    <row r="831" spans="1:7">
      <c r="A831" s="440">
        <v>4700640904</v>
      </c>
      <c r="B831" s="440">
        <v>6100060246</v>
      </c>
      <c r="C831" s="440" t="s">
        <v>631</v>
      </c>
      <c r="D831" s="444">
        <v>44449</v>
      </c>
      <c r="E831" s="445">
        <v>12858</v>
      </c>
      <c r="F831" s="440">
        <v>1001010006</v>
      </c>
      <c r="G831" s="440" t="s">
        <v>632</v>
      </c>
    </row>
    <row r="832" spans="1:7">
      <c r="A832" s="440">
        <v>4700658467</v>
      </c>
      <c r="B832" s="440">
        <v>6100072697</v>
      </c>
      <c r="C832" s="440" t="s">
        <v>631</v>
      </c>
      <c r="D832" s="444">
        <v>44488</v>
      </c>
      <c r="E832" s="445">
        <v>12858</v>
      </c>
      <c r="F832" s="440">
        <v>1001010006</v>
      </c>
      <c r="G832" s="440" t="s">
        <v>632</v>
      </c>
    </row>
    <row r="833" spans="1:7">
      <c r="A833" s="440">
        <v>4700675493</v>
      </c>
      <c r="B833" s="440">
        <v>6100086066</v>
      </c>
      <c r="C833" s="440" t="s">
        <v>631</v>
      </c>
      <c r="D833" s="444">
        <v>44522</v>
      </c>
      <c r="E833" s="445">
        <v>6302</v>
      </c>
      <c r="F833" s="440">
        <v>1001010006</v>
      </c>
      <c r="G833" s="440" t="s">
        <v>632</v>
      </c>
    </row>
    <row r="834" spans="1:7">
      <c r="A834" s="440">
        <v>4700687057</v>
      </c>
      <c r="B834" s="440">
        <v>6100094025</v>
      </c>
      <c r="C834" s="440" t="s">
        <v>631</v>
      </c>
      <c r="D834" s="444">
        <v>44543</v>
      </c>
      <c r="E834" s="445">
        <v>3025</v>
      </c>
      <c r="F834" s="440">
        <v>1001010006</v>
      </c>
      <c r="G834" s="440" t="s">
        <v>632</v>
      </c>
    </row>
    <row r="835" spans="1:7">
      <c r="A835" s="440">
        <v>4700687057</v>
      </c>
      <c r="B835" s="440">
        <v>6100094025</v>
      </c>
      <c r="C835" s="440" t="s">
        <v>631</v>
      </c>
      <c r="D835" s="444">
        <v>44543</v>
      </c>
      <c r="E835" s="445">
        <v>10965</v>
      </c>
      <c r="F835" s="440">
        <v>1001010006</v>
      </c>
      <c r="G835" s="440" t="s">
        <v>632</v>
      </c>
    </row>
    <row r="836" spans="1:7">
      <c r="A836" s="440">
        <v>4700687057</v>
      </c>
      <c r="B836" s="440">
        <v>6100094025</v>
      </c>
      <c r="C836" s="440" t="s">
        <v>631</v>
      </c>
      <c r="D836" s="444">
        <v>44543</v>
      </c>
      <c r="E836" s="445">
        <v>18320</v>
      </c>
      <c r="F836" s="440">
        <v>1001010006</v>
      </c>
      <c r="G836" s="440" t="s">
        <v>632</v>
      </c>
    </row>
    <row r="837" spans="1:7">
      <c r="A837" s="440">
        <v>4700446283</v>
      </c>
      <c r="B837" s="440">
        <v>6100064408</v>
      </c>
      <c r="C837" s="440" t="s">
        <v>631</v>
      </c>
      <c r="D837" s="444">
        <v>44028</v>
      </c>
      <c r="E837" s="445">
        <v>6681</v>
      </c>
      <c r="F837" s="440">
        <v>1001010007</v>
      </c>
      <c r="G837" s="440" t="s">
        <v>632</v>
      </c>
    </row>
    <row r="838" spans="1:7">
      <c r="A838" s="440">
        <v>4700446283</v>
      </c>
      <c r="B838" s="440">
        <v>6100064408</v>
      </c>
      <c r="C838" s="440" t="s">
        <v>631</v>
      </c>
      <c r="D838" s="444">
        <v>44028</v>
      </c>
      <c r="E838" s="445">
        <v>14116</v>
      </c>
      <c r="F838" s="440">
        <v>1001010007</v>
      </c>
      <c r="G838" s="440" t="s">
        <v>632</v>
      </c>
    </row>
    <row r="839" spans="1:7">
      <c r="A839" s="440">
        <v>4700446283</v>
      </c>
      <c r="B839" s="440">
        <v>6100064408</v>
      </c>
      <c r="C839" s="440" t="s">
        <v>631</v>
      </c>
      <c r="D839" s="444">
        <v>44028</v>
      </c>
      <c r="E839" s="445">
        <v>7700</v>
      </c>
      <c r="F839" s="440">
        <v>1001010007</v>
      </c>
      <c r="G839" s="440" t="s">
        <v>632</v>
      </c>
    </row>
    <row r="840" spans="1:7">
      <c r="A840" s="440">
        <v>4700446283</v>
      </c>
      <c r="B840" s="440">
        <v>6100064408</v>
      </c>
      <c r="C840" s="440" t="s">
        <v>631</v>
      </c>
      <c r="D840" s="444">
        <v>44028</v>
      </c>
      <c r="E840" s="445">
        <v>25968</v>
      </c>
      <c r="F840" s="440">
        <v>1001010007</v>
      </c>
      <c r="G840" s="440" t="s">
        <v>632</v>
      </c>
    </row>
    <row r="841" spans="1:7">
      <c r="A841" s="440">
        <v>4700446283</v>
      </c>
      <c r="B841" s="440">
        <v>6100064408</v>
      </c>
      <c r="C841" s="440" t="s">
        <v>631</v>
      </c>
      <c r="D841" s="444">
        <v>44028</v>
      </c>
      <c r="E841" s="445">
        <v>8319</v>
      </c>
      <c r="F841" s="440">
        <v>1001010007</v>
      </c>
      <c r="G841" s="440" t="s">
        <v>632</v>
      </c>
    </row>
    <row r="842" spans="1:7">
      <c r="A842" s="440">
        <v>4700446283</v>
      </c>
      <c r="B842" s="440">
        <v>6100064408</v>
      </c>
      <c r="C842" s="440" t="s">
        <v>631</v>
      </c>
      <c r="D842" s="444">
        <v>44028</v>
      </c>
      <c r="E842" s="445">
        <v>3697</v>
      </c>
      <c r="F842" s="440">
        <v>1001010007</v>
      </c>
      <c r="G842" s="440" t="s">
        <v>632</v>
      </c>
    </row>
    <row r="843" spans="1:7">
      <c r="A843" s="440">
        <v>4700446283</v>
      </c>
      <c r="B843" s="440">
        <v>6100064408</v>
      </c>
      <c r="C843" s="440" t="s">
        <v>631</v>
      </c>
      <c r="D843" s="444">
        <v>44028</v>
      </c>
      <c r="E843" s="445">
        <v>19400</v>
      </c>
      <c r="F843" s="440">
        <v>1001010007</v>
      </c>
      <c r="G843" s="440" t="s">
        <v>632</v>
      </c>
    </row>
    <row r="844" spans="1:7">
      <c r="A844" s="440">
        <v>4700446283</v>
      </c>
      <c r="B844" s="440">
        <v>6100064408</v>
      </c>
      <c r="C844" s="440" t="s">
        <v>631</v>
      </c>
      <c r="D844" s="444">
        <v>44028</v>
      </c>
      <c r="E844" s="445">
        <v>10550</v>
      </c>
      <c r="F844" s="440">
        <v>1001010007</v>
      </c>
      <c r="G844" s="440" t="s">
        <v>632</v>
      </c>
    </row>
    <row r="845" spans="1:7">
      <c r="A845" s="440">
        <v>4700446283</v>
      </c>
      <c r="B845" s="440">
        <v>6100064408</v>
      </c>
      <c r="C845" s="440" t="s">
        <v>631</v>
      </c>
      <c r="D845" s="444">
        <v>44028</v>
      </c>
      <c r="E845" s="445">
        <v>23952</v>
      </c>
      <c r="F845" s="440">
        <v>1001010007</v>
      </c>
      <c r="G845" s="440" t="s">
        <v>632</v>
      </c>
    </row>
    <row r="846" spans="1:7">
      <c r="A846" s="440">
        <v>4700446283</v>
      </c>
      <c r="B846" s="440">
        <v>6100064408</v>
      </c>
      <c r="C846" s="440" t="s">
        <v>631</v>
      </c>
      <c r="D846" s="444">
        <v>44028</v>
      </c>
      <c r="E846" s="445">
        <v>5100</v>
      </c>
      <c r="F846" s="440">
        <v>1001010007</v>
      </c>
      <c r="G846" s="440" t="s">
        <v>632</v>
      </c>
    </row>
    <row r="847" spans="1:7">
      <c r="A847" s="440">
        <v>4700446283</v>
      </c>
      <c r="B847" s="440">
        <v>6100064408</v>
      </c>
      <c r="C847" s="440" t="s">
        <v>631</v>
      </c>
      <c r="D847" s="444">
        <v>44028</v>
      </c>
      <c r="E847" s="445">
        <v>2050</v>
      </c>
      <c r="F847" s="440">
        <v>1001010007</v>
      </c>
      <c r="G847" s="440" t="s">
        <v>632</v>
      </c>
    </row>
    <row r="848" spans="1:7">
      <c r="A848" s="440">
        <v>4700446283</v>
      </c>
      <c r="B848" s="440">
        <v>6100064408</v>
      </c>
      <c r="C848" s="440" t="s">
        <v>631</v>
      </c>
      <c r="D848" s="444">
        <v>44028</v>
      </c>
      <c r="E848" s="445">
        <v>1638</v>
      </c>
      <c r="F848" s="440">
        <v>1001010007</v>
      </c>
      <c r="G848" s="440" t="s">
        <v>632</v>
      </c>
    </row>
    <row r="849" spans="1:7">
      <c r="A849" s="440">
        <v>4700446283</v>
      </c>
      <c r="B849" s="440">
        <v>6100064408</v>
      </c>
      <c r="C849" s="440" t="s">
        <v>631</v>
      </c>
      <c r="D849" s="444">
        <v>44028</v>
      </c>
      <c r="E849" s="445">
        <v>7941</v>
      </c>
      <c r="F849" s="440">
        <v>1001010007</v>
      </c>
      <c r="G849" s="440" t="s">
        <v>632</v>
      </c>
    </row>
    <row r="850" spans="1:7">
      <c r="A850" s="440">
        <v>4700459280</v>
      </c>
      <c r="B850" s="440">
        <v>6100072571</v>
      </c>
      <c r="C850" s="440" t="s">
        <v>631</v>
      </c>
      <c r="D850" s="444">
        <v>44061</v>
      </c>
      <c r="E850" s="445">
        <v>11096</v>
      </c>
      <c r="F850" s="440">
        <v>1001010007</v>
      </c>
      <c r="G850" s="440" t="s">
        <v>632</v>
      </c>
    </row>
    <row r="851" spans="1:7">
      <c r="A851" s="440">
        <v>4700459280</v>
      </c>
      <c r="B851" s="440">
        <v>6100072571</v>
      </c>
      <c r="C851" s="440" t="s">
        <v>631</v>
      </c>
      <c r="D851" s="444">
        <v>44061</v>
      </c>
      <c r="E851" s="445">
        <v>9500</v>
      </c>
      <c r="F851" s="440">
        <v>1001010007</v>
      </c>
      <c r="G851" s="440" t="s">
        <v>632</v>
      </c>
    </row>
    <row r="852" spans="1:7">
      <c r="A852" s="440">
        <v>4700459280</v>
      </c>
      <c r="B852" s="440">
        <v>6100072571</v>
      </c>
      <c r="C852" s="440" t="s">
        <v>631</v>
      </c>
      <c r="D852" s="444">
        <v>44061</v>
      </c>
      <c r="E852" s="445">
        <v>2050</v>
      </c>
      <c r="F852" s="440">
        <v>1001010007</v>
      </c>
      <c r="G852" s="440" t="s">
        <v>632</v>
      </c>
    </row>
    <row r="853" spans="1:7">
      <c r="A853" s="440">
        <v>4700459280</v>
      </c>
      <c r="B853" s="440">
        <v>6100072571</v>
      </c>
      <c r="C853" s="440" t="s">
        <v>631</v>
      </c>
      <c r="D853" s="444">
        <v>44061</v>
      </c>
      <c r="E853" s="445">
        <v>1700</v>
      </c>
      <c r="F853" s="440">
        <v>1001010007</v>
      </c>
      <c r="G853" s="440" t="s">
        <v>632</v>
      </c>
    </row>
    <row r="854" spans="1:7">
      <c r="A854" s="440">
        <v>4700459280</v>
      </c>
      <c r="B854" s="440">
        <v>6100072571</v>
      </c>
      <c r="C854" s="440" t="s">
        <v>631</v>
      </c>
      <c r="D854" s="444">
        <v>44061</v>
      </c>
      <c r="E854" s="445">
        <v>14124</v>
      </c>
      <c r="F854" s="440">
        <v>1001010007</v>
      </c>
      <c r="G854" s="440" t="s">
        <v>632</v>
      </c>
    </row>
    <row r="855" spans="1:7">
      <c r="A855" s="440">
        <v>4700459280</v>
      </c>
      <c r="B855" s="440">
        <v>6100072571</v>
      </c>
      <c r="C855" s="440" t="s">
        <v>631</v>
      </c>
      <c r="D855" s="444">
        <v>44061</v>
      </c>
      <c r="E855" s="445">
        <v>5400</v>
      </c>
      <c r="F855" s="440">
        <v>1001010007</v>
      </c>
      <c r="G855" s="440" t="s">
        <v>632</v>
      </c>
    </row>
    <row r="856" spans="1:7">
      <c r="A856" s="440">
        <v>4700459280</v>
      </c>
      <c r="B856" s="440">
        <v>6100072571</v>
      </c>
      <c r="C856" s="440" t="s">
        <v>631</v>
      </c>
      <c r="D856" s="444">
        <v>44061</v>
      </c>
      <c r="E856" s="445">
        <v>4592</v>
      </c>
      <c r="F856" s="440">
        <v>1001010007</v>
      </c>
      <c r="G856" s="440" t="s">
        <v>632</v>
      </c>
    </row>
    <row r="857" spans="1:7">
      <c r="A857" s="440">
        <v>4700459280</v>
      </c>
      <c r="B857" s="440">
        <v>6100072571</v>
      </c>
      <c r="C857" s="440" t="s">
        <v>631</v>
      </c>
      <c r="D857" s="444">
        <v>44061</v>
      </c>
      <c r="E857" s="445">
        <v>32700</v>
      </c>
      <c r="F857" s="440">
        <v>1001010007</v>
      </c>
      <c r="G857" s="440" t="s">
        <v>632</v>
      </c>
    </row>
    <row r="858" spans="1:7">
      <c r="A858" s="440">
        <v>4700459280</v>
      </c>
      <c r="B858" s="440">
        <v>6100072571</v>
      </c>
      <c r="C858" s="440" t="s">
        <v>631</v>
      </c>
      <c r="D858" s="444">
        <v>44061</v>
      </c>
      <c r="E858" s="445">
        <v>53982</v>
      </c>
      <c r="F858" s="440">
        <v>1001010007</v>
      </c>
      <c r="G858" s="440" t="s">
        <v>632</v>
      </c>
    </row>
    <row r="859" spans="1:7">
      <c r="A859" s="440">
        <v>4700459280</v>
      </c>
      <c r="B859" s="440">
        <v>6100072571</v>
      </c>
      <c r="C859" s="440" t="s">
        <v>631</v>
      </c>
      <c r="D859" s="444">
        <v>44061</v>
      </c>
      <c r="E859" s="445">
        <v>11836</v>
      </c>
      <c r="F859" s="440">
        <v>1001010007</v>
      </c>
      <c r="G859" s="440" t="s">
        <v>632</v>
      </c>
    </row>
    <row r="860" spans="1:7">
      <c r="A860" s="440">
        <v>4700475446</v>
      </c>
      <c r="B860" s="440">
        <v>6100084617</v>
      </c>
      <c r="C860" s="440" t="s">
        <v>631</v>
      </c>
      <c r="D860" s="444">
        <v>44095</v>
      </c>
      <c r="E860" s="445">
        <v>14116</v>
      </c>
      <c r="F860" s="440">
        <v>1001010007</v>
      </c>
      <c r="G860" s="440" t="s">
        <v>632</v>
      </c>
    </row>
    <row r="861" spans="1:7">
      <c r="A861" s="440">
        <v>4700475446</v>
      </c>
      <c r="B861" s="440">
        <v>6100084617</v>
      </c>
      <c r="C861" s="440" t="s">
        <v>631</v>
      </c>
      <c r="D861" s="444">
        <v>44095</v>
      </c>
      <c r="E861" s="445">
        <v>12600</v>
      </c>
      <c r="F861" s="440">
        <v>1001010007</v>
      </c>
      <c r="G861" s="440" t="s">
        <v>632</v>
      </c>
    </row>
    <row r="862" spans="1:7">
      <c r="A862" s="440">
        <v>4700475446</v>
      </c>
      <c r="B862" s="440">
        <v>6100084617</v>
      </c>
      <c r="C862" s="440" t="s">
        <v>631</v>
      </c>
      <c r="D862" s="444">
        <v>44095</v>
      </c>
      <c r="E862" s="445">
        <v>8800</v>
      </c>
      <c r="F862" s="440">
        <v>1001010007</v>
      </c>
      <c r="G862" s="440" t="s">
        <v>632</v>
      </c>
    </row>
    <row r="863" spans="1:7">
      <c r="A863" s="440">
        <v>4700475446</v>
      </c>
      <c r="B863" s="440">
        <v>6100084617</v>
      </c>
      <c r="C863" s="440" t="s">
        <v>631</v>
      </c>
      <c r="D863" s="444">
        <v>44095</v>
      </c>
      <c r="E863" s="445">
        <v>2227</v>
      </c>
      <c r="F863" s="440">
        <v>1001010007</v>
      </c>
      <c r="G863" s="440" t="s">
        <v>632</v>
      </c>
    </row>
    <row r="864" spans="1:7">
      <c r="A864" s="440">
        <v>4700475446</v>
      </c>
      <c r="B864" s="440">
        <v>6100084617</v>
      </c>
      <c r="C864" s="440" t="s">
        <v>631</v>
      </c>
      <c r="D864" s="444">
        <v>44095</v>
      </c>
      <c r="E864" s="445">
        <v>35400</v>
      </c>
      <c r="F864" s="440">
        <v>1001010007</v>
      </c>
      <c r="G864" s="440" t="s">
        <v>632</v>
      </c>
    </row>
    <row r="865" spans="1:7">
      <c r="A865" s="440">
        <v>4700475446</v>
      </c>
      <c r="B865" s="440">
        <v>6100084617</v>
      </c>
      <c r="C865" s="440" t="s">
        <v>631</v>
      </c>
      <c r="D865" s="444">
        <v>44095</v>
      </c>
      <c r="E865" s="445">
        <v>5798</v>
      </c>
      <c r="F865" s="440">
        <v>1001010007</v>
      </c>
      <c r="G865" s="440" t="s">
        <v>632</v>
      </c>
    </row>
    <row r="866" spans="1:7">
      <c r="A866" s="440">
        <v>4700475446</v>
      </c>
      <c r="B866" s="440">
        <v>6100084617</v>
      </c>
      <c r="C866" s="440" t="s">
        <v>631</v>
      </c>
      <c r="D866" s="444">
        <v>44095</v>
      </c>
      <c r="E866" s="445">
        <v>53700</v>
      </c>
      <c r="F866" s="440">
        <v>1001010007</v>
      </c>
      <c r="G866" s="440" t="s">
        <v>632</v>
      </c>
    </row>
    <row r="867" spans="1:7">
      <c r="A867" s="440">
        <v>4700475446</v>
      </c>
      <c r="B867" s="440">
        <v>6100084617</v>
      </c>
      <c r="C867" s="440" t="s">
        <v>631</v>
      </c>
      <c r="D867" s="444">
        <v>44095</v>
      </c>
      <c r="E867" s="445">
        <v>9500</v>
      </c>
      <c r="F867" s="440">
        <v>1001010007</v>
      </c>
      <c r="G867" s="440" t="s">
        <v>632</v>
      </c>
    </row>
    <row r="868" spans="1:7">
      <c r="A868" s="440">
        <v>4700475446</v>
      </c>
      <c r="B868" s="440">
        <v>6100084617</v>
      </c>
      <c r="C868" s="440" t="s">
        <v>631</v>
      </c>
      <c r="D868" s="444">
        <v>44095</v>
      </c>
      <c r="E868" s="445">
        <v>8319</v>
      </c>
      <c r="F868" s="440">
        <v>1001010007</v>
      </c>
      <c r="G868" s="440" t="s">
        <v>632</v>
      </c>
    </row>
    <row r="869" spans="1:7">
      <c r="A869" s="440">
        <v>4700475446</v>
      </c>
      <c r="B869" s="440">
        <v>6100084617</v>
      </c>
      <c r="C869" s="440" t="s">
        <v>631</v>
      </c>
      <c r="D869" s="444">
        <v>44095</v>
      </c>
      <c r="E869" s="445">
        <v>15335</v>
      </c>
      <c r="F869" s="440">
        <v>1001010007</v>
      </c>
      <c r="G869" s="440" t="s">
        <v>632</v>
      </c>
    </row>
    <row r="870" spans="1:7">
      <c r="A870" s="440">
        <v>4700475446</v>
      </c>
      <c r="B870" s="440">
        <v>6100084617</v>
      </c>
      <c r="C870" s="440" t="s">
        <v>631</v>
      </c>
      <c r="D870" s="444">
        <v>44095</v>
      </c>
      <c r="E870" s="445">
        <v>5200</v>
      </c>
      <c r="F870" s="440">
        <v>1001010007</v>
      </c>
      <c r="G870" s="440" t="s">
        <v>632</v>
      </c>
    </row>
    <row r="871" spans="1:7">
      <c r="A871" s="440">
        <v>4700475446</v>
      </c>
      <c r="B871" s="440">
        <v>6100084617</v>
      </c>
      <c r="C871" s="440" t="s">
        <v>631</v>
      </c>
      <c r="D871" s="444">
        <v>44095</v>
      </c>
      <c r="E871" s="445">
        <v>3400</v>
      </c>
      <c r="F871" s="440">
        <v>1001010007</v>
      </c>
      <c r="G871" s="440" t="s">
        <v>632</v>
      </c>
    </row>
    <row r="872" spans="1:7">
      <c r="A872" s="440">
        <v>4700475446</v>
      </c>
      <c r="B872" s="440">
        <v>6100084617</v>
      </c>
      <c r="C872" s="440" t="s">
        <v>631</v>
      </c>
      <c r="D872" s="444">
        <v>44095</v>
      </c>
      <c r="E872" s="445">
        <v>2050</v>
      </c>
      <c r="F872" s="440">
        <v>1001010007</v>
      </c>
      <c r="G872" s="440" t="s">
        <v>632</v>
      </c>
    </row>
    <row r="873" spans="1:7">
      <c r="A873" s="440">
        <v>4700475446</v>
      </c>
      <c r="B873" s="440">
        <v>6100084617</v>
      </c>
      <c r="C873" s="440" t="s">
        <v>631</v>
      </c>
      <c r="D873" s="444">
        <v>44095</v>
      </c>
      <c r="E873" s="445">
        <v>1700</v>
      </c>
      <c r="F873" s="440">
        <v>1001010007</v>
      </c>
      <c r="G873" s="440" t="s">
        <v>632</v>
      </c>
    </row>
    <row r="874" spans="1:7">
      <c r="A874" s="440">
        <v>4700499584</v>
      </c>
      <c r="B874" s="440">
        <v>6100114414</v>
      </c>
      <c r="C874" s="440" t="s">
        <v>631</v>
      </c>
      <c r="D874" s="444">
        <v>44147</v>
      </c>
      <c r="E874" s="445">
        <v>8300</v>
      </c>
      <c r="F874" s="440">
        <v>1001010007</v>
      </c>
      <c r="G874" s="440" t="s">
        <v>632</v>
      </c>
    </row>
    <row r="875" spans="1:7">
      <c r="A875" s="440">
        <v>4700499584</v>
      </c>
      <c r="B875" s="440">
        <v>6100114414</v>
      </c>
      <c r="C875" s="440" t="s">
        <v>631</v>
      </c>
      <c r="D875" s="444">
        <v>44147</v>
      </c>
      <c r="E875" s="445">
        <v>21800</v>
      </c>
      <c r="F875" s="440">
        <v>1001010007</v>
      </c>
      <c r="G875" s="440" t="s">
        <v>632</v>
      </c>
    </row>
    <row r="876" spans="1:7">
      <c r="A876" s="440">
        <v>4700499584</v>
      </c>
      <c r="B876" s="440">
        <v>6100114414</v>
      </c>
      <c r="C876" s="440" t="s">
        <v>631</v>
      </c>
      <c r="D876" s="444">
        <v>44147</v>
      </c>
      <c r="E876" s="445">
        <v>9500</v>
      </c>
      <c r="F876" s="440">
        <v>1001010007</v>
      </c>
      <c r="G876" s="440" t="s">
        <v>632</v>
      </c>
    </row>
    <row r="877" spans="1:7">
      <c r="A877" s="440">
        <v>4700499584</v>
      </c>
      <c r="B877" s="440">
        <v>6100114414</v>
      </c>
      <c r="C877" s="440" t="s">
        <v>631</v>
      </c>
      <c r="D877" s="444">
        <v>44147</v>
      </c>
      <c r="E877" s="445">
        <v>5544</v>
      </c>
      <c r="F877" s="440">
        <v>1001010007</v>
      </c>
      <c r="G877" s="440" t="s">
        <v>632</v>
      </c>
    </row>
    <row r="878" spans="1:7">
      <c r="A878" s="440">
        <v>4700499584</v>
      </c>
      <c r="B878" s="440">
        <v>6100114414</v>
      </c>
      <c r="C878" s="440" t="s">
        <v>631</v>
      </c>
      <c r="D878" s="444">
        <v>44147</v>
      </c>
      <c r="E878" s="445">
        <v>12264</v>
      </c>
      <c r="F878" s="440">
        <v>1001010007</v>
      </c>
      <c r="G878" s="440" t="s">
        <v>632</v>
      </c>
    </row>
    <row r="879" spans="1:7">
      <c r="A879" s="440">
        <v>4700499584</v>
      </c>
      <c r="B879" s="440">
        <v>6100114414</v>
      </c>
      <c r="C879" s="440" t="s">
        <v>631</v>
      </c>
      <c r="D879" s="444">
        <v>44147</v>
      </c>
      <c r="E879" s="445">
        <v>4600</v>
      </c>
      <c r="F879" s="440">
        <v>1001010007</v>
      </c>
      <c r="G879" s="440" t="s">
        <v>632</v>
      </c>
    </row>
    <row r="880" spans="1:7">
      <c r="A880" s="440">
        <v>4700499584</v>
      </c>
      <c r="B880" s="440">
        <v>6100114414</v>
      </c>
      <c r="C880" s="440" t="s">
        <v>631</v>
      </c>
      <c r="D880" s="444">
        <v>44147</v>
      </c>
      <c r="E880" s="445">
        <v>5300</v>
      </c>
      <c r="F880" s="440">
        <v>1001010007</v>
      </c>
      <c r="G880" s="440" t="s">
        <v>632</v>
      </c>
    </row>
    <row r="881" spans="1:7">
      <c r="A881" s="440">
        <v>4700499584</v>
      </c>
      <c r="B881" s="440">
        <v>6100114414</v>
      </c>
      <c r="C881" s="440" t="s">
        <v>631</v>
      </c>
      <c r="D881" s="444">
        <v>44147</v>
      </c>
      <c r="E881" s="445">
        <v>2350</v>
      </c>
      <c r="F881" s="440">
        <v>1001010007</v>
      </c>
      <c r="G881" s="440" t="s">
        <v>632</v>
      </c>
    </row>
    <row r="882" spans="1:7">
      <c r="A882" s="440">
        <v>4700499584</v>
      </c>
      <c r="B882" s="440">
        <v>6100114414</v>
      </c>
      <c r="C882" s="440" t="s">
        <v>631</v>
      </c>
      <c r="D882" s="444">
        <v>44147</v>
      </c>
      <c r="E882" s="445">
        <v>4201</v>
      </c>
      <c r="F882" s="440">
        <v>1001010007</v>
      </c>
      <c r="G882" s="440" t="s">
        <v>632</v>
      </c>
    </row>
    <row r="883" spans="1:7">
      <c r="A883" s="440">
        <v>4700499584</v>
      </c>
      <c r="B883" s="440">
        <v>6100114414</v>
      </c>
      <c r="C883" s="440" t="s">
        <v>631</v>
      </c>
      <c r="D883" s="444">
        <v>44147</v>
      </c>
      <c r="E883" s="445">
        <v>2700</v>
      </c>
      <c r="F883" s="440">
        <v>1001010007</v>
      </c>
      <c r="G883" s="440" t="s">
        <v>632</v>
      </c>
    </row>
    <row r="884" spans="1:7">
      <c r="A884" s="440">
        <v>4700499584</v>
      </c>
      <c r="B884" s="440">
        <v>6100114414</v>
      </c>
      <c r="C884" s="440" t="s">
        <v>631</v>
      </c>
      <c r="D884" s="444">
        <v>44147</v>
      </c>
      <c r="E884" s="445">
        <v>6000</v>
      </c>
      <c r="F884" s="440">
        <v>1001010007</v>
      </c>
      <c r="G884" s="440" t="s">
        <v>632</v>
      </c>
    </row>
    <row r="885" spans="1:7">
      <c r="A885" s="440">
        <v>4700499584</v>
      </c>
      <c r="B885" s="440">
        <v>6100114414</v>
      </c>
      <c r="C885" s="440" t="s">
        <v>631</v>
      </c>
      <c r="D885" s="444">
        <v>44147</v>
      </c>
      <c r="E885" s="445">
        <v>1900</v>
      </c>
      <c r="F885" s="440">
        <v>1001010007</v>
      </c>
      <c r="G885" s="440" t="s">
        <v>632</v>
      </c>
    </row>
    <row r="886" spans="1:7">
      <c r="A886" s="440">
        <v>4700499584</v>
      </c>
      <c r="B886" s="440">
        <v>6100114414</v>
      </c>
      <c r="C886" s="440" t="s">
        <v>631</v>
      </c>
      <c r="D886" s="444">
        <v>44147</v>
      </c>
      <c r="E886" s="445">
        <v>12600</v>
      </c>
      <c r="F886" s="440">
        <v>1001010007</v>
      </c>
      <c r="G886" s="440" t="s">
        <v>632</v>
      </c>
    </row>
    <row r="887" spans="1:7">
      <c r="A887" s="440">
        <v>4700499584</v>
      </c>
      <c r="B887" s="440">
        <v>6100114414</v>
      </c>
      <c r="C887" s="440" t="s">
        <v>631</v>
      </c>
      <c r="D887" s="444">
        <v>44147</v>
      </c>
      <c r="E887" s="445">
        <v>14112</v>
      </c>
      <c r="F887" s="440">
        <v>1001010007</v>
      </c>
      <c r="G887" s="440" t="s">
        <v>632</v>
      </c>
    </row>
    <row r="888" spans="1:7">
      <c r="A888" s="440">
        <v>4700499584</v>
      </c>
      <c r="B888" s="440">
        <v>6100114414</v>
      </c>
      <c r="C888" s="440" t="s">
        <v>631</v>
      </c>
      <c r="D888" s="444">
        <v>44147</v>
      </c>
      <c r="E888" s="445">
        <v>8190</v>
      </c>
      <c r="F888" s="440">
        <v>1001010007</v>
      </c>
      <c r="G888" s="440" t="s">
        <v>632</v>
      </c>
    </row>
    <row r="889" spans="1:7">
      <c r="A889" s="440">
        <v>4700499584</v>
      </c>
      <c r="B889" s="440">
        <v>6100114414</v>
      </c>
      <c r="C889" s="440" t="s">
        <v>631</v>
      </c>
      <c r="D889" s="444">
        <v>44147</v>
      </c>
      <c r="E889" s="445">
        <v>22012</v>
      </c>
      <c r="F889" s="440">
        <v>1001010007</v>
      </c>
      <c r="G889" s="440" t="s">
        <v>632</v>
      </c>
    </row>
    <row r="890" spans="1:7">
      <c r="A890" s="440">
        <v>4700499584</v>
      </c>
      <c r="B890" s="440">
        <v>6100114414</v>
      </c>
      <c r="C890" s="440" t="s">
        <v>631</v>
      </c>
      <c r="D890" s="444">
        <v>44147</v>
      </c>
      <c r="E890" s="445">
        <v>6428</v>
      </c>
      <c r="F890" s="440">
        <v>1001010007</v>
      </c>
      <c r="G890" s="440" t="s">
        <v>632</v>
      </c>
    </row>
    <row r="891" spans="1:7">
      <c r="A891" s="440">
        <v>4700609881</v>
      </c>
      <c r="B891" s="440">
        <v>6100048090</v>
      </c>
      <c r="C891" s="440" t="s">
        <v>631</v>
      </c>
      <c r="D891" s="444">
        <v>44390</v>
      </c>
      <c r="E891" s="445">
        <v>9450</v>
      </c>
      <c r="F891" s="440">
        <v>1001010007</v>
      </c>
      <c r="G891" s="440" t="s">
        <v>632</v>
      </c>
    </row>
    <row r="892" spans="1:7">
      <c r="A892" s="440">
        <v>4700609881</v>
      </c>
      <c r="B892" s="440">
        <v>6100048090</v>
      </c>
      <c r="C892" s="440" t="s">
        <v>631</v>
      </c>
      <c r="D892" s="444">
        <v>44390</v>
      </c>
      <c r="E892" s="445">
        <v>6722</v>
      </c>
      <c r="F892" s="440">
        <v>1001010007</v>
      </c>
      <c r="G892" s="440" t="s">
        <v>632</v>
      </c>
    </row>
    <row r="893" spans="1:7">
      <c r="A893" s="440">
        <v>4700609881</v>
      </c>
      <c r="B893" s="440">
        <v>6100048090</v>
      </c>
      <c r="C893" s="440" t="s">
        <v>631</v>
      </c>
      <c r="D893" s="444">
        <v>44390</v>
      </c>
      <c r="E893" s="445">
        <v>5882</v>
      </c>
      <c r="F893" s="440">
        <v>1001010007</v>
      </c>
      <c r="G893" s="440" t="s">
        <v>632</v>
      </c>
    </row>
    <row r="894" spans="1:7">
      <c r="A894" s="440">
        <v>4700609881</v>
      </c>
      <c r="B894" s="440">
        <v>6100048090</v>
      </c>
      <c r="C894" s="440" t="s">
        <v>631</v>
      </c>
      <c r="D894" s="444">
        <v>44390</v>
      </c>
      <c r="E894" s="445">
        <v>5798</v>
      </c>
      <c r="F894" s="440">
        <v>1001010007</v>
      </c>
      <c r="G894" s="440" t="s">
        <v>632</v>
      </c>
    </row>
    <row r="895" spans="1:7">
      <c r="A895" s="440">
        <v>4700609881</v>
      </c>
      <c r="B895" s="440">
        <v>6100048090</v>
      </c>
      <c r="C895" s="440" t="s">
        <v>631</v>
      </c>
      <c r="D895" s="444">
        <v>44390</v>
      </c>
      <c r="E895" s="445">
        <v>5100</v>
      </c>
      <c r="F895" s="440">
        <v>1001010007</v>
      </c>
      <c r="G895" s="440" t="s">
        <v>632</v>
      </c>
    </row>
    <row r="896" spans="1:7">
      <c r="A896" s="440">
        <v>4700609881</v>
      </c>
      <c r="B896" s="440">
        <v>6100048090</v>
      </c>
      <c r="C896" s="440" t="s">
        <v>631</v>
      </c>
      <c r="D896" s="444">
        <v>44390</v>
      </c>
      <c r="E896" s="445">
        <v>5300</v>
      </c>
      <c r="F896" s="440">
        <v>1001010007</v>
      </c>
      <c r="G896" s="440" t="s">
        <v>632</v>
      </c>
    </row>
    <row r="897" spans="1:7">
      <c r="A897" s="440">
        <v>4700609881</v>
      </c>
      <c r="B897" s="440">
        <v>6100048090</v>
      </c>
      <c r="C897" s="440" t="s">
        <v>631</v>
      </c>
      <c r="D897" s="444">
        <v>44390</v>
      </c>
      <c r="E897" s="445">
        <v>3000</v>
      </c>
      <c r="F897" s="440">
        <v>1001010007</v>
      </c>
      <c r="G897" s="440" t="s">
        <v>632</v>
      </c>
    </row>
    <row r="898" spans="1:7">
      <c r="A898" s="440">
        <v>4700609881</v>
      </c>
      <c r="B898" s="440">
        <v>6100048090</v>
      </c>
      <c r="C898" s="440" t="s">
        <v>631</v>
      </c>
      <c r="D898" s="444">
        <v>44390</v>
      </c>
      <c r="E898" s="445">
        <v>3549</v>
      </c>
      <c r="F898" s="440">
        <v>1001010007</v>
      </c>
      <c r="G898" s="440" t="s">
        <v>632</v>
      </c>
    </row>
    <row r="899" spans="1:7">
      <c r="A899" s="440">
        <v>4700609881</v>
      </c>
      <c r="B899" s="440">
        <v>6100048090</v>
      </c>
      <c r="C899" s="440" t="s">
        <v>631</v>
      </c>
      <c r="D899" s="444">
        <v>44390</v>
      </c>
      <c r="E899" s="445">
        <v>2200</v>
      </c>
      <c r="F899" s="440">
        <v>1001010007</v>
      </c>
      <c r="G899" s="440" t="s">
        <v>632</v>
      </c>
    </row>
    <row r="900" spans="1:7">
      <c r="A900" s="440">
        <v>4700609881</v>
      </c>
      <c r="B900" s="440">
        <v>6100048090</v>
      </c>
      <c r="C900" s="440" t="s">
        <v>631</v>
      </c>
      <c r="D900" s="444">
        <v>44390</v>
      </c>
      <c r="E900" s="445">
        <v>7060</v>
      </c>
      <c r="F900" s="440">
        <v>1001010007</v>
      </c>
      <c r="G900" s="440" t="s">
        <v>632</v>
      </c>
    </row>
    <row r="901" spans="1:7">
      <c r="A901" s="440">
        <v>4700609881</v>
      </c>
      <c r="B901" s="440">
        <v>6100048090</v>
      </c>
      <c r="C901" s="440" t="s">
        <v>631</v>
      </c>
      <c r="D901" s="444">
        <v>44390</v>
      </c>
      <c r="E901" s="445">
        <v>5167</v>
      </c>
      <c r="F901" s="440">
        <v>1001010007</v>
      </c>
      <c r="G901" s="440" t="s">
        <v>632</v>
      </c>
    </row>
    <row r="902" spans="1:7">
      <c r="A902" s="440">
        <v>4700609881</v>
      </c>
      <c r="B902" s="440">
        <v>6100048090</v>
      </c>
      <c r="C902" s="440" t="s">
        <v>631</v>
      </c>
      <c r="D902" s="444">
        <v>44390</v>
      </c>
      <c r="E902" s="445">
        <v>16304</v>
      </c>
      <c r="F902" s="440">
        <v>1001010007</v>
      </c>
      <c r="G902" s="440" t="s">
        <v>632</v>
      </c>
    </row>
    <row r="903" spans="1:7">
      <c r="A903" s="440">
        <v>4700612223</v>
      </c>
      <c r="B903" s="440">
        <v>6100048346</v>
      </c>
      <c r="C903" s="440" t="s">
        <v>631</v>
      </c>
      <c r="D903" s="444">
        <v>44392</v>
      </c>
      <c r="E903" s="445">
        <v>9450</v>
      </c>
      <c r="F903" s="440">
        <v>1001010007</v>
      </c>
      <c r="G903" s="440" t="s">
        <v>632</v>
      </c>
    </row>
    <row r="904" spans="1:7">
      <c r="A904" s="440">
        <v>4700612223</v>
      </c>
      <c r="B904" s="440">
        <v>6100048346</v>
      </c>
      <c r="C904" s="440" t="s">
        <v>631</v>
      </c>
      <c r="D904" s="444">
        <v>44392</v>
      </c>
      <c r="E904" s="445">
        <v>6722</v>
      </c>
      <c r="F904" s="440">
        <v>1001010007</v>
      </c>
      <c r="G904" s="440" t="s">
        <v>632</v>
      </c>
    </row>
    <row r="905" spans="1:7">
      <c r="A905" s="440">
        <v>4700612223</v>
      </c>
      <c r="B905" s="440">
        <v>6100048346</v>
      </c>
      <c r="C905" s="440" t="s">
        <v>631</v>
      </c>
      <c r="D905" s="444">
        <v>44392</v>
      </c>
      <c r="E905" s="445">
        <v>5882</v>
      </c>
      <c r="F905" s="440">
        <v>1001010007</v>
      </c>
      <c r="G905" s="440" t="s">
        <v>632</v>
      </c>
    </row>
    <row r="906" spans="1:7">
      <c r="A906" s="440">
        <v>4700612223</v>
      </c>
      <c r="B906" s="440">
        <v>6100048346</v>
      </c>
      <c r="C906" s="440" t="s">
        <v>631</v>
      </c>
      <c r="D906" s="444">
        <v>44392</v>
      </c>
      <c r="E906" s="445">
        <v>5798</v>
      </c>
      <c r="F906" s="440">
        <v>1001010007</v>
      </c>
      <c r="G906" s="440" t="s">
        <v>632</v>
      </c>
    </row>
    <row r="907" spans="1:7">
      <c r="A907" s="440">
        <v>4700612223</v>
      </c>
      <c r="B907" s="440">
        <v>6100048346</v>
      </c>
      <c r="C907" s="440" t="s">
        <v>631</v>
      </c>
      <c r="D907" s="444">
        <v>44392</v>
      </c>
      <c r="E907" s="445">
        <v>5100</v>
      </c>
      <c r="F907" s="440">
        <v>1001010007</v>
      </c>
      <c r="G907" s="440" t="s">
        <v>632</v>
      </c>
    </row>
    <row r="908" spans="1:7">
      <c r="A908" s="440">
        <v>4700612223</v>
      </c>
      <c r="B908" s="440">
        <v>6100048346</v>
      </c>
      <c r="C908" s="440" t="s">
        <v>631</v>
      </c>
      <c r="D908" s="444">
        <v>44392</v>
      </c>
      <c r="E908" s="445">
        <v>5300</v>
      </c>
      <c r="F908" s="440">
        <v>1001010007</v>
      </c>
      <c r="G908" s="440" t="s">
        <v>632</v>
      </c>
    </row>
    <row r="909" spans="1:7">
      <c r="A909" s="440">
        <v>4700612223</v>
      </c>
      <c r="B909" s="440">
        <v>6100048346</v>
      </c>
      <c r="C909" s="440" t="s">
        <v>631</v>
      </c>
      <c r="D909" s="444">
        <v>44392</v>
      </c>
      <c r="E909" s="445">
        <v>3000</v>
      </c>
      <c r="F909" s="440">
        <v>1001010007</v>
      </c>
      <c r="G909" s="440" t="s">
        <v>632</v>
      </c>
    </row>
    <row r="910" spans="1:7">
      <c r="A910" s="440">
        <v>4700612223</v>
      </c>
      <c r="B910" s="440">
        <v>6100048346</v>
      </c>
      <c r="C910" s="440" t="s">
        <v>631</v>
      </c>
      <c r="D910" s="444">
        <v>44392</v>
      </c>
      <c r="E910" s="445">
        <v>3550</v>
      </c>
      <c r="F910" s="440">
        <v>1001010007</v>
      </c>
      <c r="G910" s="440" t="s">
        <v>632</v>
      </c>
    </row>
    <row r="911" spans="1:7">
      <c r="A911" s="440">
        <v>4700612223</v>
      </c>
      <c r="B911" s="440">
        <v>6100048346</v>
      </c>
      <c r="C911" s="440" t="s">
        <v>631</v>
      </c>
      <c r="D911" s="444">
        <v>44392</v>
      </c>
      <c r="E911" s="445">
        <v>2201</v>
      </c>
      <c r="F911" s="440">
        <v>1001010007</v>
      </c>
      <c r="G911" s="440" t="s">
        <v>632</v>
      </c>
    </row>
    <row r="912" spans="1:7">
      <c r="A912" s="440">
        <v>4700612223</v>
      </c>
      <c r="B912" s="440">
        <v>6100048346</v>
      </c>
      <c r="C912" s="440" t="s">
        <v>631</v>
      </c>
      <c r="D912" s="444">
        <v>44392</v>
      </c>
      <c r="E912" s="445">
        <v>7058</v>
      </c>
      <c r="F912" s="440">
        <v>1001010007</v>
      </c>
      <c r="G912" s="440" t="s">
        <v>632</v>
      </c>
    </row>
    <row r="913" spans="1:7">
      <c r="A913" s="440">
        <v>4700612223</v>
      </c>
      <c r="B913" s="440">
        <v>6100048346</v>
      </c>
      <c r="C913" s="440" t="s">
        <v>631</v>
      </c>
      <c r="D913" s="444">
        <v>44392</v>
      </c>
      <c r="E913" s="445">
        <v>5168</v>
      </c>
      <c r="F913" s="440">
        <v>1001010007</v>
      </c>
      <c r="G913" s="440" t="s">
        <v>632</v>
      </c>
    </row>
    <row r="914" spans="1:7">
      <c r="A914" s="440">
        <v>4700612223</v>
      </c>
      <c r="B914" s="440">
        <v>6100048346</v>
      </c>
      <c r="C914" s="440" t="s">
        <v>631</v>
      </c>
      <c r="D914" s="444">
        <v>44392</v>
      </c>
      <c r="E914" s="445">
        <v>16304</v>
      </c>
      <c r="F914" s="440">
        <v>1001010007</v>
      </c>
      <c r="G914" s="440" t="s">
        <v>632</v>
      </c>
    </row>
    <row r="915" spans="1:7">
      <c r="A915" s="440">
        <v>4700612223</v>
      </c>
      <c r="B915" s="440">
        <v>6100048537</v>
      </c>
      <c r="C915" s="440" t="s">
        <v>631</v>
      </c>
      <c r="D915" s="444">
        <v>44392</v>
      </c>
      <c r="E915" s="445">
        <v>-9450</v>
      </c>
      <c r="F915" s="440">
        <v>1001010007</v>
      </c>
      <c r="G915" s="440" t="s">
        <v>632</v>
      </c>
    </row>
    <row r="916" spans="1:7">
      <c r="A916" s="440">
        <v>4700612223</v>
      </c>
      <c r="B916" s="440">
        <v>6100048537</v>
      </c>
      <c r="C916" s="440" t="s">
        <v>631</v>
      </c>
      <c r="D916" s="444">
        <v>44392</v>
      </c>
      <c r="E916" s="445">
        <v>-6722</v>
      </c>
      <c r="F916" s="440">
        <v>1001010007</v>
      </c>
      <c r="G916" s="440" t="s">
        <v>632</v>
      </c>
    </row>
    <row r="917" spans="1:7">
      <c r="A917" s="440">
        <v>4700612223</v>
      </c>
      <c r="B917" s="440">
        <v>6100048537</v>
      </c>
      <c r="C917" s="440" t="s">
        <v>631</v>
      </c>
      <c r="D917" s="444">
        <v>44392</v>
      </c>
      <c r="E917" s="445">
        <v>-5882</v>
      </c>
      <c r="F917" s="440">
        <v>1001010007</v>
      </c>
      <c r="G917" s="440" t="s">
        <v>632</v>
      </c>
    </row>
    <row r="918" spans="1:7">
      <c r="A918" s="440">
        <v>4700612223</v>
      </c>
      <c r="B918" s="440">
        <v>6100048537</v>
      </c>
      <c r="C918" s="440" t="s">
        <v>631</v>
      </c>
      <c r="D918" s="444">
        <v>44392</v>
      </c>
      <c r="E918" s="445">
        <v>-5798</v>
      </c>
      <c r="F918" s="440">
        <v>1001010007</v>
      </c>
      <c r="G918" s="440" t="s">
        <v>632</v>
      </c>
    </row>
    <row r="919" spans="1:7">
      <c r="A919" s="440">
        <v>4700612223</v>
      </c>
      <c r="B919" s="440">
        <v>6100048537</v>
      </c>
      <c r="C919" s="440" t="s">
        <v>631</v>
      </c>
      <c r="D919" s="444">
        <v>44392</v>
      </c>
      <c r="E919" s="445">
        <v>-5100</v>
      </c>
      <c r="F919" s="440">
        <v>1001010007</v>
      </c>
      <c r="G919" s="440" t="s">
        <v>632</v>
      </c>
    </row>
    <row r="920" spans="1:7">
      <c r="A920" s="440">
        <v>4700612223</v>
      </c>
      <c r="B920" s="440">
        <v>6100048537</v>
      </c>
      <c r="C920" s="440" t="s">
        <v>631</v>
      </c>
      <c r="D920" s="444">
        <v>44392</v>
      </c>
      <c r="E920" s="445">
        <v>-5300</v>
      </c>
      <c r="F920" s="440">
        <v>1001010007</v>
      </c>
      <c r="G920" s="440" t="s">
        <v>632</v>
      </c>
    </row>
    <row r="921" spans="1:7">
      <c r="A921" s="440">
        <v>4700612223</v>
      </c>
      <c r="B921" s="440">
        <v>6100048537</v>
      </c>
      <c r="C921" s="440" t="s">
        <v>631</v>
      </c>
      <c r="D921" s="444">
        <v>44392</v>
      </c>
      <c r="E921" s="445">
        <v>-3000</v>
      </c>
      <c r="F921" s="440">
        <v>1001010007</v>
      </c>
      <c r="G921" s="440" t="s">
        <v>632</v>
      </c>
    </row>
    <row r="922" spans="1:7">
      <c r="A922" s="440">
        <v>4700612223</v>
      </c>
      <c r="B922" s="440">
        <v>6100048537</v>
      </c>
      <c r="C922" s="440" t="s">
        <v>631</v>
      </c>
      <c r="D922" s="444">
        <v>44392</v>
      </c>
      <c r="E922" s="445">
        <v>-3550</v>
      </c>
      <c r="F922" s="440">
        <v>1001010007</v>
      </c>
      <c r="G922" s="440" t="s">
        <v>632</v>
      </c>
    </row>
    <row r="923" spans="1:7">
      <c r="A923" s="440">
        <v>4700612223</v>
      </c>
      <c r="B923" s="440">
        <v>6100048537</v>
      </c>
      <c r="C923" s="440" t="s">
        <v>631</v>
      </c>
      <c r="D923" s="444">
        <v>44392</v>
      </c>
      <c r="E923" s="445">
        <v>-2201</v>
      </c>
      <c r="F923" s="440">
        <v>1001010007</v>
      </c>
      <c r="G923" s="440" t="s">
        <v>632</v>
      </c>
    </row>
    <row r="924" spans="1:7">
      <c r="A924" s="440">
        <v>4700612223</v>
      </c>
      <c r="B924" s="440">
        <v>6100048537</v>
      </c>
      <c r="C924" s="440" t="s">
        <v>631</v>
      </c>
      <c r="D924" s="444">
        <v>44392</v>
      </c>
      <c r="E924" s="445">
        <v>-7058</v>
      </c>
      <c r="F924" s="440">
        <v>1001010007</v>
      </c>
      <c r="G924" s="440" t="s">
        <v>632</v>
      </c>
    </row>
    <row r="925" spans="1:7">
      <c r="A925" s="440">
        <v>4700612223</v>
      </c>
      <c r="B925" s="440">
        <v>6100048537</v>
      </c>
      <c r="C925" s="440" t="s">
        <v>631</v>
      </c>
      <c r="D925" s="444">
        <v>44392</v>
      </c>
      <c r="E925" s="445">
        <v>-5168</v>
      </c>
      <c r="F925" s="440">
        <v>1001010007</v>
      </c>
      <c r="G925" s="440" t="s">
        <v>632</v>
      </c>
    </row>
    <row r="926" spans="1:7">
      <c r="A926" s="440">
        <v>4700612223</v>
      </c>
      <c r="B926" s="440">
        <v>6100048537</v>
      </c>
      <c r="C926" s="440" t="s">
        <v>631</v>
      </c>
      <c r="D926" s="444">
        <v>44392</v>
      </c>
      <c r="E926" s="445">
        <v>-16304</v>
      </c>
      <c r="F926" s="440">
        <v>1001010007</v>
      </c>
      <c r="G926" s="440" t="s">
        <v>632</v>
      </c>
    </row>
    <row r="927" spans="1:7">
      <c r="A927" s="440">
        <v>4700627263</v>
      </c>
      <c r="B927" s="440">
        <v>6100054699</v>
      </c>
      <c r="C927" s="440" t="s">
        <v>631</v>
      </c>
      <c r="D927" s="444">
        <v>44425</v>
      </c>
      <c r="E927" s="445">
        <v>9451</v>
      </c>
      <c r="F927" s="440">
        <v>1001010007</v>
      </c>
      <c r="G927" s="440" t="s">
        <v>632</v>
      </c>
    </row>
    <row r="928" spans="1:7">
      <c r="A928" s="440">
        <v>4700627263</v>
      </c>
      <c r="B928" s="440">
        <v>6100054699</v>
      </c>
      <c r="C928" s="440" t="s">
        <v>631</v>
      </c>
      <c r="D928" s="444">
        <v>44425</v>
      </c>
      <c r="E928" s="445">
        <v>13444</v>
      </c>
      <c r="F928" s="440">
        <v>1001010007</v>
      </c>
      <c r="G928" s="440" t="s">
        <v>632</v>
      </c>
    </row>
    <row r="929" spans="1:7">
      <c r="A929" s="440">
        <v>4700627263</v>
      </c>
      <c r="B929" s="440">
        <v>6100054699</v>
      </c>
      <c r="C929" s="440" t="s">
        <v>631</v>
      </c>
      <c r="D929" s="444">
        <v>44425</v>
      </c>
      <c r="E929" s="445">
        <v>5882</v>
      </c>
      <c r="F929" s="440">
        <v>1001010007</v>
      </c>
      <c r="G929" s="440" t="s">
        <v>632</v>
      </c>
    </row>
    <row r="930" spans="1:7">
      <c r="A930" s="440">
        <v>4700627263</v>
      </c>
      <c r="B930" s="440">
        <v>6100054699</v>
      </c>
      <c r="C930" s="440" t="s">
        <v>631</v>
      </c>
      <c r="D930" s="444">
        <v>44425</v>
      </c>
      <c r="E930" s="445">
        <v>5200</v>
      </c>
      <c r="F930" s="440">
        <v>1001010007</v>
      </c>
      <c r="G930" s="440" t="s">
        <v>632</v>
      </c>
    </row>
    <row r="931" spans="1:7">
      <c r="A931" s="440">
        <v>4700627263</v>
      </c>
      <c r="B931" s="440">
        <v>6100054699</v>
      </c>
      <c r="C931" s="440" t="s">
        <v>631</v>
      </c>
      <c r="D931" s="444">
        <v>44425</v>
      </c>
      <c r="E931" s="445">
        <v>5300</v>
      </c>
      <c r="F931" s="440">
        <v>1001010007</v>
      </c>
      <c r="G931" s="440" t="s">
        <v>632</v>
      </c>
    </row>
    <row r="932" spans="1:7">
      <c r="A932" s="440">
        <v>4700627263</v>
      </c>
      <c r="B932" s="440">
        <v>6100054699</v>
      </c>
      <c r="C932" s="440" t="s">
        <v>631</v>
      </c>
      <c r="D932" s="444">
        <v>44425</v>
      </c>
      <c r="E932" s="445">
        <v>3900</v>
      </c>
      <c r="F932" s="440">
        <v>1001010007</v>
      </c>
      <c r="G932" s="440" t="s">
        <v>632</v>
      </c>
    </row>
    <row r="933" spans="1:7">
      <c r="A933" s="440">
        <v>4700627263</v>
      </c>
      <c r="B933" s="440">
        <v>6100054699</v>
      </c>
      <c r="C933" s="440" t="s">
        <v>631</v>
      </c>
      <c r="D933" s="444">
        <v>44425</v>
      </c>
      <c r="E933" s="445">
        <v>2000</v>
      </c>
      <c r="F933" s="440">
        <v>1001010007</v>
      </c>
      <c r="G933" s="440" t="s">
        <v>632</v>
      </c>
    </row>
    <row r="934" spans="1:7">
      <c r="A934" s="440">
        <v>4700627263</v>
      </c>
      <c r="B934" s="440">
        <v>6100054699</v>
      </c>
      <c r="C934" s="440" t="s">
        <v>631</v>
      </c>
      <c r="D934" s="444">
        <v>44425</v>
      </c>
      <c r="E934" s="445">
        <v>14116</v>
      </c>
      <c r="F934" s="440">
        <v>1001010007</v>
      </c>
      <c r="G934" s="440" t="s">
        <v>632</v>
      </c>
    </row>
    <row r="935" spans="1:7">
      <c r="A935" s="440">
        <v>4700627263</v>
      </c>
      <c r="B935" s="440">
        <v>6100054699</v>
      </c>
      <c r="C935" s="440" t="s">
        <v>631</v>
      </c>
      <c r="D935" s="444">
        <v>44425</v>
      </c>
      <c r="E935" s="445">
        <v>10336</v>
      </c>
      <c r="F935" s="440">
        <v>1001010007</v>
      </c>
      <c r="G935" s="440" t="s">
        <v>632</v>
      </c>
    </row>
    <row r="936" spans="1:7">
      <c r="A936" s="440">
        <v>4700627263</v>
      </c>
      <c r="B936" s="440">
        <v>6100054699</v>
      </c>
      <c r="C936" s="440" t="s">
        <v>631</v>
      </c>
      <c r="D936" s="444">
        <v>44425</v>
      </c>
      <c r="E936" s="445">
        <v>12608</v>
      </c>
      <c r="F936" s="440">
        <v>1001010007</v>
      </c>
      <c r="G936" s="440" t="s">
        <v>632</v>
      </c>
    </row>
    <row r="937" spans="1:7">
      <c r="A937" s="440">
        <v>4700641005</v>
      </c>
      <c r="B937" s="440">
        <v>6100060215</v>
      </c>
      <c r="C937" s="440" t="s">
        <v>631</v>
      </c>
      <c r="D937" s="444">
        <v>44449</v>
      </c>
      <c r="E937" s="445">
        <v>9449</v>
      </c>
      <c r="F937" s="440">
        <v>1001010007</v>
      </c>
      <c r="G937" s="440" t="s">
        <v>632</v>
      </c>
    </row>
    <row r="938" spans="1:7">
      <c r="A938" s="440">
        <v>4700641005</v>
      </c>
      <c r="B938" s="440">
        <v>6100060215</v>
      </c>
      <c r="C938" s="440" t="s">
        <v>631</v>
      </c>
      <c r="D938" s="444">
        <v>44449</v>
      </c>
      <c r="E938" s="445">
        <v>13444</v>
      </c>
      <c r="F938" s="440">
        <v>1001010007</v>
      </c>
      <c r="G938" s="440" t="s">
        <v>632</v>
      </c>
    </row>
    <row r="939" spans="1:7">
      <c r="A939" s="440">
        <v>4700641005</v>
      </c>
      <c r="B939" s="440">
        <v>6100060215</v>
      </c>
      <c r="C939" s="440" t="s">
        <v>631</v>
      </c>
      <c r="D939" s="444">
        <v>44449</v>
      </c>
      <c r="E939" s="445">
        <v>5882</v>
      </c>
      <c r="F939" s="440">
        <v>1001010007</v>
      </c>
      <c r="G939" s="440" t="s">
        <v>632</v>
      </c>
    </row>
    <row r="940" spans="1:7">
      <c r="A940" s="440">
        <v>4700641005</v>
      </c>
      <c r="B940" s="440">
        <v>6100060215</v>
      </c>
      <c r="C940" s="440" t="s">
        <v>631</v>
      </c>
      <c r="D940" s="444">
        <v>44449</v>
      </c>
      <c r="E940" s="445">
        <v>5200</v>
      </c>
      <c r="F940" s="440">
        <v>1001010007</v>
      </c>
      <c r="G940" s="440" t="s">
        <v>632</v>
      </c>
    </row>
    <row r="941" spans="1:7">
      <c r="A941" s="440">
        <v>4700641005</v>
      </c>
      <c r="B941" s="440">
        <v>6100060215</v>
      </c>
      <c r="C941" s="440" t="s">
        <v>631</v>
      </c>
      <c r="D941" s="444">
        <v>44449</v>
      </c>
      <c r="E941" s="445">
        <v>5300</v>
      </c>
      <c r="F941" s="440">
        <v>1001010007</v>
      </c>
      <c r="G941" s="440" t="s">
        <v>632</v>
      </c>
    </row>
    <row r="942" spans="1:7">
      <c r="A942" s="440">
        <v>4700641005</v>
      </c>
      <c r="B942" s="440">
        <v>6100060215</v>
      </c>
      <c r="C942" s="440" t="s">
        <v>631</v>
      </c>
      <c r="D942" s="444">
        <v>44449</v>
      </c>
      <c r="E942" s="445">
        <v>3900</v>
      </c>
      <c r="F942" s="440">
        <v>1001010007</v>
      </c>
      <c r="G942" s="440" t="s">
        <v>632</v>
      </c>
    </row>
    <row r="943" spans="1:7">
      <c r="A943" s="440">
        <v>4700641005</v>
      </c>
      <c r="B943" s="440">
        <v>6100060215</v>
      </c>
      <c r="C943" s="440" t="s">
        <v>631</v>
      </c>
      <c r="D943" s="444">
        <v>44449</v>
      </c>
      <c r="E943" s="445">
        <v>2000</v>
      </c>
      <c r="F943" s="440">
        <v>1001010007</v>
      </c>
      <c r="G943" s="440" t="s">
        <v>632</v>
      </c>
    </row>
    <row r="944" spans="1:7">
      <c r="A944" s="440">
        <v>4700641005</v>
      </c>
      <c r="B944" s="440">
        <v>6100060215</v>
      </c>
      <c r="C944" s="440" t="s">
        <v>631</v>
      </c>
      <c r="D944" s="444">
        <v>44449</v>
      </c>
      <c r="E944" s="445">
        <v>7058</v>
      </c>
      <c r="F944" s="440">
        <v>1001010007</v>
      </c>
      <c r="G944" s="440" t="s">
        <v>632</v>
      </c>
    </row>
    <row r="945" spans="1:7">
      <c r="A945" s="440">
        <v>4700641005</v>
      </c>
      <c r="B945" s="440">
        <v>6100060215</v>
      </c>
      <c r="C945" s="440" t="s">
        <v>631</v>
      </c>
      <c r="D945" s="444">
        <v>44449</v>
      </c>
      <c r="E945" s="445">
        <v>5168</v>
      </c>
      <c r="F945" s="440">
        <v>1001010007</v>
      </c>
      <c r="G945" s="440" t="s">
        <v>632</v>
      </c>
    </row>
    <row r="946" spans="1:7">
      <c r="A946" s="440">
        <v>4700641005</v>
      </c>
      <c r="B946" s="440">
        <v>6100060215</v>
      </c>
      <c r="C946" s="440" t="s">
        <v>631</v>
      </c>
      <c r="D946" s="444">
        <v>44449</v>
      </c>
      <c r="E946" s="445">
        <v>2647</v>
      </c>
      <c r="F946" s="440">
        <v>1001010007</v>
      </c>
      <c r="G946" s="440" t="s">
        <v>632</v>
      </c>
    </row>
    <row r="947" spans="1:7">
      <c r="A947" s="440">
        <v>4700641005</v>
      </c>
      <c r="B947" s="440">
        <v>6100060215</v>
      </c>
      <c r="C947" s="440" t="s">
        <v>631</v>
      </c>
      <c r="D947" s="444">
        <v>44449</v>
      </c>
      <c r="E947" s="445">
        <v>21054</v>
      </c>
      <c r="F947" s="440">
        <v>1001010007</v>
      </c>
      <c r="G947" s="440" t="s">
        <v>632</v>
      </c>
    </row>
    <row r="948" spans="1:7">
      <c r="A948" s="440">
        <v>4700457329</v>
      </c>
      <c r="B948" s="440">
        <v>6100071383</v>
      </c>
      <c r="C948" s="440" t="s">
        <v>631</v>
      </c>
      <c r="D948" s="444">
        <v>44056</v>
      </c>
      <c r="E948" s="445">
        <v>9500</v>
      </c>
      <c r="F948" s="440">
        <v>1001010009</v>
      </c>
      <c r="G948" s="440" t="s">
        <v>632</v>
      </c>
    </row>
    <row r="949" spans="1:7">
      <c r="A949" s="440">
        <v>4700457329</v>
      </c>
      <c r="B949" s="440">
        <v>6100071383</v>
      </c>
      <c r="C949" s="440" t="s">
        <v>631</v>
      </c>
      <c r="D949" s="444">
        <v>44056</v>
      </c>
      <c r="E949" s="445">
        <v>1700</v>
      </c>
      <c r="F949" s="440">
        <v>1001010009</v>
      </c>
      <c r="G949" s="440" t="s">
        <v>632</v>
      </c>
    </row>
    <row r="950" spans="1:7">
      <c r="A950" s="440">
        <v>4700457329</v>
      </c>
      <c r="B950" s="440">
        <v>6100071383</v>
      </c>
      <c r="C950" s="440" t="s">
        <v>631</v>
      </c>
      <c r="D950" s="444">
        <v>44056</v>
      </c>
      <c r="E950" s="445">
        <v>7730</v>
      </c>
      <c r="F950" s="440">
        <v>1001010009</v>
      </c>
      <c r="G950" s="440" t="s">
        <v>632</v>
      </c>
    </row>
    <row r="951" spans="1:7">
      <c r="A951" s="440">
        <v>4700457329</v>
      </c>
      <c r="B951" s="440">
        <v>6100071383</v>
      </c>
      <c r="C951" s="440" t="s">
        <v>631</v>
      </c>
      <c r="D951" s="444">
        <v>44056</v>
      </c>
      <c r="E951" s="445">
        <v>5100</v>
      </c>
      <c r="F951" s="440">
        <v>1001010009</v>
      </c>
      <c r="G951" s="440" t="s">
        <v>632</v>
      </c>
    </row>
    <row r="952" spans="1:7">
      <c r="A952" s="440">
        <v>4700457329</v>
      </c>
      <c r="B952" s="440">
        <v>6100071383</v>
      </c>
      <c r="C952" s="440" t="s">
        <v>631</v>
      </c>
      <c r="D952" s="444">
        <v>44056</v>
      </c>
      <c r="E952" s="445">
        <v>26847</v>
      </c>
      <c r="F952" s="440">
        <v>1001010009</v>
      </c>
      <c r="G952" s="440" t="s">
        <v>632</v>
      </c>
    </row>
    <row r="953" spans="1:7">
      <c r="A953" s="440">
        <v>4700457329</v>
      </c>
      <c r="B953" s="440">
        <v>6100071383</v>
      </c>
      <c r="C953" s="440" t="s">
        <v>631</v>
      </c>
      <c r="D953" s="444">
        <v>44056</v>
      </c>
      <c r="E953" s="445">
        <v>2227</v>
      </c>
      <c r="F953" s="440">
        <v>1001010009</v>
      </c>
      <c r="G953" s="440" t="s">
        <v>632</v>
      </c>
    </row>
    <row r="954" spans="1:7">
      <c r="A954" s="440">
        <v>4700457329</v>
      </c>
      <c r="B954" s="440">
        <v>6100071383</v>
      </c>
      <c r="C954" s="440" t="s">
        <v>631</v>
      </c>
      <c r="D954" s="444">
        <v>44056</v>
      </c>
      <c r="E954" s="445">
        <v>2050</v>
      </c>
      <c r="F954" s="440">
        <v>1001010009</v>
      </c>
      <c r="G954" s="440" t="s">
        <v>632</v>
      </c>
    </row>
    <row r="955" spans="1:7">
      <c r="A955" s="440">
        <v>4700457329</v>
      </c>
      <c r="B955" s="440">
        <v>6100071383</v>
      </c>
      <c r="C955" s="440" t="s">
        <v>631</v>
      </c>
      <c r="D955" s="444">
        <v>44056</v>
      </c>
      <c r="E955" s="445">
        <v>8600</v>
      </c>
      <c r="F955" s="440">
        <v>1001010009</v>
      </c>
      <c r="G955" s="440" t="s">
        <v>632</v>
      </c>
    </row>
    <row r="956" spans="1:7">
      <c r="A956" s="440">
        <v>4700457329</v>
      </c>
      <c r="B956" s="440">
        <v>6100071383</v>
      </c>
      <c r="C956" s="440" t="s">
        <v>631</v>
      </c>
      <c r="D956" s="444">
        <v>44056</v>
      </c>
      <c r="E956" s="445">
        <v>8319</v>
      </c>
      <c r="F956" s="440">
        <v>1001010009</v>
      </c>
      <c r="G956" s="440" t="s">
        <v>632</v>
      </c>
    </row>
    <row r="957" spans="1:7">
      <c r="A957" s="440">
        <v>4700457329</v>
      </c>
      <c r="B957" s="440">
        <v>6100071383</v>
      </c>
      <c r="C957" s="440" t="s">
        <v>631</v>
      </c>
      <c r="D957" s="444">
        <v>44056</v>
      </c>
      <c r="E957" s="445">
        <v>27603</v>
      </c>
      <c r="F957" s="440">
        <v>1001010009</v>
      </c>
      <c r="G957" s="440" t="s">
        <v>632</v>
      </c>
    </row>
    <row r="958" spans="1:7">
      <c r="A958" s="440">
        <v>4700457329</v>
      </c>
      <c r="B958" s="440">
        <v>6100071383</v>
      </c>
      <c r="C958" s="440" t="s">
        <v>631</v>
      </c>
      <c r="D958" s="444">
        <v>44056</v>
      </c>
      <c r="E958" s="445">
        <v>1765</v>
      </c>
      <c r="F958" s="440">
        <v>1001010009</v>
      </c>
      <c r="G958" s="440" t="s">
        <v>632</v>
      </c>
    </row>
    <row r="959" spans="1:7">
      <c r="A959" s="440">
        <v>4700457329</v>
      </c>
      <c r="B959" s="440">
        <v>6100071383</v>
      </c>
      <c r="C959" s="440" t="s">
        <v>631</v>
      </c>
      <c r="D959" s="444">
        <v>44056</v>
      </c>
      <c r="E959" s="445">
        <v>13800</v>
      </c>
      <c r="F959" s="440">
        <v>1001010009</v>
      </c>
      <c r="G959" s="440" t="s">
        <v>632</v>
      </c>
    </row>
    <row r="960" spans="1:7">
      <c r="A960" s="440">
        <v>4700457329</v>
      </c>
      <c r="B960" s="440">
        <v>6100071383</v>
      </c>
      <c r="C960" s="440" t="s">
        <v>631</v>
      </c>
      <c r="D960" s="444">
        <v>44056</v>
      </c>
      <c r="E960" s="445">
        <v>4050</v>
      </c>
      <c r="F960" s="440">
        <v>1001010009</v>
      </c>
      <c r="G960" s="440" t="s">
        <v>632</v>
      </c>
    </row>
    <row r="961" spans="1:7">
      <c r="A961" s="440">
        <v>4700457329</v>
      </c>
      <c r="B961" s="440">
        <v>6100071383</v>
      </c>
      <c r="C961" s="440" t="s">
        <v>631</v>
      </c>
      <c r="D961" s="444">
        <v>44056</v>
      </c>
      <c r="E961" s="445">
        <v>7058</v>
      </c>
      <c r="F961" s="440">
        <v>1001010009</v>
      </c>
      <c r="G961" s="440" t="s">
        <v>632</v>
      </c>
    </row>
    <row r="962" spans="1:7">
      <c r="A962" s="440">
        <v>4700457329</v>
      </c>
      <c r="B962" s="440">
        <v>6100071383</v>
      </c>
      <c r="C962" s="440" t="s">
        <v>631</v>
      </c>
      <c r="D962" s="444">
        <v>44056</v>
      </c>
      <c r="E962" s="445">
        <v>26700</v>
      </c>
      <c r="F962" s="440">
        <v>1001010009</v>
      </c>
      <c r="G962" s="440" t="s">
        <v>632</v>
      </c>
    </row>
    <row r="963" spans="1:7">
      <c r="A963" s="440">
        <v>4700470390</v>
      </c>
      <c r="B963" s="440">
        <v>6100079774</v>
      </c>
      <c r="C963" s="440" t="s">
        <v>631</v>
      </c>
      <c r="D963" s="444">
        <v>44084</v>
      </c>
      <c r="E963" s="445">
        <v>5200</v>
      </c>
      <c r="F963" s="440">
        <v>1001010009</v>
      </c>
      <c r="G963" s="440" t="s">
        <v>632</v>
      </c>
    </row>
    <row r="964" spans="1:7">
      <c r="A964" s="440">
        <v>4700470390</v>
      </c>
      <c r="B964" s="440">
        <v>6100079774</v>
      </c>
      <c r="C964" s="440" t="s">
        <v>631</v>
      </c>
      <c r="D964" s="444">
        <v>44084</v>
      </c>
      <c r="E964" s="445">
        <v>9500</v>
      </c>
      <c r="F964" s="440">
        <v>1001010009</v>
      </c>
      <c r="G964" s="440" t="s">
        <v>632</v>
      </c>
    </row>
    <row r="965" spans="1:7">
      <c r="A965" s="440">
        <v>4700470390</v>
      </c>
      <c r="B965" s="440">
        <v>6100079774</v>
      </c>
      <c r="C965" s="440" t="s">
        <v>631</v>
      </c>
      <c r="D965" s="444">
        <v>44084</v>
      </c>
      <c r="E965" s="445">
        <v>7058</v>
      </c>
      <c r="F965" s="440">
        <v>1001010009</v>
      </c>
      <c r="G965" s="440" t="s">
        <v>632</v>
      </c>
    </row>
    <row r="966" spans="1:7">
      <c r="A966" s="440">
        <v>4700470390</v>
      </c>
      <c r="B966" s="440">
        <v>6100079774</v>
      </c>
      <c r="C966" s="440" t="s">
        <v>631</v>
      </c>
      <c r="D966" s="444">
        <v>44084</v>
      </c>
      <c r="E966" s="445">
        <v>2227</v>
      </c>
      <c r="F966" s="440">
        <v>1001010009</v>
      </c>
      <c r="G966" s="440" t="s">
        <v>632</v>
      </c>
    </row>
    <row r="967" spans="1:7">
      <c r="A967" s="440">
        <v>4700470390</v>
      </c>
      <c r="B967" s="440">
        <v>6100079774</v>
      </c>
      <c r="C967" s="440" t="s">
        <v>631</v>
      </c>
      <c r="D967" s="444">
        <v>44084</v>
      </c>
      <c r="E967" s="445">
        <v>9700</v>
      </c>
      <c r="F967" s="440">
        <v>1001010009</v>
      </c>
      <c r="G967" s="440" t="s">
        <v>632</v>
      </c>
    </row>
    <row r="968" spans="1:7">
      <c r="A968" s="440">
        <v>4700470390</v>
      </c>
      <c r="B968" s="440">
        <v>6100079774</v>
      </c>
      <c r="C968" s="440" t="s">
        <v>631</v>
      </c>
      <c r="D968" s="444">
        <v>44084</v>
      </c>
      <c r="E968" s="445">
        <v>6134</v>
      </c>
      <c r="F968" s="440">
        <v>1001010009</v>
      </c>
      <c r="G968" s="440" t="s">
        <v>632</v>
      </c>
    </row>
    <row r="969" spans="1:7">
      <c r="A969" s="440">
        <v>4700470390</v>
      </c>
      <c r="B969" s="440">
        <v>6100079774</v>
      </c>
      <c r="C969" s="440" t="s">
        <v>631</v>
      </c>
      <c r="D969" s="444">
        <v>44084</v>
      </c>
      <c r="E969" s="445">
        <v>11092</v>
      </c>
      <c r="F969" s="440">
        <v>1001010009</v>
      </c>
      <c r="G969" s="440" t="s">
        <v>632</v>
      </c>
    </row>
    <row r="970" spans="1:7">
      <c r="A970" s="440">
        <v>4700470390</v>
      </c>
      <c r="B970" s="440">
        <v>6100079774</v>
      </c>
      <c r="C970" s="440" t="s">
        <v>631</v>
      </c>
      <c r="D970" s="444">
        <v>44084</v>
      </c>
      <c r="E970" s="445">
        <v>9832</v>
      </c>
      <c r="F970" s="440">
        <v>1001010009</v>
      </c>
      <c r="G970" s="440" t="s">
        <v>632</v>
      </c>
    </row>
    <row r="971" spans="1:7">
      <c r="A971" s="440">
        <v>4700470390</v>
      </c>
      <c r="B971" s="440">
        <v>6100079774</v>
      </c>
      <c r="C971" s="440" t="s">
        <v>631</v>
      </c>
      <c r="D971" s="444">
        <v>44084</v>
      </c>
      <c r="E971" s="445">
        <v>7700</v>
      </c>
      <c r="F971" s="440">
        <v>1001010009</v>
      </c>
      <c r="G971" s="440" t="s">
        <v>632</v>
      </c>
    </row>
    <row r="972" spans="1:7">
      <c r="A972" s="440">
        <v>4700470390</v>
      </c>
      <c r="B972" s="440">
        <v>6100079774</v>
      </c>
      <c r="C972" s="440" t="s">
        <v>631</v>
      </c>
      <c r="D972" s="444">
        <v>44084</v>
      </c>
      <c r="E972" s="445">
        <v>4750</v>
      </c>
      <c r="F972" s="440">
        <v>1001010009</v>
      </c>
      <c r="G972" s="440" t="s">
        <v>632</v>
      </c>
    </row>
    <row r="973" spans="1:7">
      <c r="A973" s="440">
        <v>4700470390</v>
      </c>
      <c r="B973" s="440">
        <v>6100079774</v>
      </c>
      <c r="C973" s="440" t="s">
        <v>631</v>
      </c>
      <c r="D973" s="444">
        <v>44084</v>
      </c>
      <c r="E973" s="445">
        <v>2050</v>
      </c>
      <c r="F973" s="440">
        <v>1001010009</v>
      </c>
      <c r="G973" s="440" t="s">
        <v>632</v>
      </c>
    </row>
    <row r="974" spans="1:7">
      <c r="A974" s="440">
        <v>4700470390</v>
      </c>
      <c r="B974" s="440">
        <v>6100079774</v>
      </c>
      <c r="C974" s="440" t="s">
        <v>631</v>
      </c>
      <c r="D974" s="444">
        <v>44084</v>
      </c>
      <c r="E974" s="445">
        <v>26850</v>
      </c>
      <c r="F974" s="440">
        <v>1001010009</v>
      </c>
      <c r="G974" s="440" t="s">
        <v>632</v>
      </c>
    </row>
    <row r="975" spans="1:7">
      <c r="A975" s="440">
        <v>4700500189</v>
      </c>
      <c r="B975" s="440">
        <v>6100118225</v>
      </c>
      <c r="C975" s="440" t="s">
        <v>631</v>
      </c>
      <c r="D975" s="444">
        <v>44153</v>
      </c>
      <c r="E975" s="445">
        <v>9500</v>
      </c>
      <c r="F975" s="440">
        <v>1001010009</v>
      </c>
      <c r="G975" s="440" t="s">
        <v>632</v>
      </c>
    </row>
    <row r="976" spans="1:7">
      <c r="A976" s="440">
        <v>4700500189</v>
      </c>
      <c r="B976" s="440">
        <v>6100118225</v>
      </c>
      <c r="C976" s="440" t="s">
        <v>631</v>
      </c>
      <c r="D976" s="444">
        <v>44153</v>
      </c>
      <c r="E976" s="445">
        <v>18402</v>
      </c>
      <c r="F976" s="440">
        <v>1001010009</v>
      </c>
      <c r="G976" s="440" t="s">
        <v>632</v>
      </c>
    </row>
    <row r="977" spans="1:7">
      <c r="A977" s="440">
        <v>4700500189</v>
      </c>
      <c r="B977" s="440">
        <v>6100118225</v>
      </c>
      <c r="C977" s="440" t="s">
        <v>631</v>
      </c>
      <c r="D977" s="444">
        <v>44153</v>
      </c>
      <c r="E977" s="445">
        <v>9200</v>
      </c>
      <c r="F977" s="440">
        <v>1001010009</v>
      </c>
      <c r="G977" s="440" t="s">
        <v>632</v>
      </c>
    </row>
    <row r="978" spans="1:7">
      <c r="A978" s="440">
        <v>4700500189</v>
      </c>
      <c r="B978" s="440">
        <v>6100118225</v>
      </c>
      <c r="C978" s="440" t="s">
        <v>631</v>
      </c>
      <c r="D978" s="444">
        <v>44153</v>
      </c>
      <c r="E978" s="445">
        <v>5300</v>
      </c>
      <c r="F978" s="440">
        <v>1001010009</v>
      </c>
      <c r="G978" s="440" t="s">
        <v>632</v>
      </c>
    </row>
    <row r="979" spans="1:7">
      <c r="A979" s="440">
        <v>4700500189</v>
      </c>
      <c r="B979" s="440">
        <v>6100118225</v>
      </c>
      <c r="C979" s="440" t="s">
        <v>631</v>
      </c>
      <c r="D979" s="444">
        <v>44153</v>
      </c>
      <c r="E979" s="445">
        <v>9832</v>
      </c>
      <c r="F979" s="440">
        <v>1001010009</v>
      </c>
      <c r="G979" s="440" t="s">
        <v>632</v>
      </c>
    </row>
    <row r="980" spans="1:7">
      <c r="A980" s="440">
        <v>4700500189</v>
      </c>
      <c r="B980" s="440">
        <v>6100118225</v>
      </c>
      <c r="C980" s="440" t="s">
        <v>631</v>
      </c>
      <c r="D980" s="444">
        <v>44153</v>
      </c>
      <c r="E980" s="445">
        <v>12000</v>
      </c>
      <c r="F980" s="440">
        <v>1001010009</v>
      </c>
      <c r="G980" s="440" t="s">
        <v>632</v>
      </c>
    </row>
    <row r="981" spans="1:7">
      <c r="A981" s="440">
        <v>4700500189</v>
      </c>
      <c r="B981" s="440">
        <v>6100118225</v>
      </c>
      <c r="C981" s="440" t="s">
        <v>631</v>
      </c>
      <c r="D981" s="444">
        <v>44153</v>
      </c>
      <c r="E981" s="445">
        <v>1900</v>
      </c>
      <c r="F981" s="440">
        <v>1001010009</v>
      </c>
      <c r="G981" s="440" t="s">
        <v>632</v>
      </c>
    </row>
    <row r="982" spans="1:7">
      <c r="A982" s="440">
        <v>4700500189</v>
      </c>
      <c r="B982" s="440">
        <v>6100118225</v>
      </c>
      <c r="C982" s="440" t="s">
        <v>631</v>
      </c>
      <c r="D982" s="444">
        <v>44153</v>
      </c>
      <c r="E982" s="445">
        <v>2050</v>
      </c>
      <c r="F982" s="440">
        <v>1001010009</v>
      </c>
      <c r="G982" s="440" t="s">
        <v>632</v>
      </c>
    </row>
    <row r="983" spans="1:7">
      <c r="A983" s="440">
        <v>4700500189</v>
      </c>
      <c r="B983" s="440">
        <v>6100118225</v>
      </c>
      <c r="C983" s="440" t="s">
        <v>631</v>
      </c>
      <c r="D983" s="444">
        <v>44153</v>
      </c>
      <c r="E983" s="445">
        <v>7058</v>
      </c>
      <c r="F983" s="440">
        <v>1001010009</v>
      </c>
      <c r="G983" s="440" t="s">
        <v>632</v>
      </c>
    </row>
    <row r="984" spans="1:7">
      <c r="A984" s="440">
        <v>4700500189</v>
      </c>
      <c r="B984" s="440">
        <v>6100118225</v>
      </c>
      <c r="C984" s="440" t="s">
        <v>631</v>
      </c>
      <c r="D984" s="444">
        <v>44153</v>
      </c>
      <c r="E984" s="445">
        <v>3446</v>
      </c>
      <c r="F984" s="440">
        <v>1001010009</v>
      </c>
      <c r="G984" s="440" t="s">
        <v>632</v>
      </c>
    </row>
    <row r="985" spans="1:7">
      <c r="A985" s="440">
        <v>4700500189</v>
      </c>
      <c r="B985" s="440">
        <v>6100118225</v>
      </c>
      <c r="C985" s="440" t="s">
        <v>631</v>
      </c>
      <c r="D985" s="444">
        <v>44153</v>
      </c>
      <c r="E985" s="445">
        <v>8193</v>
      </c>
      <c r="F985" s="440">
        <v>1001010009</v>
      </c>
      <c r="G985" s="440" t="s">
        <v>632</v>
      </c>
    </row>
    <row r="986" spans="1:7">
      <c r="A986" s="440">
        <v>4700500189</v>
      </c>
      <c r="B986" s="440">
        <v>6100118225</v>
      </c>
      <c r="C986" s="440" t="s">
        <v>631</v>
      </c>
      <c r="D986" s="444">
        <v>44153</v>
      </c>
      <c r="E986" s="445">
        <v>26847</v>
      </c>
      <c r="F986" s="440">
        <v>1001010009</v>
      </c>
      <c r="G986" s="440" t="s">
        <v>632</v>
      </c>
    </row>
    <row r="987" spans="1:7">
      <c r="A987" s="440">
        <v>4700500189</v>
      </c>
      <c r="B987" s="440">
        <v>6100118225</v>
      </c>
      <c r="C987" s="440" t="s">
        <v>631</v>
      </c>
      <c r="D987" s="444">
        <v>44153</v>
      </c>
      <c r="E987" s="445">
        <v>43698</v>
      </c>
      <c r="F987" s="440">
        <v>1001010009</v>
      </c>
      <c r="G987" s="440" t="s">
        <v>632</v>
      </c>
    </row>
    <row r="988" spans="1:7">
      <c r="A988" s="440">
        <v>4700612189</v>
      </c>
      <c r="B988" s="440">
        <v>6100048354</v>
      </c>
      <c r="C988" s="440" t="s">
        <v>631</v>
      </c>
      <c r="D988" s="444">
        <v>44392</v>
      </c>
      <c r="E988" s="445">
        <v>11300</v>
      </c>
      <c r="F988" s="440">
        <v>1001010009</v>
      </c>
      <c r="G988" s="440" t="s">
        <v>632</v>
      </c>
    </row>
    <row r="989" spans="1:7">
      <c r="A989" s="440">
        <v>4700612189</v>
      </c>
      <c r="B989" s="440">
        <v>6100048354</v>
      </c>
      <c r="C989" s="440" t="s">
        <v>631</v>
      </c>
      <c r="D989" s="444">
        <v>44392</v>
      </c>
      <c r="E989" s="445">
        <v>6722</v>
      </c>
      <c r="F989" s="440">
        <v>1001010009</v>
      </c>
      <c r="G989" s="440" t="s">
        <v>632</v>
      </c>
    </row>
    <row r="990" spans="1:7">
      <c r="A990" s="440">
        <v>4700612189</v>
      </c>
      <c r="B990" s="440">
        <v>6100048354</v>
      </c>
      <c r="C990" s="440" t="s">
        <v>631</v>
      </c>
      <c r="D990" s="444">
        <v>44392</v>
      </c>
      <c r="E990" s="445">
        <v>5882</v>
      </c>
      <c r="F990" s="440">
        <v>1001010009</v>
      </c>
      <c r="G990" s="440" t="s">
        <v>632</v>
      </c>
    </row>
    <row r="991" spans="1:7">
      <c r="A991" s="440">
        <v>4700612189</v>
      </c>
      <c r="B991" s="440">
        <v>6100048354</v>
      </c>
      <c r="C991" s="440" t="s">
        <v>631</v>
      </c>
      <c r="D991" s="444">
        <v>44392</v>
      </c>
      <c r="E991" s="445">
        <v>5798</v>
      </c>
      <c r="F991" s="440">
        <v>1001010009</v>
      </c>
      <c r="G991" s="440" t="s">
        <v>632</v>
      </c>
    </row>
    <row r="992" spans="1:7">
      <c r="A992" s="440">
        <v>4700612189</v>
      </c>
      <c r="B992" s="440">
        <v>6100048354</v>
      </c>
      <c r="C992" s="440" t="s">
        <v>631</v>
      </c>
      <c r="D992" s="444">
        <v>44392</v>
      </c>
      <c r="E992" s="445">
        <v>5100</v>
      </c>
      <c r="F992" s="440">
        <v>1001010009</v>
      </c>
      <c r="G992" s="440" t="s">
        <v>632</v>
      </c>
    </row>
    <row r="993" spans="1:7">
      <c r="A993" s="440">
        <v>4700612189</v>
      </c>
      <c r="B993" s="440">
        <v>6100048354</v>
      </c>
      <c r="C993" s="440" t="s">
        <v>631</v>
      </c>
      <c r="D993" s="444">
        <v>44392</v>
      </c>
      <c r="E993" s="445">
        <v>5300</v>
      </c>
      <c r="F993" s="440">
        <v>1001010009</v>
      </c>
      <c r="G993" s="440" t="s">
        <v>632</v>
      </c>
    </row>
    <row r="994" spans="1:7">
      <c r="A994" s="440">
        <v>4700612189</v>
      </c>
      <c r="B994" s="440">
        <v>6100048354</v>
      </c>
      <c r="C994" s="440" t="s">
        <v>631</v>
      </c>
      <c r="D994" s="444">
        <v>44392</v>
      </c>
      <c r="E994" s="445">
        <v>9832</v>
      </c>
      <c r="F994" s="440">
        <v>1001010009</v>
      </c>
      <c r="G994" s="440" t="s">
        <v>632</v>
      </c>
    </row>
    <row r="995" spans="1:7">
      <c r="A995" s="440">
        <v>4700612189</v>
      </c>
      <c r="B995" s="440">
        <v>6100048354</v>
      </c>
      <c r="C995" s="440" t="s">
        <v>631</v>
      </c>
      <c r="D995" s="444">
        <v>44392</v>
      </c>
      <c r="E995" s="445">
        <v>3950</v>
      </c>
      <c r="F995" s="440">
        <v>1001010009</v>
      </c>
      <c r="G995" s="440" t="s">
        <v>632</v>
      </c>
    </row>
    <row r="996" spans="1:7">
      <c r="A996" s="440">
        <v>4700612189</v>
      </c>
      <c r="B996" s="440">
        <v>6100048354</v>
      </c>
      <c r="C996" s="440" t="s">
        <v>631</v>
      </c>
      <c r="D996" s="444">
        <v>44392</v>
      </c>
      <c r="E996" s="445">
        <v>2200</v>
      </c>
      <c r="F996" s="440">
        <v>1001010009</v>
      </c>
      <c r="G996" s="440" t="s">
        <v>632</v>
      </c>
    </row>
    <row r="997" spans="1:7">
      <c r="A997" s="440">
        <v>4700612189</v>
      </c>
      <c r="B997" s="440">
        <v>6100048354</v>
      </c>
      <c r="C997" s="440" t="s">
        <v>631</v>
      </c>
      <c r="D997" s="444">
        <v>44392</v>
      </c>
      <c r="E997" s="445">
        <v>7058</v>
      </c>
      <c r="F997" s="440">
        <v>1001010009</v>
      </c>
      <c r="G997" s="440" t="s">
        <v>632</v>
      </c>
    </row>
    <row r="998" spans="1:7">
      <c r="A998" s="440">
        <v>4700612189</v>
      </c>
      <c r="B998" s="440">
        <v>6100048354</v>
      </c>
      <c r="C998" s="440" t="s">
        <v>631</v>
      </c>
      <c r="D998" s="444">
        <v>44392</v>
      </c>
      <c r="E998" s="445">
        <v>17902</v>
      </c>
      <c r="F998" s="440">
        <v>1001010009</v>
      </c>
      <c r="G998" s="440" t="s">
        <v>632</v>
      </c>
    </row>
    <row r="999" spans="1:7">
      <c r="A999" s="440">
        <v>4700627473</v>
      </c>
      <c r="B999" s="440">
        <v>6100054827</v>
      </c>
      <c r="C999" s="440" t="s">
        <v>631</v>
      </c>
      <c r="D999" s="444">
        <v>44426</v>
      </c>
      <c r="E999" s="445">
        <v>11300</v>
      </c>
      <c r="F999" s="440">
        <v>1001010009</v>
      </c>
      <c r="G999" s="440" t="s">
        <v>632</v>
      </c>
    </row>
    <row r="1000" spans="1:7">
      <c r="A1000" s="440">
        <v>4700627473</v>
      </c>
      <c r="B1000" s="440">
        <v>6100054827</v>
      </c>
      <c r="C1000" s="440" t="s">
        <v>631</v>
      </c>
      <c r="D1000" s="444">
        <v>44426</v>
      </c>
      <c r="E1000" s="445">
        <v>13444</v>
      </c>
      <c r="F1000" s="440">
        <v>1001010009</v>
      </c>
      <c r="G1000" s="440" t="s">
        <v>632</v>
      </c>
    </row>
    <row r="1001" spans="1:7">
      <c r="A1001" s="440">
        <v>4700627473</v>
      </c>
      <c r="B1001" s="440">
        <v>6100054827</v>
      </c>
      <c r="C1001" s="440" t="s">
        <v>631</v>
      </c>
      <c r="D1001" s="444">
        <v>44426</v>
      </c>
      <c r="E1001" s="445">
        <v>5882</v>
      </c>
      <c r="F1001" s="440">
        <v>1001010009</v>
      </c>
      <c r="G1001" s="440" t="s">
        <v>632</v>
      </c>
    </row>
    <row r="1002" spans="1:7">
      <c r="A1002" s="440">
        <v>4700627473</v>
      </c>
      <c r="B1002" s="440">
        <v>6100054827</v>
      </c>
      <c r="C1002" s="440" t="s">
        <v>631</v>
      </c>
      <c r="D1002" s="444">
        <v>44426</v>
      </c>
      <c r="E1002" s="445">
        <v>5200</v>
      </c>
      <c r="F1002" s="440">
        <v>1001010009</v>
      </c>
      <c r="G1002" s="440" t="s">
        <v>632</v>
      </c>
    </row>
    <row r="1003" spans="1:7">
      <c r="A1003" s="440">
        <v>4700627473</v>
      </c>
      <c r="B1003" s="440">
        <v>6100054827</v>
      </c>
      <c r="C1003" s="440" t="s">
        <v>631</v>
      </c>
      <c r="D1003" s="444">
        <v>44426</v>
      </c>
      <c r="E1003" s="445">
        <v>5300</v>
      </c>
      <c r="F1003" s="440">
        <v>1001010009</v>
      </c>
      <c r="G1003" s="440" t="s">
        <v>632</v>
      </c>
    </row>
    <row r="1004" spans="1:7">
      <c r="A1004" s="440">
        <v>4700627473</v>
      </c>
      <c r="B1004" s="440">
        <v>6100054827</v>
      </c>
      <c r="C1004" s="440" t="s">
        <v>631</v>
      </c>
      <c r="D1004" s="444">
        <v>44426</v>
      </c>
      <c r="E1004" s="445">
        <v>8404</v>
      </c>
      <c r="F1004" s="440">
        <v>1001010009</v>
      </c>
      <c r="G1004" s="440" t="s">
        <v>632</v>
      </c>
    </row>
    <row r="1005" spans="1:7">
      <c r="A1005" s="440">
        <v>4700627473</v>
      </c>
      <c r="B1005" s="440">
        <v>6100054827</v>
      </c>
      <c r="C1005" s="440" t="s">
        <v>631</v>
      </c>
      <c r="D1005" s="444">
        <v>44426</v>
      </c>
      <c r="E1005" s="445">
        <v>8277</v>
      </c>
      <c r="F1005" s="440">
        <v>1001010009</v>
      </c>
      <c r="G1005" s="440" t="s">
        <v>632</v>
      </c>
    </row>
    <row r="1006" spans="1:7">
      <c r="A1006" s="440">
        <v>4700627473</v>
      </c>
      <c r="B1006" s="440">
        <v>6100054827</v>
      </c>
      <c r="C1006" s="440" t="s">
        <v>631</v>
      </c>
      <c r="D1006" s="444">
        <v>44426</v>
      </c>
      <c r="E1006" s="445">
        <v>3000</v>
      </c>
      <c r="F1006" s="440">
        <v>1001010009</v>
      </c>
      <c r="G1006" s="440" t="s">
        <v>632</v>
      </c>
    </row>
    <row r="1007" spans="1:7">
      <c r="A1007" s="440">
        <v>4700627473</v>
      </c>
      <c r="B1007" s="440">
        <v>6100054827</v>
      </c>
      <c r="C1007" s="440" t="s">
        <v>631</v>
      </c>
      <c r="D1007" s="444">
        <v>44426</v>
      </c>
      <c r="E1007" s="445">
        <v>2200</v>
      </c>
      <c r="F1007" s="440">
        <v>1001010009</v>
      </c>
      <c r="G1007" s="440" t="s">
        <v>632</v>
      </c>
    </row>
    <row r="1008" spans="1:7">
      <c r="A1008" s="440">
        <v>4700627473</v>
      </c>
      <c r="B1008" s="440">
        <v>6100054827</v>
      </c>
      <c r="C1008" s="440" t="s">
        <v>631</v>
      </c>
      <c r="D1008" s="444">
        <v>44426</v>
      </c>
      <c r="E1008" s="445">
        <v>7058</v>
      </c>
      <c r="F1008" s="440">
        <v>1001010009</v>
      </c>
      <c r="G1008" s="440" t="s">
        <v>632</v>
      </c>
    </row>
    <row r="1009" spans="1:7">
      <c r="A1009" s="440">
        <v>4700627473</v>
      </c>
      <c r="B1009" s="440">
        <v>6100054827</v>
      </c>
      <c r="C1009" s="440" t="s">
        <v>631</v>
      </c>
      <c r="D1009" s="444">
        <v>44426</v>
      </c>
      <c r="E1009" s="445">
        <v>6302</v>
      </c>
      <c r="F1009" s="440">
        <v>1001010009</v>
      </c>
      <c r="G1009" s="440" t="s">
        <v>632</v>
      </c>
    </row>
    <row r="1010" spans="1:7">
      <c r="A1010" s="440">
        <v>4700627473</v>
      </c>
      <c r="B1010" s="440">
        <v>6100054827</v>
      </c>
      <c r="C1010" s="440" t="s">
        <v>631</v>
      </c>
      <c r="D1010" s="444">
        <v>44426</v>
      </c>
      <c r="E1010" s="445">
        <v>23532</v>
      </c>
      <c r="F1010" s="440">
        <v>1001010009</v>
      </c>
      <c r="G1010" s="440" t="s">
        <v>632</v>
      </c>
    </row>
    <row r="1011" spans="1:7">
      <c r="A1011" s="440">
        <v>4700639724</v>
      </c>
      <c r="B1011" s="440">
        <v>6100060262</v>
      </c>
      <c r="C1011" s="440" t="s">
        <v>631</v>
      </c>
      <c r="D1011" s="444">
        <v>44449</v>
      </c>
      <c r="E1011" s="445">
        <v>9450</v>
      </c>
      <c r="F1011" s="440">
        <v>1001010009</v>
      </c>
      <c r="G1011" s="440" t="s">
        <v>632</v>
      </c>
    </row>
    <row r="1012" spans="1:7">
      <c r="A1012" s="440">
        <v>4700639724</v>
      </c>
      <c r="B1012" s="440">
        <v>6100060262</v>
      </c>
      <c r="C1012" s="440" t="s">
        <v>631</v>
      </c>
      <c r="D1012" s="444">
        <v>44449</v>
      </c>
      <c r="E1012" s="445">
        <v>13444</v>
      </c>
      <c r="F1012" s="440">
        <v>1001010009</v>
      </c>
      <c r="G1012" s="440" t="s">
        <v>632</v>
      </c>
    </row>
    <row r="1013" spans="1:7">
      <c r="A1013" s="440">
        <v>4700639724</v>
      </c>
      <c r="B1013" s="440">
        <v>6100060262</v>
      </c>
      <c r="C1013" s="440" t="s">
        <v>631</v>
      </c>
      <c r="D1013" s="444">
        <v>44449</v>
      </c>
      <c r="E1013" s="445">
        <v>5882</v>
      </c>
      <c r="F1013" s="440">
        <v>1001010009</v>
      </c>
      <c r="G1013" s="440" t="s">
        <v>632</v>
      </c>
    </row>
    <row r="1014" spans="1:7">
      <c r="A1014" s="440">
        <v>4700639724</v>
      </c>
      <c r="B1014" s="440">
        <v>6100060262</v>
      </c>
      <c r="C1014" s="440" t="s">
        <v>631</v>
      </c>
      <c r="D1014" s="444">
        <v>44449</v>
      </c>
      <c r="E1014" s="445">
        <v>5200</v>
      </c>
      <c r="F1014" s="440">
        <v>1001010009</v>
      </c>
      <c r="G1014" s="440" t="s">
        <v>632</v>
      </c>
    </row>
    <row r="1015" spans="1:7">
      <c r="A1015" s="440">
        <v>4700639724</v>
      </c>
      <c r="B1015" s="440">
        <v>6100060262</v>
      </c>
      <c r="C1015" s="440" t="s">
        <v>631</v>
      </c>
      <c r="D1015" s="444">
        <v>44449</v>
      </c>
      <c r="E1015" s="445">
        <v>5300</v>
      </c>
      <c r="F1015" s="440">
        <v>1001010009</v>
      </c>
      <c r="G1015" s="440" t="s">
        <v>632</v>
      </c>
    </row>
    <row r="1016" spans="1:7">
      <c r="A1016" s="440">
        <v>4700639724</v>
      </c>
      <c r="B1016" s="440">
        <v>6100060262</v>
      </c>
      <c r="C1016" s="440" t="s">
        <v>631</v>
      </c>
      <c r="D1016" s="444">
        <v>44449</v>
      </c>
      <c r="E1016" s="445">
        <v>4370</v>
      </c>
      <c r="F1016" s="440">
        <v>1001010009</v>
      </c>
      <c r="G1016" s="440" t="s">
        <v>632</v>
      </c>
    </row>
    <row r="1017" spans="1:7">
      <c r="A1017" s="440">
        <v>4700639724</v>
      </c>
      <c r="B1017" s="440">
        <v>6100060262</v>
      </c>
      <c r="C1017" s="440" t="s">
        <v>631</v>
      </c>
      <c r="D1017" s="444">
        <v>44449</v>
      </c>
      <c r="E1017" s="445">
        <v>2100</v>
      </c>
      <c r="F1017" s="440">
        <v>1001010009</v>
      </c>
      <c r="G1017" s="440" t="s">
        <v>632</v>
      </c>
    </row>
    <row r="1018" spans="1:7">
      <c r="A1018" s="440">
        <v>4700639724</v>
      </c>
      <c r="B1018" s="440">
        <v>6100060262</v>
      </c>
      <c r="C1018" s="440" t="s">
        <v>631</v>
      </c>
      <c r="D1018" s="444">
        <v>44449</v>
      </c>
      <c r="E1018" s="445">
        <v>2000</v>
      </c>
      <c r="F1018" s="440">
        <v>1001010009</v>
      </c>
      <c r="G1018" s="440" t="s">
        <v>632</v>
      </c>
    </row>
    <row r="1019" spans="1:7">
      <c r="A1019" s="440">
        <v>4700639724</v>
      </c>
      <c r="B1019" s="440">
        <v>6100060262</v>
      </c>
      <c r="C1019" s="440" t="s">
        <v>631</v>
      </c>
      <c r="D1019" s="444">
        <v>44449</v>
      </c>
      <c r="E1019" s="445">
        <v>7058</v>
      </c>
      <c r="F1019" s="440">
        <v>1001010009</v>
      </c>
      <c r="G1019" s="440" t="s">
        <v>632</v>
      </c>
    </row>
    <row r="1020" spans="1:7">
      <c r="A1020" s="440">
        <v>4700639724</v>
      </c>
      <c r="B1020" s="440">
        <v>6100060262</v>
      </c>
      <c r="C1020" s="440" t="s">
        <v>631</v>
      </c>
      <c r="D1020" s="444">
        <v>44449</v>
      </c>
      <c r="E1020" s="445">
        <v>7941</v>
      </c>
      <c r="F1020" s="440">
        <v>1001010009</v>
      </c>
      <c r="G1020" s="440" t="s">
        <v>632</v>
      </c>
    </row>
    <row r="1021" spans="1:7">
      <c r="A1021" s="440">
        <v>4700639724</v>
      </c>
      <c r="B1021" s="440">
        <v>6100060262</v>
      </c>
      <c r="C1021" s="440" t="s">
        <v>631</v>
      </c>
      <c r="D1021" s="444">
        <v>44449</v>
      </c>
      <c r="E1021" s="445">
        <v>12860</v>
      </c>
      <c r="F1021" s="440">
        <v>1001010009</v>
      </c>
      <c r="G1021" s="440" t="s">
        <v>632</v>
      </c>
    </row>
    <row r="1022" spans="1:7">
      <c r="A1022" s="440">
        <v>4700675542</v>
      </c>
      <c r="B1022" s="440">
        <v>6100086063</v>
      </c>
      <c r="C1022" s="440" t="s">
        <v>631</v>
      </c>
      <c r="D1022" s="444">
        <v>44522</v>
      </c>
      <c r="E1022" s="445">
        <v>9450</v>
      </c>
      <c r="F1022" s="440">
        <v>1001010009</v>
      </c>
      <c r="G1022" s="440" t="s">
        <v>632</v>
      </c>
    </row>
    <row r="1023" spans="1:7">
      <c r="A1023" s="440">
        <v>4700675542</v>
      </c>
      <c r="B1023" s="440">
        <v>6100086063</v>
      </c>
      <c r="C1023" s="440" t="s">
        <v>631</v>
      </c>
      <c r="D1023" s="444">
        <v>44522</v>
      </c>
      <c r="E1023" s="445">
        <v>20166</v>
      </c>
      <c r="F1023" s="440">
        <v>1001010009</v>
      </c>
      <c r="G1023" s="440" t="s">
        <v>632</v>
      </c>
    </row>
    <row r="1024" spans="1:7">
      <c r="A1024" s="440">
        <v>4700675542</v>
      </c>
      <c r="B1024" s="440">
        <v>6100086063</v>
      </c>
      <c r="C1024" s="440" t="s">
        <v>631</v>
      </c>
      <c r="D1024" s="444">
        <v>44522</v>
      </c>
      <c r="E1024" s="445">
        <v>8823</v>
      </c>
      <c r="F1024" s="440">
        <v>1001010009</v>
      </c>
      <c r="G1024" s="440" t="s">
        <v>632</v>
      </c>
    </row>
    <row r="1025" spans="1:7">
      <c r="A1025" s="440">
        <v>4700675542</v>
      </c>
      <c r="B1025" s="440">
        <v>6100086063</v>
      </c>
      <c r="C1025" s="440" t="s">
        <v>631</v>
      </c>
      <c r="D1025" s="444">
        <v>44522</v>
      </c>
      <c r="E1025" s="445">
        <v>9957</v>
      </c>
      <c r="F1025" s="440">
        <v>1001010009</v>
      </c>
      <c r="G1025" s="440" t="s">
        <v>632</v>
      </c>
    </row>
    <row r="1026" spans="1:7">
      <c r="A1026" s="440">
        <v>4700675542</v>
      </c>
      <c r="B1026" s="440">
        <v>6100086063</v>
      </c>
      <c r="C1026" s="440" t="s">
        <v>631</v>
      </c>
      <c r="D1026" s="444">
        <v>44522</v>
      </c>
      <c r="E1026" s="445">
        <v>10400</v>
      </c>
      <c r="F1026" s="440">
        <v>1001010009</v>
      </c>
      <c r="G1026" s="440" t="s">
        <v>632</v>
      </c>
    </row>
    <row r="1027" spans="1:7">
      <c r="A1027" s="440">
        <v>4700675542</v>
      </c>
      <c r="B1027" s="440">
        <v>6100086063</v>
      </c>
      <c r="C1027" s="440" t="s">
        <v>631</v>
      </c>
      <c r="D1027" s="444">
        <v>44522</v>
      </c>
      <c r="E1027" s="445">
        <v>10600</v>
      </c>
      <c r="F1027" s="440">
        <v>1001010009</v>
      </c>
      <c r="G1027" s="440" t="s">
        <v>632</v>
      </c>
    </row>
    <row r="1028" spans="1:7">
      <c r="A1028" s="440">
        <v>4700675542</v>
      </c>
      <c r="B1028" s="440">
        <v>6100086063</v>
      </c>
      <c r="C1028" s="440" t="s">
        <v>631</v>
      </c>
      <c r="D1028" s="444">
        <v>44522</v>
      </c>
      <c r="E1028" s="445">
        <v>8404</v>
      </c>
      <c r="F1028" s="440">
        <v>1001010009</v>
      </c>
      <c r="G1028" s="440" t="s">
        <v>632</v>
      </c>
    </row>
    <row r="1029" spans="1:7">
      <c r="A1029" s="440">
        <v>4700675542</v>
      </c>
      <c r="B1029" s="440">
        <v>6100086063</v>
      </c>
      <c r="C1029" s="440" t="s">
        <v>631</v>
      </c>
      <c r="D1029" s="444">
        <v>44522</v>
      </c>
      <c r="E1029" s="445">
        <v>4550</v>
      </c>
      <c r="F1029" s="440">
        <v>1001010009</v>
      </c>
      <c r="G1029" s="440" t="s">
        <v>632</v>
      </c>
    </row>
    <row r="1030" spans="1:7">
      <c r="A1030" s="440">
        <v>4700675542</v>
      </c>
      <c r="B1030" s="440">
        <v>6100086063</v>
      </c>
      <c r="C1030" s="440" t="s">
        <v>631</v>
      </c>
      <c r="D1030" s="444">
        <v>44522</v>
      </c>
      <c r="E1030" s="445">
        <v>2200</v>
      </c>
      <c r="F1030" s="440">
        <v>1001010009</v>
      </c>
      <c r="G1030" s="440" t="s">
        <v>632</v>
      </c>
    </row>
    <row r="1031" spans="1:7">
      <c r="A1031" s="440">
        <v>4700675542</v>
      </c>
      <c r="B1031" s="440">
        <v>6100086063</v>
      </c>
      <c r="C1031" s="440" t="s">
        <v>631</v>
      </c>
      <c r="D1031" s="444">
        <v>44522</v>
      </c>
      <c r="E1031" s="445">
        <v>4200</v>
      </c>
      <c r="F1031" s="440">
        <v>1001010009</v>
      </c>
      <c r="G1031" s="440" t="s">
        <v>632</v>
      </c>
    </row>
    <row r="1032" spans="1:7">
      <c r="A1032" s="440">
        <v>4700675542</v>
      </c>
      <c r="B1032" s="440">
        <v>6100086063</v>
      </c>
      <c r="C1032" s="440" t="s">
        <v>631</v>
      </c>
      <c r="D1032" s="444">
        <v>44522</v>
      </c>
      <c r="E1032" s="445">
        <v>7310</v>
      </c>
      <c r="F1032" s="440">
        <v>1001010009</v>
      </c>
      <c r="G1032" s="440" t="s">
        <v>632</v>
      </c>
    </row>
    <row r="1033" spans="1:7">
      <c r="A1033" s="440">
        <v>4700675542</v>
      </c>
      <c r="B1033" s="440">
        <v>6100086063</v>
      </c>
      <c r="C1033" s="440" t="s">
        <v>631</v>
      </c>
      <c r="D1033" s="444">
        <v>44522</v>
      </c>
      <c r="E1033" s="445">
        <v>5294</v>
      </c>
      <c r="F1033" s="440">
        <v>1001010009</v>
      </c>
      <c r="G1033" s="440" t="s">
        <v>632</v>
      </c>
    </row>
    <row r="1034" spans="1:7">
      <c r="A1034" s="440">
        <v>4700675542</v>
      </c>
      <c r="B1034" s="440">
        <v>6100086063</v>
      </c>
      <c r="C1034" s="440" t="s">
        <v>631</v>
      </c>
      <c r="D1034" s="444">
        <v>44522</v>
      </c>
      <c r="E1034" s="445">
        <v>3151</v>
      </c>
      <c r="F1034" s="440">
        <v>1001010009</v>
      </c>
      <c r="G1034" s="440" t="s">
        <v>632</v>
      </c>
    </row>
    <row r="1035" spans="1:7">
      <c r="A1035" s="440">
        <v>4700675542</v>
      </c>
      <c r="B1035" s="440">
        <v>6100086063</v>
      </c>
      <c r="C1035" s="440" t="s">
        <v>631</v>
      </c>
      <c r="D1035" s="444">
        <v>44522</v>
      </c>
      <c r="E1035" s="445">
        <v>21852</v>
      </c>
      <c r="F1035" s="440">
        <v>1001010009</v>
      </c>
      <c r="G1035" s="440" t="s">
        <v>632</v>
      </c>
    </row>
    <row r="1036" spans="1:7">
      <c r="A1036" s="440">
        <v>4700690030</v>
      </c>
      <c r="B1036" s="440">
        <v>6100095627</v>
      </c>
      <c r="C1036" s="440" t="s">
        <v>631</v>
      </c>
      <c r="D1036" s="444">
        <v>44548</v>
      </c>
      <c r="E1036" s="445">
        <v>9450</v>
      </c>
      <c r="F1036" s="440">
        <v>1001010009</v>
      </c>
      <c r="G1036" s="440" t="s">
        <v>632</v>
      </c>
    </row>
    <row r="1037" spans="1:7">
      <c r="A1037" s="440">
        <v>4700690030</v>
      </c>
      <c r="B1037" s="440">
        <v>6100095627</v>
      </c>
      <c r="C1037" s="440" t="s">
        <v>631</v>
      </c>
      <c r="D1037" s="444">
        <v>44548</v>
      </c>
      <c r="E1037" s="445">
        <v>13444</v>
      </c>
      <c r="F1037" s="440">
        <v>1001010009</v>
      </c>
      <c r="G1037" s="440" t="s">
        <v>632</v>
      </c>
    </row>
    <row r="1038" spans="1:7">
      <c r="A1038" s="440">
        <v>4700690030</v>
      </c>
      <c r="B1038" s="440">
        <v>6100095627</v>
      </c>
      <c r="C1038" s="440" t="s">
        <v>631</v>
      </c>
      <c r="D1038" s="444">
        <v>44548</v>
      </c>
      <c r="E1038" s="445">
        <v>5882</v>
      </c>
      <c r="F1038" s="440">
        <v>1001010009</v>
      </c>
      <c r="G1038" s="440" t="s">
        <v>632</v>
      </c>
    </row>
    <row r="1039" spans="1:7">
      <c r="A1039" s="440">
        <v>4700690030</v>
      </c>
      <c r="B1039" s="440">
        <v>6100095627</v>
      </c>
      <c r="C1039" s="440" t="s">
        <v>631</v>
      </c>
      <c r="D1039" s="444">
        <v>44548</v>
      </c>
      <c r="E1039" s="445">
        <v>10400</v>
      </c>
      <c r="F1039" s="440">
        <v>1001010009</v>
      </c>
      <c r="G1039" s="440" t="s">
        <v>632</v>
      </c>
    </row>
    <row r="1040" spans="1:7">
      <c r="A1040" s="440">
        <v>4700690030</v>
      </c>
      <c r="B1040" s="440">
        <v>6100095627</v>
      </c>
      <c r="C1040" s="440" t="s">
        <v>631</v>
      </c>
      <c r="D1040" s="444">
        <v>44548</v>
      </c>
      <c r="E1040" s="445">
        <v>11000</v>
      </c>
      <c r="F1040" s="440">
        <v>1001010009</v>
      </c>
      <c r="G1040" s="440" t="s">
        <v>632</v>
      </c>
    </row>
    <row r="1041" spans="1:7">
      <c r="A1041" s="440">
        <v>4700690030</v>
      </c>
      <c r="B1041" s="440">
        <v>6100095627</v>
      </c>
      <c r="C1041" s="440" t="s">
        <v>631</v>
      </c>
      <c r="D1041" s="444">
        <v>44548</v>
      </c>
      <c r="E1041" s="445">
        <v>4550</v>
      </c>
      <c r="F1041" s="440">
        <v>1001010009</v>
      </c>
      <c r="G1041" s="440" t="s">
        <v>632</v>
      </c>
    </row>
    <row r="1042" spans="1:7">
      <c r="A1042" s="440">
        <v>4700690030</v>
      </c>
      <c r="B1042" s="440">
        <v>6100095627</v>
      </c>
      <c r="C1042" s="440" t="s">
        <v>631</v>
      </c>
      <c r="D1042" s="444">
        <v>44548</v>
      </c>
      <c r="E1042" s="445">
        <v>2200</v>
      </c>
      <c r="F1042" s="440">
        <v>1001010009</v>
      </c>
      <c r="G1042" s="440" t="s">
        <v>632</v>
      </c>
    </row>
    <row r="1043" spans="1:7">
      <c r="A1043" s="440">
        <v>4700690030</v>
      </c>
      <c r="B1043" s="440">
        <v>6100095627</v>
      </c>
      <c r="C1043" s="440" t="s">
        <v>631</v>
      </c>
      <c r="D1043" s="444">
        <v>44548</v>
      </c>
      <c r="E1043" s="445">
        <v>2300</v>
      </c>
      <c r="F1043" s="440">
        <v>1001010009</v>
      </c>
      <c r="G1043" s="440" t="s">
        <v>632</v>
      </c>
    </row>
    <row r="1044" spans="1:7">
      <c r="A1044" s="440">
        <v>4700690030</v>
      </c>
      <c r="B1044" s="440">
        <v>6100095627</v>
      </c>
      <c r="C1044" s="440" t="s">
        <v>631</v>
      </c>
      <c r="D1044" s="444">
        <v>44548</v>
      </c>
      <c r="E1044" s="445">
        <v>2100</v>
      </c>
      <c r="F1044" s="440">
        <v>1001010009</v>
      </c>
      <c r="G1044" s="440" t="s">
        <v>632</v>
      </c>
    </row>
    <row r="1045" spans="1:7">
      <c r="A1045" s="440">
        <v>4700690030</v>
      </c>
      <c r="B1045" s="440">
        <v>6100095627</v>
      </c>
      <c r="C1045" s="440" t="s">
        <v>631</v>
      </c>
      <c r="D1045" s="444">
        <v>44548</v>
      </c>
      <c r="E1045" s="445">
        <v>7310</v>
      </c>
      <c r="F1045" s="440">
        <v>1001010009</v>
      </c>
      <c r="G1045" s="440" t="s">
        <v>632</v>
      </c>
    </row>
    <row r="1046" spans="1:7">
      <c r="A1046" s="440">
        <v>4700690030</v>
      </c>
      <c r="B1046" s="440">
        <v>6100095627</v>
      </c>
      <c r="C1046" s="440" t="s">
        <v>631</v>
      </c>
      <c r="D1046" s="444">
        <v>44548</v>
      </c>
      <c r="E1046" s="445">
        <v>5294</v>
      </c>
      <c r="F1046" s="440">
        <v>1001010009</v>
      </c>
      <c r="G1046" s="440" t="s">
        <v>632</v>
      </c>
    </row>
    <row r="1047" spans="1:7">
      <c r="A1047" s="440">
        <v>4700690030</v>
      </c>
      <c r="B1047" s="440">
        <v>6100095627</v>
      </c>
      <c r="C1047" s="440" t="s">
        <v>631</v>
      </c>
      <c r="D1047" s="444">
        <v>44548</v>
      </c>
      <c r="E1047" s="445">
        <v>2059</v>
      </c>
      <c r="F1047" s="440">
        <v>1001010009</v>
      </c>
      <c r="G1047" s="440" t="s">
        <v>632</v>
      </c>
    </row>
    <row r="1048" spans="1:7">
      <c r="A1048" s="440">
        <v>4700690030</v>
      </c>
      <c r="B1048" s="440">
        <v>6100095627</v>
      </c>
      <c r="C1048" s="440" t="s">
        <v>631</v>
      </c>
      <c r="D1048" s="444">
        <v>44548</v>
      </c>
      <c r="E1048" s="445">
        <v>10926</v>
      </c>
      <c r="F1048" s="440">
        <v>1001010009</v>
      </c>
      <c r="G1048" s="440" t="s">
        <v>632</v>
      </c>
    </row>
    <row r="1049" spans="1:7">
      <c r="A1049" s="440">
        <v>4700483897</v>
      </c>
      <c r="B1049" s="440">
        <v>6100095535</v>
      </c>
      <c r="C1049" s="440" t="s">
        <v>631</v>
      </c>
      <c r="D1049" s="444">
        <v>44117</v>
      </c>
      <c r="E1049" s="445">
        <v>18336</v>
      </c>
      <c r="F1049" s="440">
        <v>1001010010</v>
      </c>
      <c r="G1049" s="440" t="s">
        <v>632</v>
      </c>
    </row>
    <row r="1050" spans="1:7">
      <c r="A1050" s="440">
        <v>4700483897</v>
      </c>
      <c r="B1050" s="440">
        <v>6100095535</v>
      </c>
      <c r="C1050" s="440" t="s">
        <v>631</v>
      </c>
      <c r="D1050" s="444">
        <v>44117</v>
      </c>
      <c r="E1050" s="445">
        <v>8740</v>
      </c>
      <c r="F1050" s="440">
        <v>1001010010</v>
      </c>
      <c r="G1050" s="440" t="s">
        <v>632</v>
      </c>
    </row>
    <row r="1051" spans="1:7">
      <c r="A1051" s="440">
        <v>4700483897</v>
      </c>
      <c r="B1051" s="440">
        <v>6100095535</v>
      </c>
      <c r="C1051" s="440" t="s">
        <v>631</v>
      </c>
      <c r="D1051" s="444">
        <v>44117</v>
      </c>
      <c r="E1051" s="445">
        <v>5760</v>
      </c>
      <c r="F1051" s="440">
        <v>1001010010</v>
      </c>
      <c r="G1051" s="440" t="s">
        <v>632</v>
      </c>
    </row>
    <row r="1052" spans="1:7">
      <c r="A1052" s="440">
        <v>4700483897</v>
      </c>
      <c r="B1052" s="440">
        <v>6100095535</v>
      </c>
      <c r="C1052" s="440" t="s">
        <v>631</v>
      </c>
      <c r="D1052" s="444">
        <v>44117</v>
      </c>
      <c r="E1052" s="445">
        <v>1600</v>
      </c>
      <c r="F1052" s="440">
        <v>1001010010</v>
      </c>
      <c r="G1052" s="440" t="s">
        <v>632</v>
      </c>
    </row>
    <row r="1053" spans="1:7">
      <c r="A1053" s="440">
        <v>4700483897</v>
      </c>
      <c r="B1053" s="440">
        <v>6100095535</v>
      </c>
      <c r="C1053" s="440" t="s">
        <v>631</v>
      </c>
      <c r="D1053" s="444">
        <v>44117</v>
      </c>
      <c r="E1053" s="445">
        <v>13420</v>
      </c>
      <c r="F1053" s="440">
        <v>1001010010</v>
      </c>
      <c r="G1053" s="440" t="s">
        <v>632</v>
      </c>
    </row>
    <row r="1054" spans="1:7">
      <c r="A1054" s="440">
        <v>4700483897</v>
      </c>
      <c r="B1054" s="440">
        <v>6100095535</v>
      </c>
      <c r="C1054" s="440" t="s">
        <v>631</v>
      </c>
      <c r="D1054" s="444">
        <v>44117</v>
      </c>
      <c r="E1054" s="445">
        <v>9916</v>
      </c>
      <c r="F1054" s="440">
        <v>1001010010</v>
      </c>
      <c r="G1054" s="440" t="s">
        <v>632</v>
      </c>
    </row>
    <row r="1055" spans="1:7">
      <c r="A1055" s="440">
        <v>4700483897</v>
      </c>
      <c r="B1055" s="440">
        <v>6100095535</v>
      </c>
      <c r="C1055" s="440" t="s">
        <v>631</v>
      </c>
      <c r="D1055" s="444">
        <v>44117</v>
      </c>
      <c r="E1055" s="445">
        <v>2126</v>
      </c>
      <c r="F1055" s="440">
        <v>1001010010</v>
      </c>
      <c r="G1055" s="440" t="s">
        <v>632</v>
      </c>
    </row>
    <row r="1056" spans="1:7">
      <c r="A1056" s="440">
        <v>4700510191</v>
      </c>
      <c r="B1056" s="440">
        <v>6100130254</v>
      </c>
      <c r="C1056" s="440" t="s">
        <v>631</v>
      </c>
      <c r="D1056" s="444">
        <v>44170</v>
      </c>
      <c r="E1056" s="445">
        <v>6840</v>
      </c>
      <c r="F1056" s="440">
        <v>1001010010</v>
      </c>
      <c r="G1056" s="440" t="s">
        <v>632</v>
      </c>
    </row>
    <row r="1057" spans="1:7">
      <c r="A1057" s="440">
        <v>4700510191</v>
      </c>
      <c r="B1057" s="440">
        <v>6100130254</v>
      </c>
      <c r="C1057" s="440" t="s">
        <v>631</v>
      </c>
      <c r="D1057" s="444">
        <v>44170</v>
      </c>
      <c r="E1057" s="445">
        <v>11988</v>
      </c>
      <c r="F1057" s="440">
        <v>1001010010</v>
      </c>
      <c r="G1057" s="440" t="s">
        <v>632</v>
      </c>
    </row>
    <row r="1058" spans="1:7">
      <c r="A1058" s="440">
        <v>4700510191</v>
      </c>
      <c r="B1058" s="440">
        <v>6100130254</v>
      </c>
      <c r="C1058" s="440" t="s">
        <v>631</v>
      </c>
      <c r="D1058" s="444">
        <v>44170</v>
      </c>
      <c r="E1058" s="445">
        <v>2020</v>
      </c>
      <c r="F1058" s="440">
        <v>1001010010</v>
      </c>
      <c r="G1058" s="440" t="s">
        <v>632</v>
      </c>
    </row>
    <row r="1059" spans="1:7">
      <c r="A1059" s="440">
        <v>4700510191</v>
      </c>
      <c r="B1059" s="440">
        <v>6100130254</v>
      </c>
      <c r="C1059" s="440" t="s">
        <v>631</v>
      </c>
      <c r="D1059" s="444">
        <v>44170</v>
      </c>
      <c r="E1059" s="445">
        <v>9308</v>
      </c>
      <c r="F1059" s="440">
        <v>1001010010</v>
      </c>
      <c r="G1059" s="440" t="s">
        <v>632</v>
      </c>
    </row>
    <row r="1060" spans="1:7">
      <c r="A1060" s="440">
        <v>4700510191</v>
      </c>
      <c r="B1060" s="440">
        <v>6100130254</v>
      </c>
      <c r="C1060" s="440" t="s">
        <v>631</v>
      </c>
      <c r="D1060" s="444">
        <v>44170</v>
      </c>
      <c r="E1060" s="445">
        <v>19076</v>
      </c>
      <c r="F1060" s="440">
        <v>1001010010</v>
      </c>
      <c r="G1060" s="440" t="s">
        <v>632</v>
      </c>
    </row>
    <row r="1061" spans="1:7">
      <c r="A1061" s="440">
        <v>4700510191</v>
      </c>
      <c r="B1061" s="440">
        <v>6100130254</v>
      </c>
      <c r="C1061" s="440" t="s">
        <v>631</v>
      </c>
      <c r="D1061" s="444">
        <v>44170</v>
      </c>
      <c r="E1061" s="445">
        <v>10000</v>
      </c>
      <c r="F1061" s="440">
        <v>1001010010</v>
      </c>
      <c r="G1061" s="440" t="s">
        <v>632</v>
      </c>
    </row>
    <row r="1062" spans="1:7">
      <c r="A1062" s="440">
        <v>4700609976</v>
      </c>
      <c r="B1062" s="440">
        <v>6100048455</v>
      </c>
      <c r="C1062" s="440" t="s">
        <v>631</v>
      </c>
      <c r="D1062" s="444">
        <v>44392</v>
      </c>
      <c r="E1062" s="445">
        <v>3310</v>
      </c>
      <c r="F1062" s="440">
        <v>1001010010</v>
      </c>
      <c r="G1062" s="440" t="s">
        <v>632</v>
      </c>
    </row>
    <row r="1063" spans="1:7">
      <c r="A1063" s="440">
        <v>4700609976</v>
      </c>
      <c r="B1063" s="440">
        <v>6100048455</v>
      </c>
      <c r="C1063" s="440" t="s">
        <v>631</v>
      </c>
      <c r="D1063" s="444">
        <v>44392</v>
      </c>
      <c r="E1063" s="445">
        <v>1689</v>
      </c>
      <c r="F1063" s="440">
        <v>1001010010</v>
      </c>
      <c r="G1063" s="440" t="s">
        <v>632</v>
      </c>
    </row>
    <row r="1064" spans="1:7">
      <c r="A1064" s="440">
        <v>4700609976</v>
      </c>
      <c r="B1064" s="440">
        <v>6100048455</v>
      </c>
      <c r="C1064" s="440" t="s">
        <v>631</v>
      </c>
      <c r="D1064" s="444">
        <v>44392</v>
      </c>
      <c r="E1064" s="445">
        <v>2681</v>
      </c>
      <c r="F1064" s="440">
        <v>1001010010</v>
      </c>
      <c r="G1064" s="440" t="s">
        <v>632</v>
      </c>
    </row>
    <row r="1065" spans="1:7">
      <c r="A1065" s="440">
        <v>4700609976</v>
      </c>
      <c r="B1065" s="440">
        <v>6100048455</v>
      </c>
      <c r="C1065" s="440" t="s">
        <v>631</v>
      </c>
      <c r="D1065" s="444">
        <v>44392</v>
      </c>
      <c r="E1065" s="445">
        <v>3580</v>
      </c>
      <c r="F1065" s="440">
        <v>1001010010</v>
      </c>
      <c r="G1065" s="440" t="s">
        <v>632</v>
      </c>
    </row>
    <row r="1066" spans="1:7">
      <c r="A1066" s="440">
        <v>4700609976</v>
      </c>
      <c r="B1066" s="440">
        <v>6100048455</v>
      </c>
      <c r="C1066" s="440" t="s">
        <v>631</v>
      </c>
      <c r="D1066" s="444">
        <v>44392</v>
      </c>
      <c r="E1066" s="445">
        <v>3689</v>
      </c>
      <c r="F1066" s="440">
        <v>1001010010</v>
      </c>
      <c r="G1066" s="440" t="s">
        <v>632</v>
      </c>
    </row>
    <row r="1067" spans="1:7">
      <c r="A1067" s="440">
        <v>4700609976</v>
      </c>
      <c r="B1067" s="440">
        <v>6100048455</v>
      </c>
      <c r="C1067" s="440" t="s">
        <v>631</v>
      </c>
      <c r="D1067" s="444">
        <v>44392</v>
      </c>
      <c r="E1067" s="445">
        <v>9100</v>
      </c>
      <c r="F1067" s="440">
        <v>1001010010</v>
      </c>
      <c r="G1067" s="440" t="s">
        <v>632</v>
      </c>
    </row>
    <row r="1068" spans="1:7">
      <c r="A1068" s="440">
        <v>4700609976</v>
      </c>
      <c r="B1068" s="440">
        <v>6100048455</v>
      </c>
      <c r="C1068" s="440" t="s">
        <v>631</v>
      </c>
      <c r="D1068" s="444">
        <v>44392</v>
      </c>
      <c r="E1068" s="445">
        <v>10200</v>
      </c>
      <c r="F1068" s="440">
        <v>1001010010</v>
      </c>
      <c r="G1068" s="440" t="s">
        <v>632</v>
      </c>
    </row>
    <row r="1069" spans="1:7">
      <c r="A1069" s="440">
        <v>4700609976</v>
      </c>
      <c r="B1069" s="440">
        <v>6100048455</v>
      </c>
      <c r="C1069" s="440" t="s">
        <v>631</v>
      </c>
      <c r="D1069" s="444">
        <v>44392</v>
      </c>
      <c r="E1069" s="445">
        <v>3600</v>
      </c>
      <c r="F1069" s="440">
        <v>1001010010</v>
      </c>
      <c r="G1069" s="440" t="s">
        <v>632</v>
      </c>
    </row>
    <row r="1070" spans="1:7">
      <c r="A1070" s="440">
        <v>4700609976</v>
      </c>
      <c r="B1070" s="440">
        <v>6100048455</v>
      </c>
      <c r="C1070" s="440" t="s">
        <v>631</v>
      </c>
      <c r="D1070" s="444">
        <v>44392</v>
      </c>
      <c r="E1070" s="445">
        <v>2120</v>
      </c>
      <c r="F1070" s="440">
        <v>1001010010</v>
      </c>
      <c r="G1070" s="440" t="s">
        <v>632</v>
      </c>
    </row>
    <row r="1071" spans="1:7">
      <c r="A1071" s="440">
        <v>4700609976</v>
      </c>
      <c r="B1071" s="440">
        <v>6100048455</v>
      </c>
      <c r="C1071" s="440" t="s">
        <v>631</v>
      </c>
      <c r="D1071" s="444">
        <v>44392</v>
      </c>
      <c r="E1071" s="445">
        <v>9916</v>
      </c>
      <c r="F1071" s="440">
        <v>1001010010</v>
      </c>
      <c r="G1071" s="440" t="s">
        <v>632</v>
      </c>
    </row>
    <row r="1072" spans="1:7">
      <c r="A1072" s="440">
        <v>4700609976</v>
      </c>
      <c r="B1072" s="440">
        <v>6100048455</v>
      </c>
      <c r="C1072" s="440" t="s">
        <v>631</v>
      </c>
      <c r="D1072" s="444">
        <v>44392</v>
      </c>
      <c r="E1072" s="445">
        <v>15504</v>
      </c>
      <c r="F1072" s="440">
        <v>1001010010</v>
      </c>
      <c r="G1072" s="440" t="s">
        <v>632</v>
      </c>
    </row>
    <row r="1073" spans="1:7">
      <c r="A1073" s="440">
        <v>4700661097</v>
      </c>
      <c r="B1073" s="440">
        <v>6100074112</v>
      </c>
      <c r="C1073" s="440" t="s">
        <v>631</v>
      </c>
      <c r="D1073" s="444">
        <v>44492</v>
      </c>
      <c r="E1073" s="445">
        <v>23040</v>
      </c>
      <c r="F1073" s="440">
        <v>1001010010</v>
      </c>
      <c r="G1073" s="440" t="s">
        <v>632</v>
      </c>
    </row>
    <row r="1074" spans="1:7">
      <c r="A1074" s="440">
        <v>4700661097</v>
      </c>
      <c r="B1074" s="440">
        <v>6100074112</v>
      </c>
      <c r="C1074" s="440" t="s">
        <v>631</v>
      </c>
      <c r="D1074" s="444">
        <v>44492</v>
      </c>
      <c r="E1074" s="445">
        <v>6090</v>
      </c>
      <c r="F1074" s="440">
        <v>1001010010</v>
      </c>
      <c r="G1074" s="440" t="s">
        <v>632</v>
      </c>
    </row>
    <row r="1075" spans="1:7">
      <c r="A1075" s="440">
        <v>4700661097</v>
      </c>
      <c r="B1075" s="440">
        <v>6100074112</v>
      </c>
      <c r="C1075" s="440" t="s">
        <v>631</v>
      </c>
      <c r="D1075" s="444">
        <v>44492</v>
      </c>
      <c r="E1075" s="445">
        <v>8730</v>
      </c>
      <c r="F1075" s="440">
        <v>1001010010</v>
      </c>
      <c r="G1075" s="440" t="s">
        <v>632</v>
      </c>
    </row>
    <row r="1076" spans="1:7">
      <c r="A1076" s="440">
        <v>4700661097</v>
      </c>
      <c r="B1076" s="440">
        <v>6100074112</v>
      </c>
      <c r="C1076" s="440" t="s">
        <v>631</v>
      </c>
      <c r="D1076" s="444">
        <v>44492</v>
      </c>
      <c r="E1076" s="445">
        <v>10200</v>
      </c>
      <c r="F1076" s="440">
        <v>1001010010</v>
      </c>
      <c r="G1076" s="440" t="s">
        <v>632</v>
      </c>
    </row>
    <row r="1077" spans="1:7">
      <c r="A1077" s="440">
        <v>4700661097</v>
      </c>
      <c r="B1077" s="440">
        <v>6100074112</v>
      </c>
      <c r="C1077" s="440" t="s">
        <v>631</v>
      </c>
      <c r="D1077" s="444">
        <v>44492</v>
      </c>
      <c r="E1077" s="445">
        <v>22540</v>
      </c>
      <c r="F1077" s="440">
        <v>1001010010</v>
      </c>
      <c r="G1077" s="440" t="s">
        <v>632</v>
      </c>
    </row>
    <row r="1078" spans="1:7">
      <c r="A1078" s="440">
        <v>4700661097</v>
      </c>
      <c r="B1078" s="440">
        <v>6100074112</v>
      </c>
      <c r="C1078" s="440" t="s">
        <v>631</v>
      </c>
      <c r="D1078" s="444">
        <v>44492</v>
      </c>
      <c r="E1078" s="445">
        <v>13420</v>
      </c>
      <c r="F1078" s="440">
        <v>1001010010</v>
      </c>
      <c r="G1078" s="440" t="s">
        <v>632</v>
      </c>
    </row>
    <row r="1079" spans="1:7">
      <c r="A1079" s="440">
        <v>4700661097</v>
      </c>
      <c r="B1079" s="440">
        <v>6100074112</v>
      </c>
      <c r="C1079" s="440" t="s">
        <v>631</v>
      </c>
      <c r="D1079" s="444">
        <v>44492</v>
      </c>
      <c r="E1079" s="445">
        <v>20168</v>
      </c>
      <c r="F1079" s="440">
        <v>1001010010</v>
      </c>
      <c r="G1079" s="440" t="s">
        <v>632</v>
      </c>
    </row>
    <row r="1080" spans="1:7">
      <c r="A1080" s="440">
        <v>4700661097</v>
      </c>
      <c r="B1080" s="440">
        <v>6100074112</v>
      </c>
      <c r="C1080" s="440" t="s">
        <v>631</v>
      </c>
      <c r="D1080" s="444">
        <v>44492</v>
      </c>
      <c r="E1080" s="445">
        <v>15504</v>
      </c>
      <c r="F1080" s="440">
        <v>1001010010</v>
      </c>
      <c r="G1080" s="440" t="s">
        <v>632</v>
      </c>
    </row>
    <row r="1081" spans="1:7">
      <c r="A1081" s="440">
        <v>4700475483</v>
      </c>
      <c r="B1081" s="440">
        <v>6100084547</v>
      </c>
      <c r="C1081" s="440" t="s">
        <v>631</v>
      </c>
      <c r="D1081" s="444">
        <v>44095</v>
      </c>
      <c r="E1081" s="445">
        <v>7058</v>
      </c>
      <c r="F1081" s="440">
        <v>1001010014</v>
      </c>
      <c r="G1081" s="440" t="s">
        <v>632</v>
      </c>
    </row>
    <row r="1082" spans="1:7">
      <c r="A1082" s="440">
        <v>4700475483</v>
      </c>
      <c r="B1082" s="440">
        <v>6100084547</v>
      </c>
      <c r="C1082" s="440" t="s">
        <v>631</v>
      </c>
      <c r="D1082" s="444">
        <v>44095</v>
      </c>
      <c r="E1082" s="445">
        <v>3440</v>
      </c>
      <c r="F1082" s="440">
        <v>1001010014</v>
      </c>
      <c r="G1082" s="440" t="s">
        <v>632</v>
      </c>
    </row>
    <row r="1083" spans="1:7">
      <c r="A1083" s="440">
        <v>4700475483</v>
      </c>
      <c r="B1083" s="440">
        <v>6100084547</v>
      </c>
      <c r="C1083" s="440" t="s">
        <v>631</v>
      </c>
      <c r="D1083" s="444">
        <v>44095</v>
      </c>
      <c r="E1083" s="445">
        <v>1900</v>
      </c>
      <c r="F1083" s="440">
        <v>1001010014</v>
      </c>
      <c r="G1083" s="440" t="s">
        <v>632</v>
      </c>
    </row>
    <row r="1084" spans="1:7">
      <c r="A1084" s="440">
        <v>4700475483</v>
      </c>
      <c r="B1084" s="440">
        <v>6100084547</v>
      </c>
      <c r="C1084" s="440" t="s">
        <v>631</v>
      </c>
      <c r="D1084" s="444">
        <v>44095</v>
      </c>
      <c r="E1084" s="445">
        <v>12600</v>
      </c>
      <c r="F1084" s="440">
        <v>1001010014</v>
      </c>
      <c r="G1084" s="440" t="s">
        <v>632</v>
      </c>
    </row>
    <row r="1085" spans="1:7">
      <c r="A1085" s="440">
        <v>4700475483</v>
      </c>
      <c r="B1085" s="440">
        <v>6100084547</v>
      </c>
      <c r="C1085" s="440" t="s">
        <v>631</v>
      </c>
      <c r="D1085" s="444">
        <v>44095</v>
      </c>
      <c r="E1085" s="445">
        <v>8361</v>
      </c>
      <c r="F1085" s="440">
        <v>1001010014</v>
      </c>
      <c r="G1085" s="440" t="s">
        <v>632</v>
      </c>
    </row>
    <row r="1086" spans="1:7">
      <c r="A1086" s="440">
        <v>4700475483</v>
      </c>
      <c r="B1086" s="440">
        <v>6100084547</v>
      </c>
      <c r="C1086" s="440" t="s">
        <v>631</v>
      </c>
      <c r="D1086" s="444">
        <v>44095</v>
      </c>
      <c r="E1086" s="445">
        <v>2342</v>
      </c>
      <c r="F1086" s="440">
        <v>1001010014</v>
      </c>
      <c r="G1086" s="440" t="s">
        <v>632</v>
      </c>
    </row>
    <row r="1087" spans="1:7">
      <c r="A1087" s="440">
        <v>4700475483</v>
      </c>
      <c r="B1087" s="440">
        <v>6100084547</v>
      </c>
      <c r="C1087" s="440" t="s">
        <v>631</v>
      </c>
      <c r="D1087" s="444">
        <v>44095</v>
      </c>
      <c r="E1087" s="445">
        <v>11214</v>
      </c>
      <c r="F1087" s="440">
        <v>1001010014</v>
      </c>
      <c r="G1087" s="440" t="s">
        <v>632</v>
      </c>
    </row>
    <row r="1088" spans="1:7">
      <c r="A1088" s="440">
        <v>4700475483</v>
      </c>
      <c r="B1088" s="440">
        <v>6100084547</v>
      </c>
      <c r="C1088" s="440" t="s">
        <v>631</v>
      </c>
      <c r="D1088" s="444">
        <v>44095</v>
      </c>
      <c r="E1088" s="445">
        <v>26847</v>
      </c>
      <c r="F1088" s="440">
        <v>1001010014</v>
      </c>
      <c r="G1088" s="440" t="s">
        <v>632</v>
      </c>
    </row>
    <row r="1089" spans="1:7">
      <c r="A1089" s="440">
        <v>4700475483</v>
      </c>
      <c r="B1089" s="440">
        <v>6100084547</v>
      </c>
      <c r="C1089" s="440" t="s">
        <v>631</v>
      </c>
      <c r="D1089" s="444">
        <v>44095</v>
      </c>
      <c r="E1089" s="445">
        <v>10800</v>
      </c>
      <c r="F1089" s="440">
        <v>1001010014</v>
      </c>
      <c r="G1089" s="440" t="s">
        <v>632</v>
      </c>
    </row>
    <row r="1090" spans="1:7">
      <c r="A1090" s="440">
        <v>4700475483</v>
      </c>
      <c r="B1090" s="440">
        <v>6100084547</v>
      </c>
      <c r="C1090" s="440" t="s">
        <v>631</v>
      </c>
      <c r="D1090" s="444">
        <v>44095</v>
      </c>
      <c r="E1090" s="445">
        <v>2016</v>
      </c>
      <c r="F1090" s="440">
        <v>1001010014</v>
      </c>
      <c r="G1090" s="440" t="s">
        <v>632</v>
      </c>
    </row>
    <row r="1091" spans="1:7">
      <c r="A1091" s="440">
        <v>4700475483</v>
      </c>
      <c r="B1091" s="440">
        <v>6100084547</v>
      </c>
      <c r="C1091" s="440" t="s">
        <v>631</v>
      </c>
      <c r="D1091" s="444">
        <v>44095</v>
      </c>
      <c r="E1091" s="445">
        <v>5400</v>
      </c>
      <c r="F1091" s="440">
        <v>1001010014</v>
      </c>
      <c r="G1091" s="440" t="s">
        <v>632</v>
      </c>
    </row>
    <row r="1092" spans="1:7">
      <c r="A1092" s="440">
        <v>4700475483</v>
      </c>
      <c r="B1092" s="440">
        <v>6100084547</v>
      </c>
      <c r="C1092" s="440" t="s">
        <v>631</v>
      </c>
      <c r="D1092" s="444">
        <v>44095</v>
      </c>
      <c r="E1092" s="445">
        <v>5546</v>
      </c>
      <c r="F1092" s="440">
        <v>1001010014</v>
      </c>
      <c r="G1092" s="440" t="s">
        <v>632</v>
      </c>
    </row>
    <row r="1093" spans="1:7">
      <c r="A1093" s="440">
        <v>4700475483</v>
      </c>
      <c r="B1093" s="440">
        <v>6100084547</v>
      </c>
      <c r="C1093" s="440" t="s">
        <v>631</v>
      </c>
      <c r="D1093" s="444">
        <v>44095</v>
      </c>
      <c r="E1093" s="445">
        <v>18402</v>
      </c>
      <c r="F1093" s="440">
        <v>1001010014</v>
      </c>
      <c r="G1093" s="440" t="s">
        <v>632</v>
      </c>
    </row>
    <row r="1094" spans="1:7">
      <c r="A1094" s="440">
        <v>4700475483</v>
      </c>
      <c r="B1094" s="440">
        <v>6100084547</v>
      </c>
      <c r="C1094" s="440" t="s">
        <v>631</v>
      </c>
      <c r="D1094" s="444">
        <v>44095</v>
      </c>
      <c r="E1094" s="445">
        <v>2050</v>
      </c>
      <c r="F1094" s="440">
        <v>1001010014</v>
      </c>
      <c r="G1094" s="440" t="s">
        <v>632</v>
      </c>
    </row>
    <row r="1095" spans="1:7">
      <c r="A1095" s="440">
        <v>4700475483</v>
      </c>
      <c r="B1095" s="440">
        <v>6100084547</v>
      </c>
      <c r="C1095" s="440" t="s">
        <v>631</v>
      </c>
      <c r="D1095" s="444">
        <v>44095</v>
      </c>
      <c r="E1095" s="445">
        <v>3400</v>
      </c>
      <c r="F1095" s="440">
        <v>1001010014</v>
      </c>
      <c r="G1095" s="440" t="s">
        <v>632</v>
      </c>
    </row>
    <row r="1096" spans="1:7">
      <c r="A1096" s="440">
        <v>4700475483</v>
      </c>
      <c r="B1096" s="440">
        <v>6100084547</v>
      </c>
      <c r="C1096" s="440" t="s">
        <v>631</v>
      </c>
      <c r="D1096" s="444">
        <v>44095</v>
      </c>
      <c r="E1096" s="445">
        <v>4900</v>
      </c>
      <c r="F1096" s="440">
        <v>1001010014</v>
      </c>
      <c r="G1096" s="440" t="s">
        <v>632</v>
      </c>
    </row>
    <row r="1097" spans="1:7">
      <c r="A1097" s="440">
        <v>4700475483</v>
      </c>
      <c r="B1097" s="440">
        <v>6100084547</v>
      </c>
      <c r="C1097" s="440" t="s">
        <v>631</v>
      </c>
      <c r="D1097" s="444">
        <v>44095</v>
      </c>
      <c r="E1097" s="445">
        <v>7941</v>
      </c>
      <c r="F1097" s="440">
        <v>1001010014</v>
      </c>
      <c r="G1097" s="440" t="s">
        <v>632</v>
      </c>
    </row>
    <row r="1098" spans="1:7">
      <c r="A1098" s="440">
        <v>4700510404</v>
      </c>
      <c r="B1098" s="440">
        <v>6100130268</v>
      </c>
      <c r="C1098" s="440" t="s">
        <v>631</v>
      </c>
      <c r="D1098" s="444">
        <v>44170</v>
      </c>
      <c r="E1098" s="445">
        <v>35928</v>
      </c>
      <c r="F1098" s="440">
        <v>1001010014</v>
      </c>
      <c r="G1098" s="440" t="s">
        <v>632</v>
      </c>
    </row>
    <row r="1099" spans="1:7">
      <c r="A1099" s="440">
        <v>4700510404</v>
      </c>
      <c r="B1099" s="440">
        <v>6100130268</v>
      </c>
      <c r="C1099" s="440" t="s">
        <v>631</v>
      </c>
      <c r="D1099" s="444">
        <v>44170</v>
      </c>
      <c r="E1099" s="445">
        <v>33024</v>
      </c>
      <c r="F1099" s="440">
        <v>1001010014</v>
      </c>
      <c r="G1099" s="440" t="s">
        <v>632</v>
      </c>
    </row>
    <row r="1100" spans="1:7">
      <c r="A1100" s="440">
        <v>4700510404</v>
      </c>
      <c r="B1100" s="440">
        <v>6100130268</v>
      </c>
      <c r="C1100" s="440" t="s">
        <v>631</v>
      </c>
      <c r="D1100" s="444">
        <v>44170</v>
      </c>
      <c r="E1100" s="445">
        <v>12000</v>
      </c>
      <c r="F1100" s="440">
        <v>1001010014</v>
      </c>
      <c r="G1100" s="440" t="s">
        <v>632</v>
      </c>
    </row>
    <row r="1101" spans="1:7">
      <c r="A1101" s="440">
        <v>4700510404</v>
      </c>
      <c r="B1101" s="440">
        <v>6100130268</v>
      </c>
      <c r="C1101" s="440" t="s">
        <v>631</v>
      </c>
      <c r="D1101" s="444">
        <v>44170</v>
      </c>
      <c r="E1101" s="445">
        <v>4600</v>
      </c>
      <c r="F1101" s="440">
        <v>1001010014</v>
      </c>
      <c r="G1101" s="440" t="s">
        <v>632</v>
      </c>
    </row>
    <row r="1102" spans="1:7">
      <c r="A1102" s="440">
        <v>4700510404</v>
      </c>
      <c r="B1102" s="440">
        <v>6100130268</v>
      </c>
      <c r="C1102" s="440" t="s">
        <v>631</v>
      </c>
      <c r="D1102" s="444">
        <v>44170</v>
      </c>
      <c r="E1102" s="445">
        <v>7058</v>
      </c>
      <c r="F1102" s="440">
        <v>1001010014</v>
      </c>
      <c r="G1102" s="440" t="s">
        <v>632</v>
      </c>
    </row>
    <row r="1103" spans="1:7">
      <c r="A1103" s="440">
        <v>4700510404</v>
      </c>
      <c r="B1103" s="440">
        <v>6100130268</v>
      </c>
      <c r="C1103" s="440" t="s">
        <v>631</v>
      </c>
      <c r="D1103" s="444">
        <v>44170</v>
      </c>
      <c r="E1103" s="445">
        <v>12600</v>
      </c>
      <c r="F1103" s="440">
        <v>1001010014</v>
      </c>
      <c r="G1103" s="440" t="s">
        <v>632</v>
      </c>
    </row>
    <row r="1104" spans="1:7">
      <c r="A1104" s="440">
        <v>4700510404</v>
      </c>
      <c r="B1104" s="440">
        <v>6100130268</v>
      </c>
      <c r="C1104" s="440" t="s">
        <v>631</v>
      </c>
      <c r="D1104" s="444">
        <v>44170</v>
      </c>
      <c r="E1104" s="445">
        <v>4202</v>
      </c>
      <c r="F1104" s="440">
        <v>1001010014</v>
      </c>
      <c r="G1104" s="440" t="s">
        <v>632</v>
      </c>
    </row>
    <row r="1105" spans="1:7">
      <c r="A1105" s="440">
        <v>4700510404</v>
      </c>
      <c r="B1105" s="440">
        <v>6100130268</v>
      </c>
      <c r="C1105" s="440" t="s">
        <v>631</v>
      </c>
      <c r="D1105" s="444">
        <v>44170</v>
      </c>
      <c r="E1105" s="445">
        <v>1900</v>
      </c>
      <c r="F1105" s="440">
        <v>1001010014</v>
      </c>
      <c r="G1105" s="440" t="s">
        <v>632</v>
      </c>
    </row>
    <row r="1106" spans="1:7">
      <c r="A1106" s="440">
        <v>4700510404</v>
      </c>
      <c r="B1106" s="440">
        <v>6100130268</v>
      </c>
      <c r="C1106" s="440" t="s">
        <v>631</v>
      </c>
      <c r="D1106" s="444">
        <v>44170</v>
      </c>
      <c r="E1106" s="445">
        <v>2521</v>
      </c>
      <c r="F1106" s="440">
        <v>1001010014</v>
      </c>
      <c r="G1106" s="440" t="s">
        <v>632</v>
      </c>
    </row>
    <row r="1107" spans="1:7">
      <c r="A1107" s="440">
        <v>4700510404</v>
      </c>
      <c r="B1107" s="440">
        <v>6100130268</v>
      </c>
      <c r="C1107" s="440" t="s">
        <v>631</v>
      </c>
      <c r="D1107" s="444">
        <v>44170</v>
      </c>
      <c r="E1107" s="445">
        <v>9500</v>
      </c>
      <c r="F1107" s="440">
        <v>1001010014</v>
      </c>
      <c r="G1107" s="440" t="s">
        <v>632</v>
      </c>
    </row>
    <row r="1108" spans="1:7">
      <c r="A1108" s="440">
        <v>4700510404</v>
      </c>
      <c r="B1108" s="440">
        <v>6100130268</v>
      </c>
      <c r="C1108" s="440" t="s">
        <v>631</v>
      </c>
      <c r="D1108" s="444">
        <v>44170</v>
      </c>
      <c r="E1108" s="445">
        <v>8300</v>
      </c>
      <c r="F1108" s="440">
        <v>1001010014</v>
      </c>
      <c r="G1108" s="440" t="s">
        <v>632</v>
      </c>
    </row>
    <row r="1109" spans="1:7">
      <c r="A1109" s="440">
        <v>4700510404</v>
      </c>
      <c r="B1109" s="440">
        <v>6100130268</v>
      </c>
      <c r="C1109" s="440" t="s">
        <v>631</v>
      </c>
      <c r="D1109" s="444">
        <v>44170</v>
      </c>
      <c r="E1109" s="445">
        <v>8403</v>
      </c>
      <c r="F1109" s="440">
        <v>1001010014</v>
      </c>
      <c r="G1109" s="440" t="s">
        <v>632</v>
      </c>
    </row>
    <row r="1110" spans="1:7">
      <c r="A1110" s="440">
        <v>4700542572</v>
      </c>
      <c r="B1110" s="440">
        <v>6100017120</v>
      </c>
      <c r="C1110" s="440" t="s">
        <v>631</v>
      </c>
      <c r="D1110" s="444">
        <v>44240</v>
      </c>
      <c r="E1110" s="445">
        <v>9500</v>
      </c>
      <c r="F1110" s="440">
        <v>1001010014</v>
      </c>
      <c r="G1110" s="440" t="s">
        <v>632</v>
      </c>
    </row>
    <row r="1111" spans="1:7">
      <c r="A1111" s="440">
        <v>4700542572</v>
      </c>
      <c r="B1111" s="440">
        <v>6100017120</v>
      </c>
      <c r="C1111" s="440" t="s">
        <v>631</v>
      </c>
      <c r="D1111" s="444">
        <v>44240</v>
      </c>
      <c r="E1111" s="445">
        <v>4600</v>
      </c>
      <c r="F1111" s="440">
        <v>1001010014</v>
      </c>
      <c r="G1111" s="440" t="s">
        <v>632</v>
      </c>
    </row>
    <row r="1112" spans="1:7">
      <c r="A1112" s="440">
        <v>4700542572</v>
      </c>
      <c r="B1112" s="440">
        <v>6100017120</v>
      </c>
      <c r="C1112" s="440" t="s">
        <v>631</v>
      </c>
      <c r="D1112" s="444">
        <v>44240</v>
      </c>
      <c r="E1112" s="445">
        <v>5300</v>
      </c>
      <c r="F1112" s="440">
        <v>1001010014</v>
      </c>
      <c r="G1112" s="440" t="s">
        <v>632</v>
      </c>
    </row>
    <row r="1113" spans="1:7">
      <c r="A1113" s="440">
        <v>4700542572</v>
      </c>
      <c r="B1113" s="440">
        <v>6100017120</v>
      </c>
      <c r="C1113" s="440" t="s">
        <v>631</v>
      </c>
      <c r="D1113" s="444">
        <v>44240</v>
      </c>
      <c r="E1113" s="445">
        <v>5252</v>
      </c>
      <c r="F1113" s="440">
        <v>1001010014</v>
      </c>
      <c r="G1113" s="440" t="s">
        <v>632</v>
      </c>
    </row>
    <row r="1114" spans="1:7">
      <c r="A1114" s="440">
        <v>4700542572</v>
      </c>
      <c r="B1114" s="440">
        <v>6100017120</v>
      </c>
      <c r="C1114" s="440" t="s">
        <v>631</v>
      </c>
      <c r="D1114" s="444">
        <v>44240</v>
      </c>
      <c r="E1114" s="445">
        <v>4202</v>
      </c>
      <c r="F1114" s="440">
        <v>1001010014</v>
      </c>
      <c r="G1114" s="440" t="s">
        <v>632</v>
      </c>
    </row>
    <row r="1115" spans="1:7">
      <c r="A1115" s="440">
        <v>4700542572</v>
      </c>
      <c r="B1115" s="440">
        <v>6100017120</v>
      </c>
      <c r="C1115" s="440" t="s">
        <v>631</v>
      </c>
      <c r="D1115" s="444">
        <v>44240</v>
      </c>
      <c r="E1115" s="445">
        <v>3400</v>
      </c>
      <c r="F1115" s="440">
        <v>1001010014</v>
      </c>
      <c r="G1115" s="440" t="s">
        <v>632</v>
      </c>
    </row>
    <row r="1116" spans="1:7">
      <c r="A1116" s="440">
        <v>4700542572</v>
      </c>
      <c r="B1116" s="440">
        <v>6100017120</v>
      </c>
      <c r="C1116" s="440" t="s">
        <v>631</v>
      </c>
      <c r="D1116" s="444">
        <v>44240</v>
      </c>
      <c r="E1116" s="445">
        <v>14000</v>
      </c>
      <c r="F1116" s="440">
        <v>1001010014</v>
      </c>
      <c r="G1116" s="440" t="s">
        <v>632</v>
      </c>
    </row>
    <row r="1117" spans="1:7">
      <c r="A1117" s="440">
        <v>4700542572</v>
      </c>
      <c r="B1117" s="440">
        <v>6100017120</v>
      </c>
      <c r="C1117" s="440" t="s">
        <v>631</v>
      </c>
      <c r="D1117" s="444">
        <v>44240</v>
      </c>
      <c r="E1117" s="445">
        <v>4150</v>
      </c>
      <c r="F1117" s="440">
        <v>1001010014</v>
      </c>
      <c r="G1117" s="440" t="s">
        <v>632</v>
      </c>
    </row>
    <row r="1118" spans="1:7">
      <c r="A1118" s="440">
        <v>4700542572</v>
      </c>
      <c r="B1118" s="440">
        <v>6100017120</v>
      </c>
      <c r="C1118" s="440" t="s">
        <v>631</v>
      </c>
      <c r="D1118" s="444">
        <v>44240</v>
      </c>
      <c r="E1118" s="445">
        <v>5500</v>
      </c>
      <c r="F1118" s="440">
        <v>1001010014</v>
      </c>
      <c r="G1118" s="440" t="s">
        <v>632</v>
      </c>
    </row>
    <row r="1119" spans="1:7">
      <c r="A1119" s="440">
        <v>4700542572</v>
      </c>
      <c r="B1119" s="440">
        <v>6100017120</v>
      </c>
      <c r="C1119" s="440" t="s">
        <v>631</v>
      </c>
      <c r="D1119" s="444">
        <v>44240</v>
      </c>
      <c r="E1119" s="445">
        <v>3529</v>
      </c>
      <c r="F1119" s="440">
        <v>1001010014</v>
      </c>
      <c r="G1119" s="440" t="s">
        <v>632</v>
      </c>
    </row>
    <row r="1120" spans="1:7">
      <c r="A1120" s="440">
        <v>4700542572</v>
      </c>
      <c r="B1120" s="440">
        <v>6100017120</v>
      </c>
      <c r="C1120" s="440" t="s">
        <v>631</v>
      </c>
      <c r="D1120" s="444">
        <v>44240</v>
      </c>
      <c r="E1120" s="445">
        <v>6176</v>
      </c>
      <c r="F1120" s="440">
        <v>1001010014</v>
      </c>
      <c r="G1120" s="440" t="s">
        <v>632</v>
      </c>
    </row>
    <row r="1121" spans="1:7">
      <c r="A1121" s="440">
        <v>4700542572</v>
      </c>
      <c r="B1121" s="440">
        <v>6100017120</v>
      </c>
      <c r="C1121" s="440" t="s">
        <v>631</v>
      </c>
      <c r="D1121" s="444">
        <v>44240</v>
      </c>
      <c r="E1121" s="445">
        <v>19287</v>
      </c>
      <c r="F1121" s="440">
        <v>1001010014</v>
      </c>
      <c r="G1121" s="440" t="s">
        <v>632</v>
      </c>
    </row>
    <row r="1122" spans="1:7">
      <c r="A1122" s="440">
        <v>4700581595</v>
      </c>
      <c r="B1122" s="440">
        <v>6100037506</v>
      </c>
      <c r="C1122" s="440" t="s">
        <v>631</v>
      </c>
      <c r="D1122" s="444">
        <v>44327</v>
      </c>
      <c r="E1122" s="445">
        <v>8277</v>
      </c>
      <c r="F1122" s="440">
        <v>1001010014</v>
      </c>
      <c r="G1122" s="440" t="s">
        <v>632</v>
      </c>
    </row>
    <row r="1123" spans="1:7">
      <c r="A1123" s="440">
        <v>4700581595</v>
      </c>
      <c r="B1123" s="440">
        <v>6100037506</v>
      </c>
      <c r="C1123" s="440" t="s">
        <v>631</v>
      </c>
      <c r="D1123" s="444">
        <v>44327</v>
      </c>
      <c r="E1123" s="445">
        <v>2000</v>
      </c>
      <c r="F1123" s="440">
        <v>1001010014</v>
      </c>
      <c r="G1123" s="440" t="s">
        <v>632</v>
      </c>
    </row>
    <row r="1124" spans="1:7">
      <c r="A1124" s="440">
        <v>4700581595</v>
      </c>
      <c r="B1124" s="440">
        <v>6100037506</v>
      </c>
      <c r="C1124" s="440" t="s">
        <v>631</v>
      </c>
      <c r="D1124" s="444">
        <v>44327</v>
      </c>
      <c r="E1124" s="445">
        <v>10252</v>
      </c>
      <c r="F1124" s="440">
        <v>1001010014</v>
      </c>
      <c r="G1124" s="440" t="s">
        <v>632</v>
      </c>
    </row>
    <row r="1125" spans="1:7">
      <c r="A1125" s="440">
        <v>4700581595</v>
      </c>
      <c r="B1125" s="440">
        <v>6100037506</v>
      </c>
      <c r="C1125" s="440" t="s">
        <v>631</v>
      </c>
      <c r="D1125" s="444">
        <v>44327</v>
      </c>
      <c r="E1125" s="445">
        <v>9204</v>
      </c>
      <c r="F1125" s="440">
        <v>1001010014</v>
      </c>
      <c r="G1125" s="440" t="s">
        <v>632</v>
      </c>
    </row>
    <row r="1126" spans="1:7">
      <c r="A1126" s="440">
        <v>4700655690</v>
      </c>
      <c r="B1126" s="440">
        <v>6100071065</v>
      </c>
      <c r="C1126" s="440" t="s">
        <v>631</v>
      </c>
      <c r="D1126" s="444">
        <v>44484</v>
      </c>
      <c r="E1126" s="445">
        <v>6200</v>
      </c>
      <c r="F1126" s="440">
        <v>1001010014</v>
      </c>
      <c r="G1126" s="440" t="s">
        <v>632</v>
      </c>
    </row>
    <row r="1127" spans="1:7">
      <c r="A1127" s="440">
        <v>4700655690</v>
      </c>
      <c r="B1127" s="440">
        <v>6100071065</v>
      </c>
      <c r="C1127" s="440" t="s">
        <v>631</v>
      </c>
      <c r="D1127" s="444">
        <v>44484</v>
      </c>
      <c r="E1127" s="445">
        <v>5200</v>
      </c>
      <c r="F1127" s="440">
        <v>1001010014</v>
      </c>
      <c r="G1127" s="440" t="s">
        <v>632</v>
      </c>
    </row>
    <row r="1128" spans="1:7">
      <c r="A1128" s="440">
        <v>4700655690</v>
      </c>
      <c r="B1128" s="440">
        <v>6100071065</v>
      </c>
      <c r="C1128" s="440" t="s">
        <v>631</v>
      </c>
      <c r="D1128" s="444">
        <v>44484</v>
      </c>
      <c r="E1128" s="445">
        <v>5300</v>
      </c>
      <c r="F1128" s="440">
        <v>1001010014</v>
      </c>
      <c r="G1128" s="440" t="s">
        <v>632</v>
      </c>
    </row>
    <row r="1129" spans="1:7">
      <c r="A1129" s="440">
        <v>4700655690</v>
      </c>
      <c r="B1129" s="440">
        <v>6100071065</v>
      </c>
      <c r="C1129" s="440" t="s">
        <v>631</v>
      </c>
      <c r="D1129" s="444">
        <v>44484</v>
      </c>
      <c r="E1129" s="445">
        <v>5462</v>
      </c>
      <c r="F1129" s="440">
        <v>1001010014</v>
      </c>
      <c r="G1129" s="440" t="s">
        <v>632</v>
      </c>
    </row>
    <row r="1130" spans="1:7">
      <c r="A1130" s="440">
        <v>4700655690</v>
      </c>
      <c r="B1130" s="440">
        <v>6100071065</v>
      </c>
      <c r="C1130" s="440" t="s">
        <v>631</v>
      </c>
      <c r="D1130" s="444">
        <v>44484</v>
      </c>
      <c r="E1130" s="445">
        <v>10800</v>
      </c>
      <c r="F1130" s="440">
        <v>1001010014</v>
      </c>
      <c r="G1130" s="440" t="s">
        <v>632</v>
      </c>
    </row>
    <row r="1131" spans="1:7">
      <c r="A1131" s="440">
        <v>4700655690</v>
      </c>
      <c r="B1131" s="440">
        <v>6100071065</v>
      </c>
      <c r="C1131" s="440" t="s">
        <v>631</v>
      </c>
      <c r="D1131" s="444">
        <v>44484</v>
      </c>
      <c r="E1131" s="445">
        <v>2000</v>
      </c>
      <c r="F1131" s="440">
        <v>1001010014</v>
      </c>
      <c r="G1131" s="440" t="s">
        <v>632</v>
      </c>
    </row>
    <row r="1132" spans="1:7">
      <c r="A1132" s="440">
        <v>4700655690</v>
      </c>
      <c r="B1132" s="440">
        <v>6100071065</v>
      </c>
      <c r="C1132" s="440" t="s">
        <v>631</v>
      </c>
      <c r="D1132" s="444">
        <v>44484</v>
      </c>
      <c r="E1132" s="445">
        <v>12602</v>
      </c>
      <c r="F1132" s="440">
        <v>1001010014</v>
      </c>
      <c r="G1132" s="440" t="s">
        <v>632</v>
      </c>
    </row>
    <row r="1133" spans="1:7">
      <c r="A1133" s="440">
        <v>4700655690</v>
      </c>
      <c r="B1133" s="440">
        <v>6100071065</v>
      </c>
      <c r="C1133" s="440" t="s">
        <v>631</v>
      </c>
      <c r="D1133" s="444">
        <v>44484</v>
      </c>
      <c r="E1133" s="445">
        <v>7310</v>
      </c>
      <c r="F1133" s="440">
        <v>1001010014</v>
      </c>
      <c r="G1133" s="440" t="s">
        <v>632</v>
      </c>
    </row>
    <row r="1134" spans="1:7">
      <c r="A1134" s="440">
        <v>4700655690</v>
      </c>
      <c r="B1134" s="440">
        <v>6100071065</v>
      </c>
      <c r="C1134" s="440" t="s">
        <v>631</v>
      </c>
      <c r="D1134" s="444">
        <v>44484</v>
      </c>
      <c r="E1134" s="445">
        <v>32436</v>
      </c>
      <c r="F1134" s="440">
        <v>1001010014</v>
      </c>
      <c r="G1134" s="440" t="s">
        <v>632</v>
      </c>
    </row>
    <row r="1135" spans="1:7">
      <c r="A1135" s="440">
        <v>4700655690</v>
      </c>
      <c r="B1135" s="440">
        <v>6100071065</v>
      </c>
      <c r="C1135" s="440" t="s">
        <v>631</v>
      </c>
      <c r="D1135" s="444">
        <v>44484</v>
      </c>
      <c r="E1135" s="445">
        <v>9453</v>
      </c>
      <c r="F1135" s="440">
        <v>1001010014</v>
      </c>
      <c r="G1135" s="440" t="s">
        <v>632</v>
      </c>
    </row>
    <row r="1136" spans="1:7">
      <c r="A1136" s="440">
        <v>4700655690</v>
      </c>
      <c r="B1136" s="440">
        <v>6100071065</v>
      </c>
      <c r="C1136" s="440" t="s">
        <v>631</v>
      </c>
      <c r="D1136" s="444">
        <v>44484</v>
      </c>
      <c r="E1136" s="445">
        <v>26850</v>
      </c>
      <c r="F1136" s="440">
        <v>1001010014</v>
      </c>
      <c r="G1136" s="440" t="s">
        <v>632</v>
      </c>
    </row>
    <row r="1137" spans="1:7">
      <c r="A1137" s="440">
        <v>4700655690</v>
      </c>
      <c r="B1137" s="440">
        <v>6100071149</v>
      </c>
      <c r="C1137" s="440" t="s">
        <v>631</v>
      </c>
      <c r="D1137" s="444">
        <v>44484</v>
      </c>
      <c r="E1137" s="445">
        <v>-6200</v>
      </c>
      <c r="F1137" s="440">
        <v>1001010014</v>
      </c>
      <c r="G1137" s="440" t="s">
        <v>632</v>
      </c>
    </row>
    <row r="1138" spans="1:7">
      <c r="A1138" s="440">
        <v>4700655690</v>
      </c>
      <c r="B1138" s="440">
        <v>6100071149</v>
      </c>
      <c r="C1138" s="440" t="s">
        <v>631</v>
      </c>
      <c r="D1138" s="444">
        <v>44484</v>
      </c>
      <c r="E1138" s="445">
        <v>-5200</v>
      </c>
      <c r="F1138" s="440">
        <v>1001010014</v>
      </c>
      <c r="G1138" s="440" t="s">
        <v>632</v>
      </c>
    </row>
    <row r="1139" spans="1:7">
      <c r="A1139" s="440">
        <v>4700655690</v>
      </c>
      <c r="B1139" s="440">
        <v>6100071149</v>
      </c>
      <c r="C1139" s="440" t="s">
        <v>631</v>
      </c>
      <c r="D1139" s="444">
        <v>44484</v>
      </c>
      <c r="E1139" s="445">
        <v>-5300</v>
      </c>
      <c r="F1139" s="440">
        <v>1001010014</v>
      </c>
      <c r="G1139" s="440" t="s">
        <v>632</v>
      </c>
    </row>
    <row r="1140" spans="1:7">
      <c r="A1140" s="440">
        <v>4700655690</v>
      </c>
      <c r="B1140" s="440">
        <v>6100071149</v>
      </c>
      <c r="C1140" s="440" t="s">
        <v>631</v>
      </c>
      <c r="D1140" s="444">
        <v>44484</v>
      </c>
      <c r="E1140" s="445">
        <v>-5462</v>
      </c>
      <c r="F1140" s="440">
        <v>1001010014</v>
      </c>
      <c r="G1140" s="440" t="s">
        <v>632</v>
      </c>
    </row>
    <row r="1141" spans="1:7">
      <c r="A1141" s="440">
        <v>4700655690</v>
      </c>
      <c r="B1141" s="440">
        <v>6100071149</v>
      </c>
      <c r="C1141" s="440" t="s">
        <v>631</v>
      </c>
      <c r="D1141" s="444">
        <v>44484</v>
      </c>
      <c r="E1141" s="445">
        <v>-10800</v>
      </c>
      <c r="F1141" s="440">
        <v>1001010014</v>
      </c>
      <c r="G1141" s="440" t="s">
        <v>632</v>
      </c>
    </row>
    <row r="1142" spans="1:7">
      <c r="A1142" s="440">
        <v>4700655690</v>
      </c>
      <c r="B1142" s="440">
        <v>6100071149</v>
      </c>
      <c r="C1142" s="440" t="s">
        <v>631</v>
      </c>
      <c r="D1142" s="444">
        <v>44484</v>
      </c>
      <c r="E1142" s="445">
        <v>-2000</v>
      </c>
      <c r="F1142" s="440">
        <v>1001010014</v>
      </c>
      <c r="G1142" s="440" t="s">
        <v>632</v>
      </c>
    </row>
    <row r="1143" spans="1:7">
      <c r="A1143" s="440">
        <v>4700655690</v>
      </c>
      <c r="B1143" s="440">
        <v>6100071149</v>
      </c>
      <c r="C1143" s="440" t="s">
        <v>631</v>
      </c>
      <c r="D1143" s="444">
        <v>44484</v>
      </c>
      <c r="E1143" s="445">
        <v>-12602</v>
      </c>
      <c r="F1143" s="440">
        <v>1001010014</v>
      </c>
      <c r="G1143" s="440" t="s">
        <v>632</v>
      </c>
    </row>
    <row r="1144" spans="1:7">
      <c r="A1144" s="440">
        <v>4700655690</v>
      </c>
      <c r="B1144" s="440">
        <v>6100071149</v>
      </c>
      <c r="C1144" s="440" t="s">
        <v>631</v>
      </c>
      <c r="D1144" s="444">
        <v>44484</v>
      </c>
      <c r="E1144" s="445">
        <v>-7310</v>
      </c>
      <c r="F1144" s="440">
        <v>1001010014</v>
      </c>
      <c r="G1144" s="440" t="s">
        <v>632</v>
      </c>
    </row>
    <row r="1145" spans="1:7">
      <c r="A1145" s="440">
        <v>4700655690</v>
      </c>
      <c r="B1145" s="440">
        <v>6100071149</v>
      </c>
      <c r="C1145" s="440" t="s">
        <v>631</v>
      </c>
      <c r="D1145" s="444">
        <v>44484</v>
      </c>
      <c r="E1145" s="445">
        <v>-32436</v>
      </c>
      <c r="F1145" s="440">
        <v>1001010014</v>
      </c>
      <c r="G1145" s="440" t="s">
        <v>632</v>
      </c>
    </row>
    <row r="1146" spans="1:7">
      <c r="A1146" s="440">
        <v>4700655690</v>
      </c>
      <c r="B1146" s="440">
        <v>6100071149</v>
      </c>
      <c r="C1146" s="440" t="s">
        <v>631</v>
      </c>
      <c r="D1146" s="444">
        <v>44484</v>
      </c>
      <c r="E1146" s="445">
        <v>-9453</v>
      </c>
      <c r="F1146" s="440">
        <v>1001010014</v>
      </c>
      <c r="G1146" s="440" t="s">
        <v>632</v>
      </c>
    </row>
    <row r="1147" spans="1:7">
      <c r="A1147" s="440">
        <v>4700655690</v>
      </c>
      <c r="B1147" s="440">
        <v>6100071149</v>
      </c>
      <c r="C1147" s="440" t="s">
        <v>631</v>
      </c>
      <c r="D1147" s="444">
        <v>44484</v>
      </c>
      <c r="E1147" s="445">
        <v>-26850</v>
      </c>
      <c r="F1147" s="440">
        <v>1001010014</v>
      </c>
      <c r="G1147" s="440" t="s">
        <v>632</v>
      </c>
    </row>
    <row r="1148" spans="1:7">
      <c r="A1148" s="440">
        <v>4700655690</v>
      </c>
      <c r="B1148" s="440">
        <v>6100073532</v>
      </c>
      <c r="C1148" s="440" t="s">
        <v>631</v>
      </c>
      <c r="D1148" s="444">
        <v>44491</v>
      </c>
      <c r="E1148" s="445">
        <v>5210</v>
      </c>
      <c r="F1148" s="440">
        <v>1001010014</v>
      </c>
      <c r="G1148" s="440" t="s">
        <v>632</v>
      </c>
    </row>
    <row r="1149" spans="1:7">
      <c r="A1149" s="440">
        <v>4700655690</v>
      </c>
      <c r="B1149" s="440">
        <v>6100073532</v>
      </c>
      <c r="C1149" s="440" t="s">
        <v>631</v>
      </c>
      <c r="D1149" s="444">
        <v>44491</v>
      </c>
      <c r="E1149" s="445">
        <v>5200</v>
      </c>
      <c r="F1149" s="440">
        <v>1001010014</v>
      </c>
      <c r="G1149" s="440" t="s">
        <v>632</v>
      </c>
    </row>
    <row r="1150" spans="1:7">
      <c r="A1150" s="440">
        <v>4700655690</v>
      </c>
      <c r="B1150" s="440">
        <v>6100073532</v>
      </c>
      <c r="C1150" s="440" t="s">
        <v>631</v>
      </c>
      <c r="D1150" s="444">
        <v>44491</v>
      </c>
      <c r="E1150" s="445">
        <v>5300</v>
      </c>
      <c r="F1150" s="440">
        <v>1001010014</v>
      </c>
      <c r="G1150" s="440" t="s">
        <v>632</v>
      </c>
    </row>
    <row r="1151" spans="1:7">
      <c r="A1151" s="440">
        <v>4700655690</v>
      </c>
      <c r="B1151" s="440">
        <v>6100073532</v>
      </c>
      <c r="C1151" s="440" t="s">
        <v>631</v>
      </c>
      <c r="D1151" s="444">
        <v>44491</v>
      </c>
      <c r="E1151" s="445">
        <v>5462</v>
      </c>
      <c r="F1151" s="440">
        <v>1001010014</v>
      </c>
      <c r="G1151" s="440" t="s">
        <v>632</v>
      </c>
    </row>
    <row r="1152" spans="1:7">
      <c r="A1152" s="440">
        <v>4700655690</v>
      </c>
      <c r="B1152" s="440">
        <v>6100073532</v>
      </c>
      <c r="C1152" s="440" t="s">
        <v>631</v>
      </c>
      <c r="D1152" s="444">
        <v>44491</v>
      </c>
      <c r="E1152" s="445">
        <v>10800</v>
      </c>
      <c r="F1152" s="440">
        <v>1001010014</v>
      </c>
      <c r="G1152" s="440" t="s">
        <v>632</v>
      </c>
    </row>
    <row r="1153" spans="1:7">
      <c r="A1153" s="440">
        <v>4700655690</v>
      </c>
      <c r="B1153" s="440">
        <v>6100073532</v>
      </c>
      <c r="C1153" s="440" t="s">
        <v>631</v>
      </c>
      <c r="D1153" s="444">
        <v>44491</v>
      </c>
      <c r="E1153" s="445">
        <v>2000</v>
      </c>
      <c r="F1153" s="440">
        <v>1001010014</v>
      </c>
      <c r="G1153" s="440" t="s">
        <v>632</v>
      </c>
    </row>
    <row r="1154" spans="1:7">
      <c r="A1154" s="440">
        <v>4700655690</v>
      </c>
      <c r="B1154" s="440">
        <v>6100073532</v>
      </c>
      <c r="C1154" s="440" t="s">
        <v>631</v>
      </c>
      <c r="D1154" s="444">
        <v>44491</v>
      </c>
      <c r="E1154" s="445">
        <v>12602</v>
      </c>
      <c r="F1154" s="440">
        <v>1001010014</v>
      </c>
      <c r="G1154" s="440" t="s">
        <v>632</v>
      </c>
    </row>
    <row r="1155" spans="1:7">
      <c r="A1155" s="440">
        <v>4700655690</v>
      </c>
      <c r="B1155" s="440">
        <v>6100073532</v>
      </c>
      <c r="C1155" s="440" t="s">
        <v>631</v>
      </c>
      <c r="D1155" s="444">
        <v>44491</v>
      </c>
      <c r="E1155" s="445">
        <v>7310</v>
      </c>
      <c r="F1155" s="440">
        <v>1001010014</v>
      </c>
      <c r="G1155" s="440" t="s">
        <v>632</v>
      </c>
    </row>
    <row r="1156" spans="1:7">
      <c r="A1156" s="440">
        <v>4700655690</v>
      </c>
      <c r="B1156" s="440">
        <v>6100073532</v>
      </c>
      <c r="C1156" s="440" t="s">
        <v>631</v>
      </c>
      <c r="D1156" s="444">
        <v>44491</v>
      </c>
      <c r="E1156" s="445">
        <v>32436</v>
      </c>
      <c r="F1156" s="440">
        <v>1001010014</v>
      </c>
      <c r="G1156" s="440" t="s">
        <v>632</v>
      </c>
    </row>
    <row r="1157" spans="1:7">
      <c r="A1157" s="440">
        <v>4700655690</v>
      </c>
      <c r="B1157" s="440">
        <v>6100073532</v>
      </c>
      <c r="C1157" s="440" t="s">
        <v>631</v>
      </c>
      <c r="D1157" s="444">
        <v>44491</v>
      </c>
      <c r="E1157" s="445">
        <v>9453</v>
      </c>
      <c r="F1157" s="440">
        <v>1001010014</v>
      </c>
      <c r="G1157" s="440" t="s">
        <v>632</v>
      </c>
    </row>
    <row r="1158" spans="1:7">
      <c r="A1158" s="440">
        <v>4700655690</v>
      </c>
      <c r="B1158" s="440">
        <v>6100073532</v>
      </c>
      <c r="C1158" s="440" t="s">
        <v>631</v>
      </c>
      <c r="D1158" s="444">
        <v>44491</v>
      </c>
      <c r="E1158" s="445">
        <v>26850</v>
      </c>
      <c r="F1158" s="440">
        <v>1001010014</v>
      </c>
      <c r="G1158" s="440" t="s">
        <v>632</v>
      </c>
    </row>
    <row r="1159" spans="1:7">
      <c r="A1159" s="440">
        <v>4700410666</v>
      </c>
      <c r="B1159" s="440">
        <v>6100024635</v>
      </c>
      <c r="C1159" s="440" t="s">
        <v>631</v>
      </c>
      <c r="D1159" s="444">
        <v>43905</v>
      </c>
      <c r="E1159" s="445">
        <v>1764</v>
      </c>
      <c r="F1159" s="440">
        <v>1001010016</v>
      </c>
      <c r="G1159" s="440" t="s">
        <v>632</v>
      </c>
    </row>
    <row r="1160" spans="1:7">
      <c r="A1160" s="440">
        <v>4700410666</v>
      </c>
      <c r="B1160" s="440">
        <v>6100024635</v>
      </c>
      <c r="C1160" s="440" t="s">
        <v>631</v>
      </c>
      <c r="D1160" s="444">
        <v>43905</v>
      </c>
      <c r="E1160" s="445">
        <v>17900</v>
      </c>
      <c r="F1160" s="440">
        <v>1001010016</v>
      </c>
      <c r="G1160" s="440" t="s">
        <v>632</v>
      </c>
    </row>
    <row r="1161" spans="1:7">
      <c r="A1161" s="440">
        <v>4700410666</v>
      </c>
      <c r="B1161" s="440">
        <v>6100024635</v>
      </c>
      <c r="C1161" s="440" t="s">
        <v>631</v>
      </c>
      <c r="D1161" s="444">
        <v>43905</v>
      </c>
      <c r="E1161" s="445">
        <v>6597</v>
      </c>
      <c r="F1161" s="440">
        <v>1001010016</v>
      </c>
      <c r="G1161" s="440" t="s">
        <v>632</v>
      </c>
    </row>
    <row r="1162" spans="1:7">
      <c r="A1162" s="440">
        <v>4700410666</v>
      </c>
      <c r="B1162" s="440">
        <v>6100024635</v>
      </c>
      <c r="C1162" s="440" t="s">
        <v>631</v>
      </c>
      <c r="D1162" s="444">
        <v>43905</v>
      </c>
      <c r="E1162" s="445">
        <v>5546</v>
      </c>
      <c r="F1162" s="440">
        <v>1001010016</v>
      </c>
      <c r="G1162" s="440" t="s">
        <v>632</v>
      </c>
    </row>
    <row r="1163" spans="1:7">
      <c r="A1163" s="440">
        <v>4700410666</v>
      </c>
      <c r="B1163" s="440">
        <v>6100024635</v>
      </c>
      <c r="C1163" s="440" t="s">
        <v>631</v>
      </c>
      <c r="D1163" s="444">
        <v>43905</v>
      </c>
      <c r="E1163" s="445">
        <v>5168</v>
      </c>
      <c r="F1163" s="440">
        <v>1001010016</v>
      </c>
      <c r="G1163" s="440" t="s">
        <v>632</v>
      </c>
    </row>
    <row r="1164" spans="1:7">
      <c r="A1164" s="440">
        <v>4700435401</v>
      </c>
      <c r="B1164" s="440">
        <v>6100057598</v>
      </c>
      <c r="C1164" s="440" t="s">
        <v>631</v>
      </c>
      <c r="D1164" s="444">
        <v>44000</v>
      </c>
      <c r="E1164" s="445">
        <v>7100</v>
      </c>
      <c r="F1164" s="440">
        <v>1001010016</v>
      </c>
      <c r="G1164" s="440" t="s">
        <v>632</v>
      </c>
    </row>
    <row r="1165" spans="1:7">
      <c r="A1165" s="440">
        <v>4700435401</v>
      </c>
      <c r="B1165" s="440">
        <v>6100057598</v>
      </c>
      <c r="C1165" s="440" t="s">
        <v>631</v>
      </c>
      <c r="D1165" s="444">
        <v>44000</v>
      </c>
      <c r="E1165" s="445">
        <v>9200</v>
      </c>
      <c r="F1165" s="440">
        <v>1001010016</v>
      </c>
      <c r="G1165" s="440" t="s">
        <v>632</v>
      </c>
    </row>
    <row r="1166" spans="1:7">
      <c r="A1166" s="440">
        <v>4700435401</v>
      </c>
      <c r="B1166" s="440">
        <v>6100057598</v>
      </c>
      <c r="C1166" s="440" t="s">
        <v>631</v>
      </c>
      <c r="D1166" s="444">
        <v>44000</v>
      </c>
      <c r="E1166" s="445">
        <v>11008</v>
      </c>
      <c r="F1166" s="440">
        <v>1001010016</v>
      </c>
      <c r="G1166" s="440" t="s">
        <v>632</v>
      </c>
    </row>
    <row r="1167" spans="1:7">
      <c r="A1167" s="440">
        <v>4700435401</v>
      </c>
      <c r="B1167" s="440">
        <v>6100057598</v>
      </c>
      <c r="C1167" s="440" t="s">
        <v>631</v>
      </c>
      <c r="D1167" s="444">
        <v>44000</v>
      </c>
      <c r="E1167" s="445">
        <v>1765</v>
      </c>
      <c r="F1167" s="440">
        <v>1001010016</v>
      </c>
      <c r="G1167" s="440" t="s">
        <v>632</v>
      </c>
    </row>
    <row r="1168" spans="1:7">
      <c r="A1168" s="440">
        <v>4700435401</v>
      </c>
      <c r="B1168" s="440">
        <v>6100057598</v>
      </c>
      <c r="C1168" s="440" t="s">
        <v>631</v>
      </c>
      <c r="D1168" s="444">
        <v>44000</v>
      </c>
      <c r="E1168" s="445">
        <v>6700</v>
      </c>
      <c r="F1168" s="440">
        <v>1001010016</v>
      </c>
      <c r="G1168" s="440" t="s">
        <v>632</v>
      </c>
    </row>
    <row r="1169" spans="1:7">
      <c r="A1169" s="440">
        <v>4700435401</v>
      </c>
      <c r="B1169" s="440">
        <v>6100057598</v>
      </c>
      <c r="C1169" s="440" t="s">
        <v>631</v>
      </c>
      <c r="D1169" s="444">
        <v>44000</v>
      </c>
      <c r="E1169" s="445">
        <v>11000</v>
      </c>
      <c r="F1169" s="440">
        <v>1001010016</v>
      </c>
      <c r="G1169" s="440" t="s">
        <v>632</v>
      </c>
    </row>
    <row r="1170" spans="1:7">
      <c r="A1170" s="440">
        <v>4700435401</v>
      </c>
      <c r="B1170" s="440">
        <v>6100057598</v>
      </c>
      <c r="C1170" s="440" t="s">
        <v>631</v>
      </c>
      <c r="D1170" s="444">
        <v>44000</v>
      </c>
      <c r="E1170" s="445">
        <v>5546</v>
      </c>
      <c r="F1170" s="440">
        <v>1001010016</v>
      </c>
      <c r="G1170" s="440" t="s">
        <v>632</v>
      </c>
    </row>
    <row r="1171" spans="1:7">
      <c r="A1171" s="440">
        <v>4700435401</v>
      </c>
      <c r="B1171" s="440">
        <v>6100057598</v>
      </c>
      <c r="C1171" s="440" t="s">
        <v>631</v>
      </c>
      <c r="D1171" s="444">
        <v>44000</v>
      </c>
      <c r="E1171" s="445">
        <v>7479</v>
      </c>
      <c r="F1171" s="440">
        <v>1001010016</v>
      </c>
      <c r="G1171" s="440" t="s">
        <v>632</v>
      </c>
    </row>
    <row r="1172" spans="1:7">
      <c r="A1172" s="440">
        <v>4700435401</v>
      </c>
      <c r="B1172" s="440">
        <v>6100057598</v>
      </c>
      <c r="C1172" s="440" t="s">
        <v>631</v>
      </c>
      <c r="D1172" s="444">
        <v>44000</v>
      </c>
      <c r="E1172" s="445">
        <v>10200</v>
      </c>
      <c r="F1172" s="440">
        <v>1001010016</v>
      </c>
      <c r="G1172" s="440" t="s">
        <v>632</v>
      </c>
    </row>
    <row r="1173" spans="1:7">
      <c r="A1173" s="440">
        <v>4700446206</v>
      </c>
      <c r="B1173" s="440">
        <v>6100064398</v>
      </c>
      <c r="C1173" s="440" t="s">
        <v>631</v>
      </c>
      <c r="D1173" s="444">
        <v>44028</v>
      </c>
      <c r="E1173" s="445">
        <v>47200</v>
      </c>
      <c r="F1173" s="440">
        <v>1001010016</v>
      </c>
      <c r="G1173" s="440" t="s">
        <v>632</v>
      </c>
    </row>
    <row r="1174" spans="1:7">
      <c r="A1174" s="440">
        <v>4700491582</v>
      </c>
      <c r="B1174" s="440">
        <v>6100104742</v>
      </c>
      <c r="C1174" s="440" t="s">
        <v>631</v>
      </c>
      <c r="D1174" s="444">
        <v>44132</v>
      </c>
      <c r="E1174" s="445">
        <v>1900</v>
      </c>
      <c r="F1174" s="440">
        <v>1001010016</v>
      </c>
      <c r="G1174" s="440" t="s">
        <v>632</v>
      </c>
    </row>
    <row r="1175" spans="1:7">
      <c r="A1175" s="440">
        <v>4700491582</v>
      </c>
      <c r="B1175" s="440">
        <v>6100104742</v>
      </c>
      <c r="C1175" s="440" t="s">
        <v>631</v>
      </c>
      <c r="D1175" s="444">
        <v>44132</v>
      </c>
      <c r="E1175" s="445">
        <v>6900</v>
      </c>
      <c r="F1175" s="440">
        <v>1001010016</v>
      </c>
      <c r="G1175" s="440" t="s">
        <v>632</v>
      </c>
    </row>
    <row r="1176" spans="1:7">
      <c r="A1176" s="440">
        <v>4700491582</v>
      </c>
      <c r="B1176" s="440">
        <v>6100104742</v>
      </c>
      <c r="C1176" s="440" t="s">
        <v>631</v>
      </c>
      <c r="D1176" s="444">
        <v>44132</v>
      </c>
      <c r="E1176" s="445">
        <v>17900</v>
      </c>
      <c r="F1176" s="440">
        <v>1001010016</v>
      </c>
      <c r="G1176" s="440" t="s">
        <v>632</v>
      </c>
    </row>
    <row r="1177" spans="1:7">
      <c r="A1177" s="440">
        <v>4700491582</v>
      </c>
      <c r="B1177" s="440">
        <v>6100104742</v>
      </c>
      <c r="C1177" s="440" t="s">
        <v>631</v>
      </c>
      <c r="D1177" s="444">
        <v>44132</v>
      </c>
      <c r="E1177" s="445">
        <v>49050</v>
      </c>
      <c r="F1177" s="440">
        <v>1001010016</v>
      </c>
      <c r="G1177" s="440" t="s">
        <v>632</v>
      </c>
    </row>
    <row r="1178" spans="1:7">
      <c r="A1178" s="440">
        <v>4700491582</v>
      </c>
      <c r="B1178" s="440">
        <v>6100104742</v>
      </c>
      <c r="C1178" s="440" t="s">
        <v>631</v>
      </c>
      <c r="D1178" s="444">
        <v>44132</v>
      </c>
      <c r="E1178" s="445">
        <v>21849</v>
      </c>
      <c r="F1178" s="440">
        <v>1001010016</v>
      </c>
      <c r="G1178" s="440" t="s">
        <v>632</v>
      </c>
    </row>
    <row r="1179" spans="1:7">
      <c r="A1179" s="440">
        <v>4700491582</v>
      </c>
      <c r="B1179" s="440">
        <v>6100104742</v>
      </c>
      <c r="C1179" s="440" t="s">
        <v>631</v>
      </c>
      <c r="D1179" s="444">
        <v>44132</v>
      </c>
      <c r="E1179" s="445">
        <v>5400</v>
      </c>
      <c r="F1179" s="440">
        <v>1001010016</v>
      </c>
      <c r="G1179" s="440" t="s">
        <v>632</v>
      </c>
    </row>
    <row r="1180" spans="1:7">
      <c r="A1180" s="440">
        <v>4700491582</v>
      </c>
      <c r="B1180" s="440">
        <v>6100104742</v>
      </c>
      <c r="C1180" s="440" t="s">
        <v>631</v>
      </c>
      <c r="D1180" s="444">
        <v>44132</v>
      </c>
      <c r="E1180" s="445">
        <v>5546</v>
      </c>
      <c r="F1180" s="440">
        <v>1001010016</v>
      </c>
      <c r="G1180" s="440" t="s">
        <v>632</v>
      </c>
    </row>
    <row r="1181" spans="1:7">
      <c r="A1181" s="440">
        <v>4700491582</v>
      </c>
      <c r="B1181" s="440">
        <v>6100104742</v>
      </c>
      <c r="C1181" s="440" t="s">
        <v>631</v>
      </c>
      <c r="D1181" s="444">
        <v>44132</v>
      </c>
      <c r="E1181" s="445">
        <v>1600</v>
      </c>
      <c r="F1181" s="440">
        <v>1001010016</v>
      </c>
      <c r="G1181" s="440" t="s">
        <v>632</v>
      </c>
    </row>
    <row r="1182" spans="1:7">
      <c r="A1182" s="440">
        <v>4700491582</v>
      </c>
      <c r="B1182" s="440">
        <v>6100104742</v>
      </c>
      <c r="C1182" s="440" t="s">
        <v>631</v>
      </c>
      <c r="D1182" s="444">
        <v>44132</v>
      </c>
      <c r="E1182" s="445">
        <v>43600</v>
      </c>
      <c r="F1182" s="440">
        <v>1001010016</v>
      </c>
      <c r="G1182" s="440" t="s">
        <v>632</v>
      </c>
    </row>
    <row r="1183" spans="1:7">
      <c r="A1183" s="440">
        <v>4700491582</v>
      </c>
      <c r="B1183" s="440">
        <v>6100104742</v>
      </c>
      <c r="C1183" s="440" t="s">
        <v>631</v>
      </c>
      <c r="D1183" s="444">
        <v>44132</v>
      </c>
      <c r="E1183" s="445">
        <v>7941</v>
      </c>
      <c r="F1183" s="440">
        <v>1001010016</v>
      </c>
      <c r="G1183" s="440" t="s">
        <v>632</v>
      </c>
    </row>
    <row r="1184" spans="1:7">
      <c r="A1184" s="440">
        <v>4700542888</v>
      </c>
      <c r="B1184" s="440">
        <v>6100017452</v>
      </c>
      <c r="C1184" s="440" t="s">
        <v>631</v>
      </c>
      <c r="D1184" s="444">
        <v>44242</v>
      </c>
      <c r="E1184" s="445">
        <v>7250</v>
      </c>
      <c r="F1184" s="440">
        <v>1001010016</v>
      </c>
      <c r="G1184" s="440" t="s">
        <v>632</v>
      </c>
    </row>
    <row r="1185" spans="1:7">
      <c r="A1185" s="440">
        <v>4700542888</v>
      </c>
      <c r="B1185" s="440">
        <v>6100017452</v>
      </c>
      <c r="C1185" s="440" t="s">
        <v>631</v>
      </c>
      <c r="D1185" s="444">
        <v>44242</v>
      </c>
      <c r="E1185" s="445">
        <v>8319</v>
      </c>
      <c r="F1185" s="440">
        <v>1001010016</v>
      </c>
      <c r="G1185" s="440" t="s">
        <v>632</v>
      </c>
    </row>
    <row r="1186" spans="1:7">
      <c r="A1186" s="440">
        <v>4700542888</v>
      </c>
      <c r="B1186" s="440">
        <v>6100017452</v>
      </c>
      <c r="C1186" s="440" t="s">
        <v>631</v>
      </c>
      <c r="D1186" s="444">
        <v>44242</v>
      </c>
      <c r="E1186" s="445">
        <v>4600</v>
      </c>
      <c r="F1186" s="440">
        <v>1001010016</v>
      </c>
      <c r="G1186" s="440" t="s">
        <v>632</v>
      </c>
    </row>
    <row r="1187" spans="1:7">
      <c r="A1187" s="440">
        <v>4700542888</v>
      </c>
      <c r="B1187" s="440">
        <v>6100017452</v>
      </c>
      <c r="C1187" s="440" t="s">
        <v>631</v>
      </c>
      <c r="D1187" s="444">
        <v>44242</v>
      </c>
      <c r="E1187" s="445">
        <v>2101</v>
      </c>
      <c r="F1187" s="440">
        <v>1001010016</v>
      </c>
      <c r="G1187" s="440" t="s">
        <v>632</v>
      </c>
    </row>
    <row r="1188" spans="1:7">
      <c r="A1188" s="440">
        <v>4700542888</v>
      </c>
      <c r="B1188" s="440">
        <v>6100017452</v>
      </c>
      <c r="C1188" s="440" t="s">
        <v>631</v>
      </c>
      <c r="D1188" s="444">
        <v>44242</v>
      </c>
      <c r="E1188" s="445">
        <v>13400</v>
      </c>
      <c r="F1188" s="440">
        <v>1001010016</v>
      </c>
      <c r="G1188" s="440" t="s">
        <v>632</v>
      </c>
    </row>
    <row r="1189" spans="1:7">
      <c r="A1189" s="440">
        <v>4700542888</v>
      </c>
      <c r="B1189" s="440">
        <v>6100017452</v>
      </c>
      <c r="C1189" s="440" t="s">
        <v>631</v>
      </c>
      <c r="D1189" s="444">
        <v>44242</v>
      </c>
      <c r="E1189" s="445">
        <v>12500</v>
      </c>
      <c r="F1189" s="440">
        <v>1001010016</v>
      </c>
      <c r="G1189" s="440" t="s">
        <v>632</v>
      </c>
    </row>
    <row r="1190" spans="1:7">
      <c r="A1190" s="440">
        <v>4700542888</v>
      </c>
      <c r="B1190" s="440">
        <v>6100017452</v>
      </c>
      <c r="C1190" s="440" t="s">
        <v>631</v>
      </c>
      <c r="D1190" s="444">
        <v>44242</v>
      </c>
      <c r="E1190" s="445">
        <v>3529</v>
      </c>
      <c r="F1190" s="440">
        <v>1001010016</v>
      </c>
      <c r="G1190" s="440" t="s">
        <v>632</v>
      </c>
    </row>
    <row r="1191" spans="1:7">
      <c r="A1191" s="440">
        <v>4700542888</v>
      </c>
      <c r="B1191" s="440">
        <v>6100017452</v>
      </c>
      <c r="C1191" s="440" t="s">
        <v>631</v>
      </c>
      <c r="D1191" s="444">
        <v>44242</v>
      </c>
      <c r="E1191" s="445">
        <v>17900</v>
      </c>
      <c r="F1191" s="440">
        <v>1001010016</v>
      </c>
      <c r="G1191" s="440" t="s">
        <v>632</v>
      </c>
    </row>
    <row r="1192" spans="1:7">
      <c r="A1192" s="440">
        <v>4700542888</v>
      </c>
      <c r="B1192" s="440">
        <v>6100017452</v>
      </c>
      <c r="C1192" s="440" t="s">
        <v>631</v>
      </c>
      <c r="D1192" s="444">
        <v>44242</v>
      </c>
      <c r="E1192" s="445">
        <v>21849</v>
      </c>
      <c r="F1192" s="440">
        <v>1001010016</v>
      </c>
      <c r="G1192" s="440" t="s">
        <v>632</v>
      </c>
    </row>
    <row r="1193" spans="1:7">
      <c r="A1193" s="440">
        <v>4700579739</v>
      </c>
      <c r="B1193" s="440">
        <v>6100035870</v>
      </c>
      <c r="C1193" s="440" t="s">
        <v>631</v>
      </c>
      <c r="D1193" s="444">
        <v>44321</v>
      </c>
      <c r="E1193" s="445">
        <v>12815</v>
      </c>
      <c r="F1193" s="440">
        <v>1001010016</v>
      </c>
      <c r="G1193" s="440" t="s">
        <v>632</v>
      </c>
    </row>
    <row r="1194" spans="1:7">
      <c r="A1194" s="440">
        <v>4700579739</v>
      </c>
      <c r="B1194" s="440">
        <v>6100035870</v>
      </c>
      <c r="C1194" s="440" t="s">
        <v>631</v>
      </c>
      <c r="D1194" s="444">
        <v>44321</v>
      </c>
      <c r="E1194" s="445">
        <v>5650</v>
      </c>
      <c r="F1194" s="440">
        <v>1001010016</v>
      </c>
      <c r="G1194" s="440" t="s">
        <v>632</v>
      </c>
    </row>
    <row r="1195" spans="1:7">
      <c r="A1195" s="440">
        <v>4700579739</v>
      </c>
      <c r="B1195" s="440">
        <v>6100035870</v>
      </c>
      <c r="C1195" s="440" t="s">
        <v>631</v>
      </c>
      <c r="D1195" s="444">
        <v>44321</v>
      </c>
      <c r="E1195" s="445">
        <v>8277</v>
      </c>
      <c r="F1195" s="440">
        <v>1001010016</v>
      </c>
      <c r="G1195" s="440" t="s">
        <v>632</v>
      </c>
    </row>
    <row r="1196" spans="1:7">
      <c r="A1196" s="440">
        <v>4700579739</v>
      </c>
      <c r="B1196" s="440">
        <v>6100035870</v>
      </c>
      <c r="C1196" s="440" t="s">
        <v>631</v>
      </c>
      <c r="D1196" s="444">
        <v>44321</v>
      </c>
      <c r="E1196" s="445">
        <v>3400</v>
      </c>
      <c r="F1196" s="440">
        <v>1001010016</v>
      </c>
      <c r="G1196" s="440" t="s">
        <v>632</v>
      </c>
    </row>
    <row r="1197" spans="1:7">
      <c r="A1197" s="440">
        <v>4700579739</v>
      </c>
      <c r="B1197" s="440">
        <v>6100035870</v>
      </c>
      <c r="C1197" s="440" t="s">
        <v>631</v>
      </c>
      <c r="D1197" s="444">
        <v>44321</v>
      </c>
      <c r="E1197" s="445">
        <v>14800</v>
      </c>
      <c r="F1197" s="440">
        <v>1001010016</v>
      </c>
      <c r="G1197" s="440" t="s">
        <v>632</v>
      </c>
    </row>
    <row r="1198" spans="1:7">
      <c r="A1198" s="440">
        <v>4700579739</v>
      </c>
      <c r="B1198" s="440">
        <v>6100035870</v>
      </c>
      <c r="C1198" s="440" t="s">
        <v>631</v>
      </c>
      <c r="D1198" s="444">
        <v>44321</v>
      </c>
      <c r="E1198" s="445">
        <v>5500</v>
      </c>
      <c r="F1198" s="440">
        <v>1001010016</v>
      </c>
      <c r="G1198" s="440" t="s">
        <v>632</v>
      </c>
    </row>
    <row r="1199" spans="1:7">
      <c r="A1199" s="440">
        <v>4700579739</v>
      </c>
      <c r="B1199" s="440">
        <v>6100035870</v>
      </c>
      <c r="C1199" s="440" t="s">
        <v>631</v>
      </c>
      <c r="D1199" s="444">
        <v>44321</v>
      </c>
      <c r="E1199" s="445">
        <v>7056</v>
      </c>
      <c r="F1199" s="440">
        <v>1001010016</v>
      </c>
      <c r="G1199" s="440" t="s">
        <v>632</v>
      </c>
    </row>
    <row r="1200" spans="1:7">
      <c r="A1200" s="440">
        <v>4700579739</v>
      </c>
      <c r="B1200" s="440">
        <v>6100035870</v>
      </c>
      <c r="C1200" s="440" t="s">
        <v>631</v>
      </c>
      <c r="D1200" s="444">
        <v>44321</v>
      </c>
      <c r="E1200" s="445">
        <v>12272</v>
      </c>
      <c r="F1200" s="440">
        <v>1001010016</v>
      </c>
      <c r="G1200" s="440" t="s">
        <v>632</v>
      </c>
    </row>
    <row r="1201" spans="1:7">
      <c r="A1201" s="440">
        <v>4700593884</v>
      </c>
      <c r="B1201" s="440">
        <v>6100043548</v>
      </c>
      <c r="C1201" s="440" t="s">
        <v>631</v>
      </c>
      <c r="D1201" s="444">
        <v>44362</v>
      </c>
      <c r="E1201" s="445">
        <v>29600</v>
      </c>
      <c r="F1201" s="440">
        <v>1001010016</v>
      </c>
      <c r="G1201" s="440" t="s">
        <v>632</v>
      </c>
    </row>
    <row r="1202" spans="1:7">
      <c r="A1202" s="440">
        <v>4700593884</v>
      </c>
      <c r="B1202" s="440">
        <v>6100043548</v>
      </c>
      <c r="C1202" s="440" t="s">
        <v>631</v>
      </c>
      <c r="D1202" s="444">
        <v>44362</v>
      </c>
      <c r="E1202" s="445">
        <v>5502</v>
      </c>
      <c r="F1202" s="440">
        <v>1001010016</v>
      </c>
      <c r="G1202" s="440" t="s">
        <v>632</v>
      </c>
    </row>
    <row r="1203" spans="1:7">
      <c r="A1203" s="440">
        <v>4700593884</v>
      </c>
      <c r="B1203" s="440">
        <v>6100043548</v>
      </c>
      <c r="C1203" s="440" t="s">
        <v>631</v>
      </c>
      <c r="D1203" s="444">
        <v>44362</v>
      </c>
      <c r="E1203" s="445">
        <v>7058</v>
      </c>
      <c r="F1203" s="440">
        <v>1001010016</v>
      </c>
      <c r="G1203" s="440" t="s">
        <v>632</v>
      </c>
    </row>
    <row r="1204" spans="1:7">
      <c r="A1204" s="440">
        <v>4700593884</v>
      </c>
      <c r="B1204" s="440">
        <v>6100043548</v>
      </c>
      <c r="C1204" s="440" t="s">
        <v>631</v>
      </c>
      <c r="D1204" s="444">
        <v>44362</v>
      </c>
      <c r="E1204" s="445">
        <v>12268</v>
      </c>
      <c r="F1204" s="440">
        <v>1001010016</v>
      </c>
      <c r="G1204" s="440" t="s">
        <v>632</v>
      </c>
    </row>
    <row r="1205" spans="1:7">
      <c r="A1205" s="440">
        <v>4700625958</v>
      </c>
      <c r="B1205" s="440">
        <v>6100054695</v>
      </c>
      <c r="C1205" s="440" t="s">
        <v>631</v>
      </c>
      <c r="D1205" s="444">
        <v>44425</v>
      </c>
      <c r="E1205" s="445">
        <v>14705</v>
      </c>
      <c r="F1205" s="440">
        <v>1001010016</v>
      </c>
      <c r="G1205" s="440" t="s">
        <v>632</v>
      </c>
    </row>
    <row r="1206" spans="1:7">
      <c r="A1206" s="440">
        <v>4700625958</v>
      </c>
      <c r="B1206" s="440">
        <v>6100054695</v>
      </c>
      <c r="C1206" s="440" t="s">
        <v>631</v>
      </c>
      <c r="D1206" s="444">
        <v>44425</v>
      </c>
      <c r="E1206" s="445">
        <v>14748</v>
      </c>
      <c r="F1206" s="440">
        <v>1001010016</v>
      </c>
      <c r="G1206" s="440" t="s">
        <v>632</v>
      </c>
    </row>
    <row r="1207" spans="1:7">
      <c r="A1207" s="440">
        <v>4700625958</v>
      </c>
      <c r="B1207" s="440">
        <v>6100054695</v>
      </c>
      <c r="C1207" s="440" t="s">
        <v>631</v>
      </c>
      <c r="D1207" s="444">
        <v>44425</v>
      </c>
      <c r="E1207" s="445">
        <v>14800</v>
      </c>
      <c r="F1207" s="440">
        <v>1001010016</v>
      </c>
      <c r="G1207" s="440" t="s">
        <v>632</v>
      </c>
    </row>
    <row r="1208" spans="1:7">
      <c r="A1208" s="440">
        <v>4700625958</v>
      </c>
      <c r="B1208" s="440">
        <v>6100054695</v>
      </c>
      <c r="C1208" s="440" t="s">
        <v>631</v>
      </c>
      <c r="D1208" s="444">
        <v>44425</v>
      </c>
      <c r="E1208" s="445">
        <v>14800</v>
      </c>
      <c r="F1208" s="440">
        <v>1001010016</v>
      </c>
      <c r="G1208" s="440" t="s">
        <v>632</v>
      </c>
    </row>
    <row r="1209" spans="1:7">
      <c r="A1209" s="440">
        <v>4700625958</v>
      </c>
      <c r="B1209" s="440">
        <v>6100054695</v>
      </c>
      <c r="C1209" s="440" t="s">
        <v>631</v>
      </c>
      <c r="D1209" s="444">
        <v>44425</v>
      </c>
      <c r="E1209" s="445">
        <v>3900</v>
      </c>
      <c r="F1209" s="440">
        <v>1001010016</v>
      </c>
      <c r="G1209" s="440" t="s">
        <v>632</v>
      </c>
    </row>
    <row r="1210" spans="1:7">
      <c r="A1210" s="440">
        <v>4700625958</v>
      </c>
      <c r="B1210" s="440">
        <v>6100054695</v>
      </c>
      <c r="C1210" s="440" t="s">
        <v>631</v>
      </c>
      <c r="D1210" s="444">
        <v>44425</v>
      </c>
      <c r="E1210" s="445">
        <v>10587</v>
      </c>
      <c r="F1210" s="440">
        <v>1001010016</v>
      </c>
      <c r="G1210" s="440" t="s">
        <v>632</v>
      </c>
    </row>
    <row r="1211" spans="1:7">
      <c r="A1211" s="440">
        <v>4700625958</v>
      </c>
      <c r="B1211" s="440">
        <v>6100054695</v>
      </c>
      <c r="C1211" s="440" t="s">
        <v>631</v>
      </c>
      <c r="D1211" s="444">
        <v>44425</v>
      </c>
      <c r="E1211" s="445">
        <v>2395</v>
      </c>
      <c r="F1211" s="440">
        <v>1001010016</v>
      </c>
      <c r="G1211" s="440" t="s">
        <v>632</v>
      </c>
    </row>
    <row r="1212" spans="1:7">
      <c r="A1212" s="440">
        <v>4700625958</v>
      </c>
      <c r="B1212" s="440">
        <v>6100054695</v>
      </c>
      <c r="C1212" s="440" t="s">
        <v>631</v>
      </c>
      <c r="D1212" s="444">
        <v>44425</v>
      </c>
      <c r="E1212" s="445">
        <v>25716</v>
      </c>
      <c r="F1212" s="440">
        <v>1001010016</v>
      </c>
      <c r="G1212" s="440" t="s">
        <v>632</v>
      </c>
    </row>
    <row r="1213" spans="1:7">
      <c r="A1213" s="440">
        <v>4700659407</v>
      </c>
      <c r="B1213" s="440">
        <v>6100073523</v>
      </c>
      <c r="C1213" s="440" t="s">
        <v>631</v>
      </c>
      <c r="D1213" s="444">
        <v>44491</v>
      </c>
      <c r="E1213" s="445">
        <v>14705</v>
      </c>
      <c r="F1213" s="440">
        <v>1001010016</v>
      </c>
      <c r="G1213" s="440" t="s">
        <v>632</v>
      </c>
    </row>
    <row r="1214" spans="1:7">
      <c r="A1214" s="440">
        <v>4700659407</v>
      </c>
      <c r="B1214" s="440">
        <v>6100073523</v>
      </c>
      <c r="C1214" s="440" t="s">
        <v>631</v>
      </c>
      <c r="D1214" s="444">
        <v>44491</v>
      </c>
      <c r="E1214" s="445">
        <v>8824</v>
      </c>
      <c r="F1214" s="440">
        <v>1001010016</v>
      </c>
      <c r="G1214" s="440" t="s">
        <v>632</v>
      </c>
    </row>
    <row r="1215" spans="1:7">
      <c r="A1215" s="440">
        <v>4700659407</v>
      </c>
      <c r="B1215" s="440">
        <v>6100073523</v>
      </c>
      <c r="C1215" s="440" t="s">
        <v>631</v>
      </c>
      <c r="D1215" s="444">
        <v>44491</v>
      </c>
      <c r="E1215" s="445">
        <v>5400</v>
      </c>
      <c r="F1215" s="440">
        <v>1001010016</v>
      </c>
      <c r="G1215" s="440" t="s">
        <v>632</v>
      </c>
    </row>
    <row r="1216" spans="1:7">
      <c r="A1216" s="440">
        <v>4700659407</v>
      </c>
      <c r="B1216" s="440">
        <v>6100073523</v>
      </c>
      <c r="C1216" s="440" t="s">
        <v>631</v>
      </c>
      <c r="D1216" s="444">
        <v>44491</v>
      </c>
      <c r="E1216" s="445">
        <v>8000</v>
      </c>
      <c r="F1216" s="440">
        <v>1001010016</v>
      </c>
      <c r="G1216" s="440" t="s">
        <v>632</v>
      </c>
    </row>
    <row r="1217" spans="1:7">
      <c r="A1217" s="440">
        <v>4700659407</v>
      </c>
      <c r="B1217" s="440">
        <v>6100073523</v>
      </c>
      <c r="C1217" s="440" t="s">
        <v>631</v>
      </c>
      <c r="D1217" s="444">
        <v>44491</v>
      </c>
      <c r="E1217" s="445">
        <v>10965</v>
      </c>
      <c r="F1217" s="440">
        <v>1001010016</v>
      </c>
      <c r="G1217" s="440" t="s">
        <v>632</v>
      </c>
    </row>
    <row r="1218" spans="1:7">
      <c r="A1218" s="440">
        <v>4700659407</v>
      </c>
      <c r="B1218" s="440">
        <v>6100073523</v>
      </c>
      <c r="C1218" s="440" t="s">
        <v>631</v>
      </c>
      <c r="D1218" s="444">
        <v>44491</v>
      </c>
      <c r="E1218" s="445">
        <v>25716</v>
      </c>
      <c r="F1218" s="440">
        <v>1001010016</v>
      </c>
      <c r="G1218" s="440" t="s">
        <v>632</v>
      </c>
    </row>
    <row r="1219" spans="1:7">
      <c r="A1219" s="440">
        <v>4700528665</v>
      </c>
      <c r="B1219" s="440">
        <v>6100008153</v>
      </c>
      <c r="C1219" s="440" t="s">
        <v>631</v>
      </c>
      <c r="D1219" s="444">
        <v>44216</v>
      </c>
      <c r="E1219" s="445">
        <v>40119</v>
      </c>
      <c r="F1219" s="440">
        <v>1002020002</v>
      </c>
      <c r="G1219" s="440" t="s">
        <v>632</v>
      </c>
    </row>
    <row r="1220" spans="1:7">
      <c r="A1220" s="440">
        <v>4700540184</v>
      </c>
      <c r="B1220" s="440">
        <v>6100016116</v>
      </c>
      <c r="C1220" s="440" t="s">
        <v>631</v>
      </c>
      <c r="D1220" s="444">
        <v>44238</v>
      </c>
      <c r="E1220" s="445">
        <v>49359</v>
      </c>
      <c r="F1220" s="440">
        <v>1002020002</v>
      </c>
      <c r="G1220" s="440" t="s">
        <v>632</v>
      </c>
    </row>
    <row r="1221" spans="1:7">
      <c r="A1221" s="440">
        <v>4700554694</v>
      </c>
      <c r="B1221" s="440">
        <v>6100023966</v>
      </c>
      <c r="C1221" s="440" t="s">
        <v>631</v>
      </c>
      <c r="D1221" s="444">
        <v>44264</v>
      </c>
      <c r="E1221" s="445">
        <v>63299</v>
      </c>
      <c r="F1221" s="440">
        <v>1002020002</v>
      </c>
      <c r="G1221" s="440" t="s">
        <v>632</v>
      </c>
    </row>
    <row r="1222" spans="1:7">
      <c r="A1222" s="440">
        <v>4700569713</v>
      </c>
      <c r="B1222" s="440">
        <v>6100031361</v>
      </c>
      <c r="C1222" s="440" t="s">
        <v>631</v>
      </c>
      <c r="D1222" s="444">
        <v>44299</v>
      </c>
      <c r="E1222" s="445">
        <v>21855</v>
      </c>
      <c r="F1222" s="440">
        <v>1002020002</v>
      </c>
      <c r="G1222" s="440" t="s">
        <v>632</v>
      </c>
    </row>
    <row r="1223" spans="1:7">
      <c r="A1223" s="440">
        <v>4700580139</v>
      </c>
      <c r="B1223" s="440">
        <v>6100036219</v>
      </c>
      <c r="C1223" s="440" t="s">
        <v>631</v>
      </c>
      <c r="D1223" s="444">
        <v>44322</v>
      </c>
      <c r="E1223" s="445">
        <v>28815</v>
      </c>
      <c r="F1223" s="440">
        <v>1002020002</v>
      </c>
      <c r="G1223" s="440" t="s">
        <v>632</v>
      </c>
    </row>
    <row r="1224" spans="1:7">
      <c r="A1224" s="440">
        <v>4700593904</v>
      </c>
      <c r="B1224" s="440">
        <v>6100043282</v>
      </c>
      <c r="C1224" s="440" t="s">
        <v>631</v>
      </c>
      <c r="D1224" s="444">
        <v>44360</v>
      </c>
      <c r="E1224" s="445">
        <v>40842</v>
      </c>
      <c r="F1224" s="440">
        <v>1002020002</v>
      </c>
      <c r="G1224" s="440" t="s">
        <v>632</v>
      </c>
    </row>
    <row r="1225" spans="1:7">
      <c r="A1225" s="440">
        <v>4700607069</v>
      </c>
      <c r="B1225" s="440">
        <v>6100047299</v>
      </c>
      <c r="C1225" s="440" t="s">
        <v>631</v>
      </c>
      <c r="D1225" s="444">
        <v>44385</v>
      </c>
      <c r="E1225" s="445">
        <v>38041</v>
      </c>
      <c r="F1225" s="440">
        <v>1002020002</v>
      </c>
      <c r="G1225" s="440" t="s">
        <v>632</v>
      </c>
    </row>
    <row r="1226" spans="1:7">
      <c r="A1226" s="440">
        <v>4700624624</v>
      </c>
      <c r="B1226" s="440">
        <v>6100054831</v>
      </c>
      <c r="C1226" s="440" t="s">
        <v>631</v>
      </c>
      <c r="D1226" s="444">
        <v>44426</v>
      </c>
      <c r="E1226" s="445">
        <v>30141</v>
      </c>
      <c r="F1226" s="440">
        <v>1002020002</v>
      </c>
      <c r="G1226" s="440" t="s">
        <v>632</v>
      </c>
    </row>
    <row r="1227" spans="1:7">
      <c r="A1227" s="440">
        <v>4700624624</v>
      </c>
      <c r="B1227" s="440">
        <v>6100054831</v>
      </c>
      <c r="C1227" s="440" t="s">
        <v>631</v>
      </c>
      <c r="D1227" s="444">
        <v>44426</v>
      </c>
      <c r="E1227" s="445">
        <v>31502</v>
      </c>
      <c r="F1227" s="440">
        <v>1002020002</v>
      </c>
      <c r="G1227" s="440" t="s">
        <v>632</v>
      </c>
    </row>
    <row r="1228" spans="1:7">
      <c r="A1228" s="440">
        <v>4700640990</v>
      </c>
      <c r="B1228" s="440">
        <v>6100061450</v>
      </c>
      <c r="C1228" s="440" t="s">
        <v>631</v>
      </c>
      <c r="D1228" s="444">
        <v>44453</v>
      </c>
      <c r="E1228" s="445">
        <v>30082</v>
      </c>
      <c r="F1228" s="440">
        <v>1002020002</v>
      </c>
      <c r="G1228" s="440" t="s">
        <v>632</v>
      </c>
    </row>
    <row r="1229" spans="1:7">
      <c r="A1229" s="440">
        <v>4700653244</v>
      </c>
      <c r="B1229" s="440">
        <v>6100068441</v>
      </c>
      <c r="C1229" s="440" t="s">
        <v>631</v>
      </c>
      <c r="D1229" s="444">
        <v>44476</v>
      </c>
      <c r="E1229" s="445">
        <v>48293</v>
      </c>
      <c r="F1229" s="440">
        <v>1002020002</v>
      </c>
      <c r="G1229" s="440" t="s">
        <v>632</v>
      </c>
    </row>
    <row r="1230" spans="1:7">
      <c r="A1230" s="440">
        <v>4700672637</v>
      </c>
      <c r="B1230" s="440">
        <v>6100086329</v>
      </c>
      <c r="C1230" s="440" t="s">
        <v>631</v>
      </c>
      <c r="D1230" s="444">
        <v>44523</v>
      </c>
      <c r="E1230" s="445">
        <v>48589</v>
      </c>
      <c r="F1230" s="440">
        <v>1002020002</v>
      </c>
      <c r="G1230" s="440" t="s">
        <v>632</v>
      </c>
    </row>
    <row r="1231" spans="1:7">
      <c r="A1231" s="440">
        <v>4700689237</v>
      </c>
      <c r="B1231" s="440">
        <v>6100097828</v>
      </c>
      <c r="C1231" s="440" t="s">
        <v>631</v>
      </c>
      <c r="D1231" s="444">
        <v>44554</v>
      </c>
      <c r="E1231" s="445">
        <v>5930</v>
      </c>
      <c r="F1231" s="440">
        <v>1002020002</v>
      </c>
      <c r="G1231" s="440" t="s">
        <v>632</v>
      </c>
    </row>
    <row r="1232" spans="1:7">
      <c r="A1232" s="440">
        <v>4700689237</v>
      </c>
      <c r="B1232" s="440">
        <v>6100097828</v>
      </c>
      <c r="C1232" s="440" t="s">
        <v>631</v>
      </c>
      <c r="D1232" s="444">
        <v>44554</v>
      </c>
      <c r="E1232" s="445">
        <v>39116</v>
      </c>
      <c r="F1232" s="440">
        <v>1002020002</v>
      </c>
      <c r="G1232" s="440" t="s">
        <v>632</v>
      </c>
    </row>
    <row r="1233" spans="1:7">
      <c r="A1233" s="440">
        <v>4700459333</v>
      </c>
      <c r="B1233" s="440">
        <v>6100074141</v>
      </c>
      <c r="C1233" s="440" t="s">
        <v>631</v>
      </c>
      <c r="D1233" s="444">
        <v>44067</v>
      </c>
      <c r="E1233" s="445">
        <v>17800</v>
      </c>
      <c r="F1233" s="440">
        <v>1002020003</v>
      </c>
      <c r="G1233" s="440" t="s">
        <v>632</v>
      </c>
    </row>
    <row r="1234" spans="1:7">
      <c r="A1234" s="440">
        <v>4700459333</v>
      </c>
      <c r="B1234" s="440">
        <v>6100074141</v>
      </c>
      <c r="C1234" s="440" t="s">
        <v>631</v>
      </c>
      <c r="D1234" s="444">
        <v>44067</v>
      </c>
      <c r="E1234" s="445">
        <v>23600</v>
      </c>
      <c r="F1234" s="440">
        <v>1002020003</v>
      </c>
      <c r="G1234" s="440" t="s">
        <v>632</v>
      </c>
    </row>
    <row r="1235" spans="1:7">
      <c r="A1235" s="440">
        <v>4700459333</v>
      </c>
      <c r="B1235" s="440">
        <v>6100074141</v>
      </c>
      <c r="C1235" s="440" t="s">
        <v>631</v>
      </c>
      <c r="D1235" s="444">
        <v>44067</v>
      </c>
      <c r="E1235" s="445">
        <v>32100</v>
      </c>
      <c r="F1235" s="440">
        <v>1002020003</v>
      </c>
      <c r="G1235" s="440" t="s">
        <v>632</v>
      </c>
    </row>
    <row r="1236" spans="1:7">
      <c r="A1236" s="440">
        <v>4700459333</v>
      </c>
      <c r="B1236" s="440">
        <v>6100074141</v>
      </c>
      <c r="C1236" s="440" t="s">
        <v>631</v>
      </c>
      <c r="D1236" s="444">
        <v>44067</v>
      </c>
      <c r="E1236" s="445">
        <v>6400</v>
      </c>
      <c r="F1236" s="440">
        <v>1002020003</v>
      </c>
      <c r="G1236" s="440" t="s">
        <v>632</v>
      </c>
    </row>
    <row r="1237" spans="1:7">
      <c r="A1237" s="440">
        <v>4700459333</v>
      </c>
      <c r="B1237" s="440">
        <v>6100074141</v>
      </c>
      <c r="C1237" s="440" t="s">
        <v>631</v>
      </c>
      <c r="D1237" s="444">
        <v>44067</v>
      </c>
      <c r="E1237" s="445">
        <v>11000</v>
      </c>
      <c r="F1237" s="440">
        <v>1002020003</v>
      </c>
      <c r="G1237" s="440" t="s">
        <v>632</v>
      </c>
    </row>
    <row r="1238" spans="1:7">
      <c r="A1238" s="440">
        <v>4700459333</v>
      </c>
      <c r="B1238" s="440">
        <v>6100074141</v>
      </c>
      <c r="C1238" s="440" t="s">
        <v>631</v>
      </c>
      <c r="D1238" s="444">
        <v>44067</v>
      </c>
      <c r="E1238" s="445">
        <v>8319</v>
      </c>
      <c r="F1238" s="440">
        <v>1002020003</v>
      </c>
      <c r="G1238" s="440" t="s">
        <v>632</v>
      </c>
    </row>
    <row r="1239" spans="1:7">
      <c r="A1239" s="440">
        <v>4700459333</v>
      </c>
      <c r="B1239" s="440">
        <v>6100074141</v>
      </c>
      <c r="C1239" s="440" t="s">
        <v>631</v>
      </c>
      <c r="D1239" s="444">
        <v>44067</v>
      </c>
      <c r="E1239" s="445">
        <v>10588</v>
      </c>
      <c r="F1239" s="440">
        <v>1002020003</v>
      </c>
      <c r="G1239" s="440" t="s">
        <v>632</v>
      </c>
    </row>
    <row r="1240" spans="1:7">
      <c r="A1240" s="440">
        <v>4700459333</v>
      </c>
      <c r="B1240" s="440">
        <v>6100074141</v>
      </c>
      <c r="C1240" s="440" t="s">
        <v>631</v>
      </c>
      <c r="D1240" s="444">
        <v>44067</v>
      </c>
      <c r="E1240" s="445">
        <v>6400</v>
      </c>
      <c r="F1240" s="440">
        <v>1002020003</v>
      </c>
      <c r="G1240" s="440" t="s">
        <v>632</v>
      </c>
    </row>
    <row r="1241" spans="1:7">
      <c r="A1241" s="440">
        <v>4700459333</v>
      </c>
      <c r="B1241" s="440">
        <v>6100074141</v>
      </c>
      <c r="C1241" s="440" t="s">
        <v>631</v>
      </c>
      <c r="D1241" s="444">
        <v>44067</v>
      </c>
      <c r="E1241" s="445">
        <v>9412</v>
      </c>
      <c r="F1241" s="440">
        <v>1002020003</v>
      </c>
      <c r="G1241" s="440" t="s">
        <v>632</v>
      </c>
    </row>
    <row r="1242" spans="1:7">
      <c r="A1242" s="440">
        <v>4700459333</v>
      </c>
      <c r="B1242" s="440">
        <v>6100074141</v>
      </c>
      <c r="C1242" s="440" t="s">
        <v>631</v>
      </c>
      <c r="D1242" s="444">
        <v>44067</v>
      </c>
      <c r="E1242" s="445">
        <v>8025</v>
      </c>
      <c r="F1242" s="440">
        <v>1002020003</v>
      </c>
      <c r="G1242" s="440" t="s">
        <v>632</v>
      </c>
    </row>
    <row r="1243" spans="1:7">
      <c r="A1243" s="440">
        <v>4700459333</v>
      </c>
      <c r="B1243" s="440">
        <v>6100074141</v>
      </c>
      <c r="C1243" s="440" t="s">
        <v>631</v>
      </c>
      <c r="D1243" s="444">
        <v>44067</v>
      </c>
      <c r="E1243" s="445">
        <v>5100</v>
      </c>
      <c r="F1243" s="440">
        <v>1002020003</v>
      </c>
      <c r="G1243" s="440" t="s">
        <v>632</v>
      </c>
    </row>
    <row r="1244" spans="1:7">
      <c r="A1244" s="440">
        <v>4700459333</v>
      </c>
      <c r="B1244" s="440">
        <v>6100074141</v>
      </c>
      <c r="C1244" s="440" t="s">
        <v>631</v>
      </c>
      <c r="D1244" s="444">
        <v>44067</v>
      </c>
      <c r="E1244" s="445">
        <v>20421</v>
      </c>
      <c r="F1244" s="440">
        <v>1002020003</v>
      </c>
      <c r="G1244" s="440" t="s">
        <v>632</v>
      </c>
    </row>
    <row r="1245" spans="1:7">
      <c r="A1245" s="440">
        <v>4700459333</v>
      </c>
      <c r="B1245" s="440">
        <v>6100074141</v>
      </c>
      <c r="C1245" s="440" t="s">
        <v>631</v>
      </c>
      <c r="D1245" s="444">
        <v>44067</v>
      </c>
      <c r="E1245" s="445">
        <v>30670</v>
      </c>
      <c r="F1245" s="440">
        <v>1002020003</v>
      </c>
      <c r="G1245" s="440" t="s">
        <v>632</v>
      </c>
    </row>
    <row r="1246" spans="1:7">
      <c r="A1246" s="440">
        <v>4700459333</v>
      </c>
      <c r="B1246" s="440">
        <v>6100074141</v>
      </c>
      <c r="C1246" s="440" t="s">
        <v>631</v>
      </c>
      <c r="D1246" s="444">
        <v>44067</v>
      </c>
      <c r="E1246" s="445">
        <v>35632</v>
      </c>
      <c r="F1246" s="440">
        <v>1002020003</v>
      </c>
      <c r="G1246" s="440" t="s">
        <v>632</v>
      </c>
    </row>
    <row r="1247" spans="1:7">
      <c r="A1247" s="440">
        <v>4700459333</v>
      </c>
      <c r="B1247" s="440">
        <v>6100074141</v>
      </c>
      <c r="C1247" s="440" t="s">
        <v>631</v>
      </c>
      <c r="D1247" s="444">
        <v>44067</v>
      </c>
      <c r="E1247" s="445">
        <v>13865</v>
      </c>
      <c r="F1247" s="440">
        <v>1002020003</v>
      </c>
      <c r="G1247" s="440" t="s">
        <v>632</v>
      </c>
    </row>
    <row r="1248" spans="1:7">
      <c r="A1248" s="440">
        <v>4700459333</v>
      </c>
      <c r="B1248" s="440">
        <v>6100074141</v>
      </c>
      <c r="C1248" s="440" t="s">
        <v>631</v>
      </c>
      <c r="D1248" s="444">
        <v>44067</v>
      </c>
      <c r="E1248" s="445">
        <v>5126</v>
      </c>
      <c r="F1248" s="440">
        <v>1002020003</v>
      </c>
      <c r="G1248" s="440" t="s">
        <v>632</v>
      </c>
    </row>
    <row r="1249" spans="1:7">
      <c r="A1249" s="440">
        <v>4700459333</v>
      </c>
      <c r="B1249" s="440">
        <v>6100074141</v>
      </c>
      <c r="C1249" s="440" t="s">
        <v>631</v>
      </c>
      <c r="D1249" s="444">
        <v>44067</v>
      </c>
      <c r="E1249" s="445">
        <v>24075</v>
      </c>
      <c r="F1249" s="440">
        <v>1002020003</v>
      </c>
      <c r="G1249" s="440" t="s">
        <v>632</v>
      </c>
    </row>
    <row r="1250" spans="1:7">
      <c r="A1250" s="440">
        <v>4700459333</v>
      </c>
      <c r="B1250" s="440">
        <v>6100074141</v>
      </c>
      <c r="C1250" s="440" t="s">
        <v>631</v>
      </c>
      <c r="D1250" s="444">
        <v>44067</v>
      </c>
      <c r="E1250" s="445">
        <v>268500</v>
      </c>
      <c r="F1250" s="440">
        <v>1002020003</v>
      </c>
      <c r="G1250" s="440" t="s">
        <v>632</v>
      </c>
    </row>
    <row r="1251" spans="1:7">
      <c r="A1251" s="440">
        <v>4700459333</v>
      </c>
      <c r="B1251" s="440">
        <v>6100074141</v>
      </c>
      <c r="C1251" s="440" t="s">
        <v>631</v>
      </c>
      <c r="D1251" s="444">
        <v>44067</v>
      </c>
      <c r="E1251" s="445">
        <v>11400</v>
      </c>
      <c r="F1251" s="440">
        <v>1002020003</v>
      </c>
      <c r="G1251" s="440" t="s">
        <v>632</v>
      </c>
    </row>
    <row r="1252" spans="1:7">
      <c r="A1252" s="440">
        <v>4700459333</v>
      </c>
      <c r="B1252" s="440">
        <v>6100074141</v>
      </c>
      <c r="C1252" s="440" t="s">
        <v>631</v>
      </c>
      <c r="D1252" s="444">
        <v>44067</v>
      </c>
      <c r="E1252" s="445">
        <v>189576</v>
      </c>
      <c r="F1252" s="440">
        <v>1002020003</v>
      </c>
      <c r="G1252" s="440" t="s">
        <v>632</v>
      </c>
    </row>
    <row r="1253" spans="1:7">
      <c r="A1253" s="440">
        <v>4700510865</v>
      </c>
      <c r="B1253" s="440">
        <v>6100132022</v>
      </c>
      <c r="C1253" s="440" t="s">
        <v>631</v>
      </c>
      <c r="D1253" s="444">
        <v>44174</v>
      </c>
      <c r="E1253" s="445">
        <v>20000</v>
      </c>
      <c r="F1253" s="440">
        <v>1002020003</v>
      </c>
      <c r="G1253" s="440" t="s">
        <v>632</v>
      </c>
    </row>
    <row r="1254" spans="1:7">
      <c r="A1254" s="440">
        <v>4700510865</v>
      </c>
      <c r="B1254" s="440">
        <v>6100132022</v>
      </c>
      <c r="C1254" s="440" t="s">
        <v>631</v>
      </c>
      <c r="D1254" s="444">
        <v>44174</v>
      </c>
      <c r="E1254" s="445">
        <v>222300</v>
      </c>
      <c r="F1254" s="440">
        <v>1002020003</v>
      </c>
      <c r="G1254" s="440" t="s">
        <v>632</v>
      </c>
    </row>
    <row r="1255" spans="1:7">
      <c r="A1255" s="440">
        <v>4700510865</v>
      </c>
      <c r="B1255" s="440">
        <v>6100132022</v>
      </c>
      <c r="C1255" s="440" t="s">
        <v>631</v>
      </c>
      <c r="D1255" s="444">
        <v>44174</v>
      </c>
      <c r="E1255" s="445">
        <v>22690</v>
      </c>
      <c r="F1255" s="440">
        <v>1002020003</v>
      </c>
      <c r="G1255" s="440" t="s">
        <v>632</v>
      </c>
    </row>
    <row r="1256" spans="1:7">
      <c r="A1256" s="440">
        <v>4700510865</v>
      </c>
      <c r="B1256" s="440">
        <v>6100132022</v>
      </c>
      <c r="C1256" s="440" t="s">
        <v>631</v>
      </c>
      <c r="D1256" s="444">
        <v>44174</v>
      </c>
      <c r="E1256" s="445">
        <v>7941</v>
      </c>
      <c r="F1256" s="440">
        <v>1002020003</v>
      </c>
      <c r="G1256" s="440" t="s">
        <v>632</v>
      </c>
    </row>
    <row r="1257" spans="1:7">
      <c r="A1257" s="440">
        <v>4700510865</v>
      </c>
      <c r="B1257" s="440">
        <v>6100132022</v>
      </c>
      <c r="C1257" s="440" t="s">
        <v>631</v>
      </c>
      <c r="D1257" s="444">
        <v>44174</v>
      </c>
      <c r="E1257" s="445">
        <v>22572</v>
      </c>
      <c r="F1257" s="440">
        <v>1002020003</v>
      </c>
      <c r="G1257" s="440" t="s">
        <v>632</v>
      </c>
    </row>
    <row r="1258" spans="1:7">
      <c r="A1258" s="440">
        <v>4700510865</v>
      </c>
      <c r="B1258" s="440">
        <v>6100132022</v>
      </c>
      <c r="C1258" s="440" t="s">
        <v>631</v>
      </c>
      <c r="D1258" s="444">
        <v>44174</v>
      </c>
      <c r="E1258" s="445">
        <v>6048</v>
      </c>
      <c r="F1258" s="440">
        <v>1002020003</v>
      </c>
      <c r="G1258" s="440" t="s">
        <v>632</v>
      </c>
    </row>
    <row r="1259" spans="1:7">
      <c r="A1259" s="440">
        <v>4700510865</v>
      </c>
      <c r="B1259" s="440">
        <v>6100132022</v>
      </c>
      <c r="C1259" s="440" t="s">
        <v>631</v>
      </c>
      <c r="D1259" s="444">
        <v>44174</v>
      </c>
      <c r="E1259" s="445">
        <v>25428</v>
      </c>
      <c r="F1259" s="440">
        <v>1002020003</v>
      </c>
      <c r="G1259" s="440" t="s">
        <v>632</v>
      </c>
    </row>
    <row r="1260" spans="1:7">
      <c r="A1260" s="440">
        <v>4700510865</v>
      </c>
      <c r="B1260" s="440">
        <v>6100132022</v>
      </c>
      <c r="C1260" s="440" t="s">
        <v>631</v>
      </c>
      <c r="D1260" s="444">
        <v>44174</v>
      </c>
      <c r="E1260" s="445">
        <v>28572</v>
      </c>
      <c r="F1260" s="440">
        <v>1002020003</v>
      </c>
      <c r="G1260" s="440" t="s">
        <v>632</v>
      </c>
    </row>
    <row r="1261" spans="1:7">
      <c r="A1261" s="440">
        <v>4700510865</v>
      </c>
      <c r="B1261" s="440">
        <v>6100132022</v>
      </c>
      <c r="C1261" s="440" t="s">
        <v>631</v>
      </c>
      <c r="D1261" s="444">
        <v>44174</v>
      </c>
      <c r="E1261" s="445">
        <v>207000</v>
      </c>
      <c r="F1261" s="440">
        <v>1002020003</v>
      </c>
      <c r="G1261" s="440" t="s">
        <v>632</v>
      </c>
    </row>
    <row r="1262" spans="1:7">
      <c r="A1262" s="440">
        <v>4700510865</v>
      </c>
      <c r="B1262" s="440">
        <v>6100132022</v>
      </c>
      <c r="C1262" s="440" t="s">
        <v>631</v>
      </c>
      <c r="D1262" s="444">
        <v>44174</v>
      </c>
      <c r="E1262" s="445">
        <v>6933</v>
      </c>
      <c r="F1262" s="440">
        <v>1002020003</v>
      </c>
      <c r="G1262" s="440" t="s">
        <v>632</v>
      </c>
    </row>
    <row r="1263" spans="1:7">
      <c r="A1263" s="440">
        <v>4700510865</v>
      </c>
      <c r="B1263" s="440">
        <v>6100132022</v>
      </c>
      <c r="C1263" s="440" t="s">
        <v>631</v>
      </c>
      <c r="D1263" s="444">
        <v>44174</v>
      </c>
      <c r="E1263" s="445">
        <v>1555</v>
      </c>
      <c r="F1263" s="440">
        <v>1002020003</v>
      </c>
      <c r="G1263" s="440" t="s">
        <v>632</v>
      </c>
    </row>
    <row r="1264" spans="1:7">
      <c r="A1264" s="440">
        <v>4700510865</v>
      </c>
      <c r="B1264" s="440">
        <v>6100132022</v>
      </c>
      <c r="C1264" s="440" t="s">
        <v>631</v>
      </c>
      <c r="D1264" s="444">
        <v>44174</v>
      </c>
      <c r="E1264" s="445">
        <v>3278</v>
      </c>
      <c r="F1264" s="440">
        <v>1002020003</v>
      </c>
      <c r="G1264" s="440" t="s">
        <v>632</v>
      </c>
    </row>
    <row r="1265" spans="1:7">
      <c r="A1265" s="440">
        <v>4700528665</v>
      </c>
      <c r="B1265" s="440">
        <v>6100008153</v>
      </c>
      <c r="C1265" s="440" t="s">
        <v>631</v>
      </c>
      <c r="D1265" s="444">
        <v>44216</v>
      </c>
      <c r="E1265" s="445">
        <v>40120</v>
      </c>
      <c r="F1265" s="440">
        <v>1002020003</v>
      </c>
      <c r="G1265" s="440" t="s">
        <v>632</v>
      </c>
    </row>
    <row r="1266" spans="1:7">
      <c r="A1266" s="440">
        <v>4700540184</v>
      </c>
      <c r="B1266" s="440">
        <v>6100016116</v>
      </c>
      <c r="C1266" s="440" t="s">
        <v>631</v>
      </c>
      <c r="D1266" s="444">
        <v>44238</v>
      </c>
      <c r="E1266" s="445">
        <v>15349</v>
      </c>
      <c r="F1266" s="440">
        <v>1002020003</v>
      </c>
      <c r="G1266" s="440" t="s">
        <v>632</v>
      </c>
    </row>
    <row r="1267" spans="1:7">
      <c r="A1267" s="440">
        <v>4700540184</v>
      </c>
      <c r="B1267" s="440">
        <v>6100016116</v>
      </c>
      <c r="C1267" s="440" t="s">
        <v>631</v>
      </c>
      <c r="D1267" s="444">
        <v>44238</v>
      </c>
      <c r="E1267" s="445">
        <v>34014</v>
      </c>
      <c r="F1267" s="440">
        <v>1002020003</v>
      </c>
      <c r="G1267" s="440" t="s">
        <v>632</v>
      </c>
    </row>
    <row r="1268" spans="1:7">
      <c r="A1268" s="440">
        <v>4700554694</v>
      </c>
      <c r="B1268" s="440">
        <v>6100023966</v>
      </c>
      <c r="C1268" s="440" t="s">
        <v>631</v>
      </c>
      <c r="D1268" s="444">
        <v>44264</v>
      </c>
      <c r="E1268" s="445">
        <v>63299</v>
      </c>
      <c r="F1268" s="440">
        <v>1002020003</v>
      </c>
      <c r="G1268" s="440" t="s">
        <v>632</v>
      </c>
    </row>
    <row r="1269" spans="1:7">
      <c r="A1269" s="440">
        <v>4700569713</v>
      </c>
      <c r="B1269" s="440">
        <v>6100031361</v>
      </c>
      <c r="C1269" s="440" t="s">
        <v>631</v>
      </c>
      <c r="D1269" s="444">
        <v>44299</v>
      </c>
      <c r="E1269" s="445">
        <v>4776</v>
      </c>
      <c r="F1269" s="440">
        <v>1002020003</v>
      </c>
      <c r="G1269" s="440" t="s">
        <v>632</v>
      </c>
    </row>
    <row r="1270" spans="1:7">
      <c r="A1270" s="440">
        <v>4700569713</v>
      </c>
      <c r="B1270" s="440">
        <v>6100031361</v>
      </c>
      <c r="C1270" s="440" t="s">
        <v>631</v>
      </c>
      <c r="D1270" s="444">
        <v>44299</v>
      </c>
      <c r="E1270" s="445">
        <v>17080</v>
      </c>
      <c r="F1270" s="440">
        <v>1002020003</v>
      </c>
      <c r="G1270" s="440" t="s">
        <v>632</v>
      </c>
    </row>
    <row r="1271" spans="1:7">
      <c r="A1271" s="440">
        <v>4700580139</v>
      </c>
      <c r="B1271" s="440">
        <v>6100036219</v>
      </c>
      <c r="C1271" s="440" t="s">
        <v>631</v>
      </c>
      <c r="D1271" s="444">
        <v>44322</v>
      </c>
      <c r="E1271" s="445">
        <v>3270</v>
      </c>
      <c r="F1271" s="440">
        <v>1002020003</v>
      </c>
      <c r="G1271" s="440" t="s">
        <v>632</v>
      </c>
    </row>
    <row r="1272" spans="1:7">
      <c r="A1272" s="440">
        <v>4700580139</v>
      </c>
      <c r="B1272" s="440">
        <v>6100036219</v>
      </c>
      <c r="C1272" s="440" t="s">
        <v>631</v>
      </c>
      <c r="D1272" s="444">
        <v>44322</v>
      </c>
      <c r="E1272" s="445">
        <v>25545</v>
      </c>
      <c r="F1272" s="440">
        <v>1002020003</v>
      </c>
      <c r="G1272" s="440" t="s">
        <v>632</v>
      </c>
    </row>
    <row r="1273" spans="1:7">
      <c r="A1273" s="440">
        <v>4700593904</v>
      </c>
      <c r="B1273" s="440">
        <v>6100043282</v>
      </c>
      <c r="C1273" s="440" t="s">
        <v>631</v>
      </c>
      <c r="D1273" s="444">
        <v>44360</v>
      </c>
      <c r="E1273" s="445">
        <v>40842</v>
      </c>
      <c r="F1273" s="440">
        <v>1002020003</v>
      </c>
      <c r="G1273" s="440" t="s">
        <v>632</v>
      </c>
    </row>
    <row r="1274" spans="1:7">
      <c r="A1274" s="440">
        <v>4700607069</v>
      </c>
      <c r="B1274" s="440">
        <v>6100047299</v>
      </c>
      <c r="C1274" s="440" t="s">
        <v>631</v>
      </c>
      <c r="D1274" s="444">
        <v>44385</v>
      </c>
      <c r="E1274" s="445">
        <v>38041</v>
      </c>
      <c r="F1274" s="440">
        <v>1002020003</v>
      </c>
      <c r="G1274" s="440" t="s">
        <v>632</v>
      </c>
    </row>
    <row r="1275" spans="1:7">
      <c r="A1275" s="440">
        <v>4700624624</v>
      </c>
      <c r="B1275" s="440">
        <v>6100054831</v>
      </c>
      <c r="C1275" s="440" t="s">
        <v>631</v>
      </c>
      <c r="D1275" s="444">
        <v>44426</v>
      </c>
      <c r="E1275" s="445">
        <v>61637</v>
      </c>
      <c r="F1275" s="440">
        <v>1002020003</v>
      </c>
      <c r="G1275" s="440" t="s">
        <v>632</v>
      </c>
    </row>
    <row r="1276" spans="1:7">
      <c r="A1276" s="440">
        <v>4700640990</v>
      </c>
      <c r="B1276" s="440">
        <v>6100061450</v>
      </c>
      <c r="C1276" s="440" t="s">
        <v>631</v>
      </c>
      <c r="D1276" s="444">
        <v>44453</v>
      </c>
      <c r="E1276" s="445">
        <v>30082</v>
      </c>
      <c r="F1276" s="440">
        <v>1002020003</v>
      </c>
      <c r="G1276" s="440" t="s">
        <v>632</v>
      </c>
    </row>
    <row r="1277" spans="1:7">
      <c r="A1277" s="440">
        <v>4700653244</v>
      </c>
      <c r="B1277" s="440">
        <v>6100068441</v>
      </c>
      <c r="C1277" s="440" t="s">
        <v>631</v>
      </c>
      <c r="D1277" s="444">
        <v>44476</v>
      </c>
      <c r="E1277" s="445">
        <v>18722</v>
      </c>
      <c r="F1277" s="440">
        <v>1002020003</v>
      </c>
      <c r="G1277" s="440" t="s">
        <v>632</v>
      </c>
    </row>
    <row r="1278" spans="1:7">
      <c r="A1278" s="440">
        <v>4700653244</v>
      </c>
      <c r="B1278" s="440">
        <v>6100068441</v>
      </c>
      <c r="C1278" s="440" t="s">
        <v>631</v>
      </c>
      <c r="D1278" s="444">
        <v>44476</v>
      </c>
      <c r="E1278" s="445">
        <v>29571</v>
      </c>
      <c r="F1278" s="440">
        <v>1002020003</v>
      </c>
      <c r="G1278" s="440" t="s">
        <v>632</v>
      </c>
    </row>
    <row r="1279" spans="1:7">
      <c r="A1279" s="440">
        <v>4700672637</v>
      </c>
      <c r="B1279" s="440">
        <v>6100086329</v>
      </c>
      <c r="C1279" s="440" t="s">
        <v>631</v>
      </c>
      <c r="D1279" s="444">
        <v>44523</v>
      </c>
      <c r="E1279" s="445">
        <v>48589</v>
      </c>
      <c r="F1279" s="440">
        <v>1002020003</v>
      </c>
      <c r="G1279" s="440" t="s">
        <v>632</v>
      </c>
    </row>
    <row r="1280" spans="1:7">
      <c r="A1280" s="440">
        <v>4700689237</v>
      </c>
      <c r="B1280" s="440">
        <v>6100097828</v>
      </c>
      <c r="C1280" s="440" t="s">
        <v>631</v>
      </c>
      <c r="D1280" s="444">
        <v>44554</v>
      </c>
      <c r="E1280" s="445">
        <v>45046</v>
      </c>
      <c r="F1280" s="440">
        <v>1002020003</v>
      </c>
      <c r="G1280" s="440" t="s">
        <v>632</v>
      </c>
    </row>
    <row r="1281" spans="1:7">
      <c r="A1281" s="440">
        <v>4700408773</v>
      </c>
      <c r="B1281" s="440">
        <v>6100023619</v>
      </c>
      <c r="C1281" s="440" t="s">
        <v>631</v>
      </c>
      <c r="D1281" s="444">
        <v>43903</v>
      </c>
      <c r="E1281" s="445">
        <v>8025</v>
      </c>
      <c r="F1281" s="440">
        <v>1002030099</v>
      </c>
      <c r="G1281" s="440" t="s">
        <v>632</v>
      </c>
    </row>
    <row r="1282" spans="1:7">
      <c r="A1282" s="440">
        <v>4700408773</v>
      </c>
      <c r="B1282" s="440">
        <v>6100023619</v>
      </c>
      <c r="C1282" s="440" t="s">
        <v>631</v>
      </c>
      <c r="D1282" s="444">
        <v>43903</v>
      </c>
      <c r="E1282" s="445">
        <v>157980</v>
      </c>
      <c r="F1282" s="440">
        <v>1002030099</v>
      </c>
      <c r="G1282" s="440" t="s">
        <v>632</v>
      </c>
    </row>
    <row r="1283" spans="1:7">
      <c r="A1283" s="440">
        <v>4700408773</v>
      </c>
      <c r="B1283" s="440">
        <v>6100023619</v>
      </c>
      <c r="C1283" s="440" t="s">
        <v>631</v>
      </c>
      <c r="D1283" s="444">
        <v>43903</v>
      </c>
      <c r="E1283" s="445">
        <v>358000</v>
      </c>
      <c r="F1283" s="440">
        <v>1002030099</v>
      </c>
      <c r="G1283" s="440" t="s">
        <v>632</v>
      </c>
    </row>
    <row r="1284" spans="1:7">
      <c r="A1284" s="440">
        <v>4700408773</v>
      </c>
      <c r="B1284" s="440">
        <v>6100023619</v>
      </c>
      <c r="C1284" s="440" t="s">
        <v>631</v>
      </c>
      <c r="D1284" s="444">
        <v>43903</v>
      </c>
      <c r="E1284" s="445">
        <v>8025</v>
      </c>
      <c r="F1284" s="440">
        <v>1002030099</v>
      </c>
      <c r="G1284" s="440" t="s">
        <v>632</v>
      </c>
    </row>
    <row r="1285" spans="1:7">
      <c r="A1285" s="440">
        <v>4700408773</v>
      </c>
      <c r="B1285" s="440">
        <v>6100023619</v>
      </c>
      <c r="C1285" s="440" t="s">
        <v>631</v>
      </c>
      <c r="D1285" s="444">
        <v>43903</v>
      </c>
      <c r="E1285" s="445">
        <v>7395</v>
      </c>
      <c r="F1285" s="440">
        <v>1002030099</v>
      </c>
      <c r="G1285" s="440" t="s">
        <v>632</v>
      </c>
    </row>
    <row r="1286" spans="1:7">
      <c r="A1286" s="440">
        <v>4700408773</v>
      </c>
      <c r="B1286" s="440">
        <v>6100023619</v>
      </c>
      <c r="C1286" s="440" t="s">
        <v>631</v>
      </c>
      <c r="D1286" s="444">
        <v>43903</v>
      </c>
      <c r="E1286" s="445">
        <v>14286</v>
      </c>
      <c r="F1286" s="440">
        <v>1002030099</v>
      </c>
      <c r="G1286" s="440" t="s">
        <v>632</v>
      </c>
    </row>
    <row r="1287" spans="1:7">
      <c r="A1287" s="440">
        <v>4700408773</v>
      </c>
      <c r="B1287" s="440">
        <v>6100023619</v>
      </c>
      <c r="C1287" s="440" t="s">
        <v>631</v>
      </c>
      <c r="D1287" s="444">
        <v>43903</v>
      </c>
      <c r="E1287" s="445">
        <v>15462</v>
      </c>
      <c r="F1287" s="440">
        <v>1002030099</v>
      </c>
      <c r="G1287" s="440" t="s">
        <v>632</v>
      </c>
    </row>
    <row r="1288" spans="1:7">
      <c r="A1288" s="440">
        <v>4700408773</v>
      </c>
      <c r="B1288" s="440">
        <v>6100023619</v>
      </c>
      <c r="C1288" s="440" t="s">
        <v>631</v>
      </c>
      <c r="D1288" s="444">
        <v>43903</v>
      </c>
      <c r="E1288" s="445">
        <v>50084</v>
      </c>
      <c r="F1288" s="440">
        <v>1002030099</v>
      </c>
      <c r="G1288" s="440" t="s">
        <v>632</v>
      </c>
    </row>
    <row r="1289" spans="1:7">
      <c r="A1289" s="440">
        <v>4700408773</v>
      </c>
      <c r="B1289" s="440">
        <v>6100023619</v>
      </c>
      <c r="C1289" s="440" t="s">
        <v>631</v>
      </c>
      <c r="D1289" s="444">
        <v>43903</v>
      </c>
      <c r="E1289" s="445">
        <v>46005</v>
      </c>
      <c r="F1289" s="440">
        <v>1002030099</v>
      </c>
      <c r="G1289" s="440" t="s">
        <v>632</v>
      </c>
    </row>
    <row r="1290" spans="1:7">
      <c r="A1290" s="440">
        <v>4700408773</v>
      </c>
      <c r="B1290" s="440">
        <v>6100023619</v>
      </c>
      <c r="C1290" s="440" t="s">
        <v>631</v>
      </c>
      <c r="D1290" s="444">
        <v>43903</v>
      </c>
      <c r="E1290" s="445">
        <v>13865</v>
      </c>
      <c r="F1290" s="440">
        <v>1002030099</v>
      </c>
      <c r="G1290" s="440" t="s">
        <v>632</v>
      </c>
    </row>
    <row r="1291" spans="1:7">
      <c r="A1291" s="440">
        <v>4700408773</v>
      </c>
      <c r="B1291" s="440">
        <v>6100023619</v>
      </c>
      <c r="C1291" s="440" t="s">
        <v>631</v>
      </c>
      <c r="D1291" s="444">
        <v>43903</v>
      </c>
      <c r="E1291" s="445">
        <v>26724</v>
      </c>
      <c r="F1291" s="440">
        <v>1002030099</v>
      </c>
      <c r="G1291" s="440" t="s">
        <v>632</v>
      </c>
    </row>
    <row r="1292" spans="1:7">
      <c r="A1292" s="440">
        <v>4700408773</v>
      </c>
      <c r="B1292" s="440">
        <v>6100023619</v>
      </c>
      <c r="C1292" s="440" t="s">
        <v>631</v>
      </c>
      <c r="D1292" s="444">
        <v>43903</v>
      </c>
      <c r="E1292" s="445">
        <v>31764</v>
      </c>
      <c r="F1292" s="440">
        <v>1002030099</v>
      </c>
      <c r="G1292" s="440" t="s">
        <v>632</v>
      </c>
    </row>
    <row r="1293" spans="1:7">
      <c r="A1293" s="440">
        <v>4700408773</v>
      </c>
      <c r="B1293" s="440">
        <v>6100023619</v>
      </c>
      <c r="C1293" s="440" t="s">
        <v>631</v>
      </c>
      <c r="D1293" s="444">
        <v>43903</v>
      </c>
      <c r="E1293" s="445">
        <v>3696</v>
      </c>
      <c r="F1293" s="440">
        <v>1002030099</v>
      </c>
      <c r="G1293" s="440" t="s">
        <v>632</v>
      </c>
    </row>
    <row r="1294" spans="1:7">
      <c r="A1294" s="440">
        <v>4700408773</v>
      </c>
      <c r="B1294" s="440">
        <v>6100023619</v>
      </c>
      <c r="C1294" s="440" t="s">
        <v>631</v>
      </c>
      <c r="D1294" s="444">
        <v>43903</v>
      </c>
      <c r="E1294" s="445">
        <v>18824</v>
      </c>
      <c r="F1294" s="440">
        <v>1002030099</v>
      </c>
      <c r="G1294" s="440" t="s">
        <v>632</v>
      </c>
    </row>
    <row r="1295" spans="1:7">
      <c r="A1295" s="440">
        <v>4700408773</v>
      </c>
      <c r="B1295" s="440">
        <v>6100023619</v>
      </c>
      <c r="C1295" s="440" t="s">
        <v>631</v>
      </c>
      <c r="D1295" s="444">
        <v>43903</v>
      </c>
      <c r="E1295" s="445">
        <v>3530</v>
      </c>
      <c r="F1295" s="440">
        <v>1002030099</v>
      </c>
      <c r="G1295" s="440" t="s">
        <v>632</v>
      </c>
    </row>
    <row r="1296" spans="1:7">
      <c r="A1296" s="440">
        <v>4700408773</v>
      </c>
      <c r="B1296" s="440">
        <v>6100023619</v>
      </c>
      <c r="C1296" s="440" t="s">
        <v>631</v>
      </c>
      <c r="D1296" s="444">
        <v>43903</v>
      </c>
      <c r="E1296" s="445">
        <v>5168</v>
      </c>
      <c r="F1296" s="440">
        <v>1002030099</v>
      </c>
      <c r="G1296" s="440" t="s">
        <v>632</v>
      </c>
    </row>
    <row r="1297" spans="1:7">
      <c r="A1297" s="440">
        <v>4700408773</v>
      </c>
      <c r="B1297" s="440">
        <v>6100023619</v>
      </c>
      <c r="C1297" s="440" t="s">
        <v>631</v>
      </c>
      <c r="D1297" s="444">
        <v>43903</v>
      </c>
      <c r="E1297" s="445">
        <v>3278</v>
      </c>
      <c r="F1297" s="440">
        <v>1002030099</v>
      </c>
      <c r="G1297" s="440" t="s">
        <v>632</v>
      </c>
    </row>
    <row r="1298" spans="1:7">
      <c r="A1298" s="440">
        <v>4700408773</v>
      </c>
      <c r="B1298" s="440">
        <v>6100023619</v>
      </c>
      <c r="C1298" s="440" t="s">
        <v>631</v>
      </c>
      <c r="D1298" s="444">
        <v>43903</v>
      </c>
      <c r="E1298" s="445">
        <v>8025</v>
      </c>
      <c r="F1298" s="440">
        <v>1002030099</v>
      </c>
      <c r="G1298" s="440" t="s">
        <v>632</v>
      </c>
    </row>
    <row r="1299" spans="1:7">
      <c r="A1299" s="440">
        <v>4700408773</v>
      </c>
      <c r="B1299" s="440">
        <v>6100023619</v>
      </c>
      <c r="C1299" s="440" t="s">
        <v>631</v>
      </c>
      <c r="D1299" s="444">
        <v>43903</v>
      </c>
      <c r="E1299" s="445">
        <v>8025</v>
      </c>
      <c r="F1299" s="440">
        <v>1002030099</v>
      </c>
      <c r="G1299" s="440" t="s">
        <v>632</v>
      </c>
    </row>
    <row r="1300" spans="1:7">
      <c r="A1300" s="440">
        <v>4700443758</v>
      </c>
      <c r="B1300" s="440">
        <v>6100063722</v>
      </c>
      <c r="C1300" s="440" t="s">
        <v>631</v>
      </c>
      <c r="D1300" s="444">
        <v>44025</v>
      </c>
      <c r="E1300" s="445">
        <v>23600</v>
      </c>
      <c r="F1300" s="440">
        <v>1002030099</v>
      </c>
      <c r="G1300" s="440" t="s">
        <v>632</v>
      </c>
    </row>
    <row r="1301" spans="1:7">
      <c r="A1301" s="440">
        <v>4700443758</v>
      </c>
      <c r="B1301" s="440">
        <v>6100063722</v>
      </c>
      <c r="C1301" s="440" t="s">
        <v>631</v>
      </c>
      <c r="D1301" s="444">
        <v>44025</v>
      </c>
      <c r="E1301" s="445">
        <v>19400</v>
      </c>
      <c r="F1301" s="440">
        <v>1002030099</v>
      </c>
      <c r="G1301" s="440" t="s">
        <v>632</v>
      </c>
    </row>
    <row r="1302" spans="1:7">
      <c r="A1302" s="440">
        <v>4700443758</v>
      </c>
      <c r="B1302" s="440">
        <v>6100063722</v>
      </c>
      <c r="C1302" s="440" t="s">
        <v>631</v>
      </c>
      <c r="D1302" s="444">
        <v>44025</v>
      </c>
      <c r="E1302" s="445">
        <v>74500</v>
      </c>
      <c r="F1302" s="440">
        <v>1002030099</v>
      </c>
      <c r="G1302" s="440" t="s">
        <v>632</v>
      </c>
    </row>
    <row r="1303" spans="1:7">
      <c r="A1303" s="440">
        <v>4700443758</v>
      </c>
      <c r="B1303" s="440">
        <v>6100063722</v>
      </c>
      <c r="C1303" s="440" t="s">
        <v>631</v>
      </c>
      <c r="D1303" s="444">
        <v>44025</v>
      </c>
      <c r="E1303" s="445">
        <v>268500</v>
      </c>
      <c r="F1303" s="440">
        <v>1002030099</v>
      </c>
      <c r="G1303" s="440" t="s">
        <v>632</v>
      </c>
    </row>
    <row r="1304" spans="1:7">
      <c r="A1304" s="440">
        <v>4700443758</v>
      </c>
      <c r="B1304" s="440">
        <v>6100063722</v>
      </c>
      <c r="C1304" s="440" t="s">
        <v>631</v>
      </c>
      <c r="D1304" s="444">
        <v>44025</v>
      </c>
      <c r="E1304" s="445">
        <v>11000</v>
      </c>
      <c r="F1304" s="440">
        <v>1002030099</v>
      </c>
      <c r="G1304" s="440" t="s">
        <v>632</v>
      </c>
    </row>
    <row r="1305" spans="1:7">
      <c r="A1305" s="440">
        <v>4700443758</v>
      </c>
      <c r="B1305" s="440">
        <v>6100063722</v>
      </c>
      <c r="C1305" s="440" t="s">
        <v>631</v>
      </c>
      <c r="D1305" s="444">
        <v>44025</v>
      </c>
      <c r="E1305" s="445">
        <v>3696</v>
      </c>
      <c r="F1305" s="440">
        <v>1002030099</v>
      </c>
      <c r="G1305" s="440" t="s">
        <v>632</v>
      </c>
    </row>
    <row r="1306" spans="1:7">
      <c r="A1306" s="440">
        <v>4700443758</v>
      </c>
      <c r="B1306" s="440">
        <v>6100063722</v>
      </c>
      <c r="C1306" s="440" t="s">
        <v>631</v>
      </c>
      <c r="D1306" s="444">
        <v>44025</v>
      </c>
      <c r="E1306" s="445">
        <v>9412</v>
      </c>
      <c r="F1306" s="440">
        <v>1002030099</v>
      </c>
      <c r="G1306" s="440" t="s">
        <v>632</v>
      </c>
    </row>
    <row r="1307" spans="1:7">
      <c r="A1307" s="440">
        <v>4700443758</v>
      </c>
      <c r="B1307" s="440">
        <v>6100063722</v>
      </c>
      <c r="C1307" s="440" t="s">
        <v>631</v>
      </c>
      <c r="D1307" s="444">
        <v>44025</v>
      </c>
      <c r="E1307" s="445">
        <v>13865</v>
      </c>
      <c r="F1307" s="440">
        <v>1002030099</v>
      </c>
      <c r="G1307" s="440" t="s">
        <v>632</v>
      </c>
    </row>
    <row r="1308" spans="1:7">
      <c r="A1308" s="440">
        <v>4700443758</v>
      </c>
      <c r="B1308" s="440">
        <v>6100063722</v>
      </c>
      <c r="C1308" s="440" t="s">
        <v>631</v>
      </c>
      <c r="D1308" s="444">
        <v>44025</v>
      </c>
      <c r="E1308" s="445">
        <v>30670</v>
      </c>
      <c r="F1308" s="440">
        <v>1002030099</v>
      </c>
      <c r="G1308" s="440" t="s">
        <v>632</v>
      </c>
    </row>
    <row r="1309" spans="1:7">
      <c r="A1309" s="440">
        <v>4700443758</v>
      </c>
      <c r="B1309" s="440">
        <v>6100063722</v>
      </c>
      <c r="C1309" s="440" t="s">
        <v>631</v>
      </c>
      <c r="D1309" s="444">
        <v>44025</v>
      </c>
      <c r="E1309" s="445">
        <v>10550</v>
      </c>
      <c r="F1309" s="440">
        <v>1002030099</v>
      </c>
      <c r="G1309" s="440" t="s">
        <v>632</v>
      </c>
    </row>
    <row r="1310" spans="1:7">
      <c r="A1310" s="440">
        <v>4700443758</v>
      </c>
      <c r="B1310" s="440">
        <v>6100063722</v>
      </c>
      <c r="C1310" s="440" t="s">
        <v>631</v>
      </c>
      <c r="D1310" s="444">
        <v>44025</v>
      </c>
      <c r="E1310" s="445">
        <v>11700</v>
      </c>
      <c r="F1310" s="440">
        <v>1002030099</v>
      </c>
      <c r="G1310" s="440" t="s">
        <v>632</v>
      </c>
    </row>
    <row r="1311" spans="1:7">
      <c r="A1311" s="440">
        <v>4700443758</v>
      </c>
      <c r="B1311" s="440">
        <v>6100063722</v>
      </c>
      <c r="C1311" s="440" t="s">
        <v>631</v>
      </c>
      <c r="D1311" s="444">
        <v>44025</v>
      </c>
      <c r="E1311" s="445">
        <v>35632</v>
      </c>
      <c r="F1311" s="440">
        <v>1002030099</v>
      </c>
      <c r="G1311" s="440" t="s">
        <v>632</v>
      </c>
    </row>
    <row r="1312" spans="1:7">
      <c r="A1312" s="440">
        <v>4700443758</v>
      </c>
      <c r="B1312" s="440">
        <v>6100063722</v>
      </c>
      <c r="C1312" s="440" t="s">
        <v>631</v>
      </c>
      <c r="D1312" s="444">
        <v>44025</v>
      </c>
      <c r="E1312" s="445">
        <v>19000</v>
      </c>
      <c r="F1312" s="440">
        <v>1002030099</v>
      </c>
      <c r="G1312" s="440" t="s">
        <v>632</v>
      </c>
    </row>
    <row r="1313" spans="1:7">
      <c r="A1313" s="440">
        <v>4700443758</v>
      </c>
      <c r="B1313" s="440">
        <v>6100063722</v>
      </c>
      <c r="C1313" s="440" t="s">
        <v>631</v>
      </c>
      <c r="D1313" s="444">
        <v>44025</v>
      </c>
      <c r="E1313" s="445">
        <v>11700</v>
      </c>
      <c r="F1313" s="440">
        <v>1002030099</v>
      </c>
      <c r="G1313" s="440" t="s">
        <v>632</v>
      </c>
    </row>
    <row r="1314" spans="1:7">
      <c r="A1314" s="440">
        <v>4700443758</v>
      </c>
      <c r="B1314" s="440">
        <v>6100063722</v>
      </c>
      <c r="C1314" s="440" t="s">
        <v>631</v>
      </c>
      <c r="D1314" s="444">
        <v>44025</v>
      </c>
      <c r="E1314" s="445">
        <v>6750</v>
      </c>
      <c r="F1314" s="440">
        <v>1002030099</v>
      </c>
      <c r="G1314" s="440" t="s">
        <v>632</v>
      </c>
    </row>
    <row r="1315" spans="1:7">
      <c r="A1315" s="440">
        <v>4700443758</v>
      </c>
      <c r="B1315" s="440">
        <v>6100063722</v>
      </c>
      <c r="C1315" s="440" t="s">
        <v>631</v>
      </c>
      <c r="D1315" s="444">
        <v>44025</v>
      </c>
      <c r="E1315" s="445">
        <v>17600</v>
      </c>
      <c r="F1315" s="440">
        <v>1002030099</v>
      </c>
      <c r="G1315" s="440" t="s">
        <v>632</v>
      </c>
    </row>
    <row r="1316" spans="1:7">
      <c r="A1316" s="440">
        <v>4700443758</v>
      </c>
      <c r="B1316" s="440">
        <v>6100063722</v>
      </c>
      <c r="C1316" s="440" t="s">
        <v>631</v>
      </c>
      <c r="D1316" s="444">
        <v>44025</v>
      </c>
      <c r="E1316" s="445">
        <v>6556</v>
      </c>
      <c r="F1316" s="440">
        <v>1002030099</v>
      </c>
      <c r="G1316" s="440" t="s">
        <v>632</v>
      </c>
    </row>
    <row r="1317" spans="1:7">
      <c r="A1317" s="440">
        <v>4700443758</v>
      </c>
      <c r="B1317" s="440">
        <v>6100063722</v>
      </c>
      <c r="C1317" s="440" t="s">
        <v>631</v>
      </c>
      <c r="D1317" s="444">
        <v>44025</v>
      </c>
      <c r="E1317" s="445">
        <v>13500</v>
      </c>
      <c r="F1317" s="440">
        <v>1002030099</v>
      </c>
      <c r="G1317" s="440" t="s">
        <v>632</v>
      </c>
    </row>
    <row r="1318" spans="1:7">
      <c r="A1318" s="440">
        <v>4700488791</v>
      </c>
      <c r="B1318" s="440">
        <v>6100100866</v>
      </c>
      <c r="C1318" s="440" t="s">
        <v>631</v>
      </c>
      <c r="D1318" s="444">
        <v>44126</v>
      </c>
      <c r="E1318" s="445">
        <v>268500</v>
      </c>
      <c r="F1318" s="440">
        <v>1002030099</v>
      </c>
      <c r="G1318" s="440" t="s">
        <v>632</v>
      </c>
    </row>
    <row r="1319" spans="1:7">
      <c r="A1319" s="440">
        <v>4700488791</v>
      </c>
      <c r="B1319" s="440">
        <v>6100100866</v>
      </c>
      <c r="C1319" s="440" t="s">
        <v>631</v>
      </c>
      <c r="D1319" s="444">
        <v>44126</v>
      </c>
      <c r="E1319" s="445">
        <v>164700</v>
      </c>
      <c r="F1319" s="440">
        <v>1002030099</v>
      </c>
      <c r="G1319" s="440" t="s">
        <v>632</v>
      </c>
    </row>
    <row r="1320" spans="1:7">
      <c r="A1320" s="440">
        <v>4700488791</v>
      </c>
      <c r="B1320" s="440">
        <v>6100100866</v>
      </c>
      <c r="C1320" s="440" t="s">
        <v>631</v>
      </c>
      <c r="D1320" s="444">
        <v>44126</v>
      </c>
      <c r="E1320" s="445">
        <v>41400</v>
      </c>
      <c r="F1320" s="440">
        <v>1002030099</v>
      </c>
      <c r="G1320" s="440" t="s">
        <v>632</v>
      </c>
    </row>
    <row r="1321" spans="1:7">
      <c r="A1321" s="440">
        <v>4700488791</v>
      </c>
      <c r="B1321" s="440">
        <v>6100100866</v>
      </c>
      <c r="C1321" s="440" t="s">
        <v>631</v>
      </c>
      <c r="D1321" s="444">
        <v>44126</v>
      </c>
      <c r="E1321" s="445">
        <v>7000</v>
      </c>
      <c r="F1321" s="440">
        <v>1002030099</v>
      </c>
      <c r="G1321" s="440" t="s">
        <v>632</v>
      </c>
    </row>
    <row r="1322" spans="1:7">
      <c r="A1322" s="440">
        <v>4700488791</v>
      </c>
      <c r="B1322" s="440">
        <v>6100100866</v>
      </c>
      <c r="C1322" s="440" t="s">
        <v>631</v>
      </c>
      <c r="D1322" s="444">
        <v>44126</v>
      </c>
      <c r="E1322" s="445">
        <v>21100</v>
      </c>
      <c r="F1322" s="440">
        <v>1002030099</v>
      </c>
      <c r="G1322" s="440" t="s">
        <v>632</v>
      </c>
    </row>
    <row r="1323" spans="1:7">
      <c r="A1323" s="440">
        <v>4700488791</v>
      </c>
      <c r="B1323" s="440">
        <v>6100100866</v>
      </c>
      <c r="C1323" s="440" t="s">
        <v>631</v>
      </c>
      <c r="D1323" s="444">
        <v>44126</v>
      </c>
      <c r="E1323" s="445">
        <v>15300</v>
      </c>
      <c r="F1323" s="440">
        <v>1002030099</v>
      </c>
      <c r="G1323" s="440" t="s">
        <v>632</v>
      </c>
    </row>
    <row r="1324" spans="1:7">
      <c r="A1324" s="440">
        <v>4700488791</v>
      </c>
      <c r="B1324" s="440">
        <v>6100100866</v>
      </c>
      <c r="C1324" s="440" t="s">
        <v>631</v>
      </c>
      <c r="D1324" s="444">
        <v>44126</v>
      </c>
      <c r="E1324" s="445">
        <v>30670</v>
      </c>
      <c r="F1324" s="440">
        <v>1002030099</v>
      </c>
      <c r="G1324" s="440" t="s">
        <v>632</v>
      </c>
    </row>
    <row r="1325" spans="1:7">
      <c r="A1325" s="440">
        <v>4700488791</v>
      </c>
      <c r="B1325" s="440">
        <v>6100100866</v>
      </c>
      <c r="C1325" s="440" t="s">
        <v>631</v>
      </c>
      <c r="D1325" s="444">
        <v>44126</v>
      </c>
      <c r="E1325" s="445">
        <v>13865</v>
      </c>
      <c r="F1325" s="440">
        <v>1002030099</v>
      </c>
      <c r="G1325" s="440" t="s">
        <v>632</v>
      </c>
    </row>
    <row r="1326" spans="1:7">
      <c r="A1326" s="440">
        <v>4700488791</v>
      </c>
      <c r="B1326" s="440">
        <v>6100100866</v>
      </c>
      <c r="C1326" s="440" t="s">
        <v>631</v>
      </c>
      <c r="D1326" s="444">
        <v>44126</v>
      </c>
      <c r="E1326" s="445">
        <v>42400</v>
      </c>
      <c r="F1326" s="440">
        <v>1002030099</v>
      </c>
      <c r="G1326" s="440" t="s">
        <v>632</v>
      </c>
    </row>
    <row r="1327" spans="1:7">
      <c r="A1327" s="440">
        <v>4700488791</v>
      </c>
      <c r="B1327" s="440">
        <v>6100100866</v>
      </c>
      <c r="C1327" s="440" t="s">
        <v>631</v>
      </c>
      <c r="D1327" s="444">
        <v>44126</v>
      </c>
      <c r="E1327" s="445">
        <v>6800</v>
      </c>
      <c r="F1327" s="440">
        <v>1002030099</v>
      </c>
      <c r="G1327" s="440" t="s">
        <v>632</v>
      </c>
    </row>
    <row r="1328" spans="1:7">
      <c r="A1328" s="440">
        <v>4700488791</v>
      </c>
      <c r="B1328" s="440">
        <v>6100100866</v>
      </c>
      <c r="C1328" s="440" t="s">
        <v>631</v>
      </c>
      <c r="D1328" s="444">
        <v>44126</v>
      </c>
      <c r="E1328" s="445">
        <v>5300</v>
      </c>
      <c r="F1328" s="440">
        <v>1002030099</v>
      </c>
      <c r="G1328" s="440" t="s">
        <v>632</v>
      </c>
    </row>
    <row r="1329" spans="1:7">
      <c r="A1329" s="440">
        <v>4700488791</v>
      </c>
      <c r="B1329" s="440">
        <v>6100100866</v>
      </c>
      <c r="C1329" s="440" t="s">
        <v>631</v>
      </c>
      <c r="D1329" s="444">
        <v>44126</v>
      </c>
      <c r="E1329" s="445">
        <v>5040</v>
      </c>
      <c r="F1329" s="440">
        <v>1002030099</v>
      </c>
      <c r="G1329" s="440" t="s">
        <v>632</v>
      </c>
    </row>
    <row r="1330" spans="1:7">
      <c r="A1330" s="440">
        <v>4700528665</v>
      </c>
      <c r="B1330" s="440">
        <v>6100008153</v>
      </c>
      <c r="C1330" s="440" t="s">
        <v>631</v>
      </c>
      <c r="D1330" s="444">
        <v>44216</v>
      </c>
      <c r="E1330" s="445">
        <v>3723</v>
      </c>
      <c r="F1330" s="440">
        <v>1002030099</v>
      </c>
      <c r="G1330" s="440" t="s">
        <v>632</v>
      </c>
    </row>
    <row r="1331" spans="1:7">
      <c r="A1331" s="440">
        <v>4700528665</v>
      </c>
      <c r="B1331" s="440">
        <v>6100008153</v>
      </c>
      <c r="C1331" s="440" t="s">
        <v>631</v>
      </c>
      <c r="D1331" s="444">
        <v>44216</v>
      </c>
      <c r="E1331" s="445">
        <v>36394</v>
      </c>
      <c r="F1331" s="440">
        <v>1002030099</v>
      </c>
      <c r="G1331" s="440" t="s">
        <v>632</v>
      </c>
    </row>
    <row r="1332" spans="1:7">
      <c r="A1332" s="440">
        <v>4700540184</v>
      </c>
      <c r="B1332" s="440">
        <v>6100016116</v>
      </c>
      <c r="C1332" s="440" t="s">
        <v>631</v>
      </c>
      <c r="D1332" s="444">
        <v>44238</v>
      </c>
      <c r="E1332" s="445">
        <v>49359</v>
      </c>
      <c r="F1332" s="440">
        <v>1002030099</v>
      </c>
      <c r="G1332" s="440" t="s">
        <v>632</v>
      </c>
    </row>
    <row r="1333" spans="1:7">
      <c r="A1333" s="440">
        <v>4700554694</v>
      </c>
      <c r="B1333" s="440">
        <v>6100023966</v>
      </c>
      <c r="C1333" s="440" t="s">
        <v>631</v>
      </c>
      <c r="D1333" s="444">
        <v>44264</v>
      </c>
      <c r="E1333" s="445">
        <v>13900</v>
      </c>
      <c r="F1333" s="440">
        <v>1002030099</v>
      </c>
      <c r="G1333" s="440" t="s">
        <v>632</v>
      </c>
    </row>
    <row r="1334" spans="1:7">
      <c r="A1334" s="440">
        <v>4700554694</v>
      </c>
      <c r="B1334" s="440">
        <v>6100023966</v>
      </c>
      <c r="C1334" s="440" t="s">
        <v>631</v>
      </c>
      <c r="D1334" s="444">
        <v>44264</v>
      </c>
      <c r="E1334" s="445">
        <v>49403</v>
      </c>
      <c r="F1334" s="440">
        <v>1002030099</v>
      </c>
      <c r="G1334" s="440" t="s">
        <v>632</v>
      </c>
    </row>
    <row r="1335" spans="1:7">
      <c r="A1335" s="440">
        <v>4700569713</v>
      </c>
      <c r="B1335" s="440">
        <v>6100031361</v>
      </c>
      <c r="C1335" s="440" t="s">
        <v>631</v>
      </c>
      <c r="D1335" s="444">
        <v>44299</v>
      </c>
      <c r="E1335" s="445">
        <v>21855</v>
      </c>
      <c r="F1335" s="440">
        <v>1002030099</v>
      </c>
      <c r="G1335" s="440" t="s">
        <v>632</v>
      </c>
    </row>
    <row r="1336" spans="1:7">
      <c r="A1336" s="440">
        <v>4700580139</v>
      </c>
      <c r="B1336" s="440">
        <v>6100036219</v>
      </c>
      <c r="C1336" s="440" t="s">
        <v>631</v>
      </c>
      <c r="D1336" s="444">
        <v>44322</v>
      </c>
      <c r="E1336" s="445">
        <v>28815</v>
      </c>
      <c r="F1336" s="440">
        <v>1002030099</v>
      </c>
      <c r="G1336" s="440" t="s">
        <v>632</v>
      </c>
    </row>
    <row r="1337" spans="1:7">
      <c r="A1337" s="440">
        <v>4700593904</v>
      </c>
      <c r="B1337" s="440">
        <v>6100043282</v>
      </c>
      <c r="C1337" s="440" t="s">
        <v>631</v>
      </c>
      <c r="D1337" s="444">
        <v>44360</v>
      </c>
      <c r="E1337" s="445">
        <v>40842</v>
      </c>
      <c r="F1337" s="440">
        <v>1002030099</v>
      </c>
      <c r="G1337" s="440" t="s">
        <v>632</v>
      </c>
    </row>
    <row r="1338" spans="1:7">
      <c r="A1338" s="440">
        <v>4700607069</v>
      </c>
      <c r="B1338" s="440">
        <v>6100047299</v>
      </c>
      <c r="C1338" s="440" t="s">
        <v>631</v>
      </c>
      <c r="D1338" s="444">
        <v>44385</v>
      </c>
      <c r="E1338" s="445">
        <v>13272</v>
      </c>
      <c r="F1338" s="440">
        <v>1002030099</v>
      </c>
      <c r="G1338" s="440" t="s">
        <v>632</v>
      </c>
    </row>
    <row r="1339" spans="1:7">
      <c r="A1339" s="440">
        <v>4700607069</v>
      </c>
      <c r="B1339" s="440">
        <v>6100047299</v>
      </c>
      <c r="C1339" s="440" t="s">
        <v>631</v>
      </c>
      <c r="D1339" s="444">
        <v>44385</v>
      </c>
      <c r="E1339" s="445">
        <v>24769</v>
      </c>
      <c r="F1339" s="440">
        <v>1002030099</v>
      </c>
      <c r="G1339" s="440" t="s">
        <v>632</v>
      </c>
    </row>
    <row r="1340" spans="1:7">
      <c r="A1340" s="440">
        <v>4700624624</v>
      </c>
      <c r="B1340" s="440">
        <v>6100054831</v>
      </c>
      <c r="C1340" s="440" t="s">
        <v>631</v>
      </c>
      <c r="D1340" s="444">
        <v>44426</v>
      </c>
      <c r="E1340" s="445">
        <v>61637</v>
      </c>
      <c r="F1340" s="440">
        <v>1002030099</v>
      </c>
      <c r="G1340" s="440" t="s">
        <v>632</v>
      </c>
    </row>
    <row r="1341" spans="1:7">
      <c r="A1341" s="440">
        <v>4700640990</v>
      </c>
      <c r="B1341" s="440">
        <v>6100061450</v>
      </c>
      <c r="C1341" s="440" t="s">
        <v>631</v>
      </c>
      <c r="D1341" s="444">
        <v>44453</v>
      </c>
      <c r="E1341" s="445">
        <v>30082</v>
      </c>
      <c r="F1341" s="440">
        <v>1002030099</v>
      </c>
      <c r="G1341" s="440" t="s">
        <v>632</v>
      </c>
    </row>
    <row r="1342" spans="1:7">
      <c r="A1342" s="440">
        <v>4700653244</v>
      </c>
      <c r="B1342" s="440">
        <v>6100068441</v>
      </c>
      <c r="C1342" s="440" t="s">
        <v>631</v>
      </c>
      <c r="D1342" s="444">
        <v>44476</v>
      </c>
      <c r="E1342" s="445">
        <v>48293</v>
      </c>
      <c r="F1342" s="440">
        <v>1002030099</v>
      </c>
      <c r="G1342" s="440" t="s">
        <v>632</v>
      </c>
    </row>
    <row r="1343" spans="1:7">
      <c r="A1343" s="440">
        <v>4700672637</v>
      </c>
      <c r="B1343" s="440">
        <v>6100086329</v>
      </c>
      <c r="C1343" s="440" t="s">
        <v>631</v>
      </c>
      <c r="D1343" s="444">
        <v>44523</v>
      </c>
      <c r="E1343" s="445">
        <v>1968</v>
      </c>
      <c r="F1343" s="440">
        <v>1002030099</v>
      </c>
      <c r="G1343" s="440" t="s">
        <v>632</v>
      </c>
    </row>
    <row r="1344" spans="1:7">
      <c r="A1344" s="440">
        <v>4700672637</v>
      </c>
      <c r="B1344" s="440">
        <v>6100086329</v>
      </c>
      <c r="C1344" s="440" t="s">
        <v>631</v>
      </c>
      <c r="D1344" s="444">
        <v>44523</v>
      </c>
      <c r="E1344" s="445">
        <v>46622</v>
      </c>
      <c r="F1344" s="440">
        <v>1002030099</v>
      </c>
      <c r="G1344" s="440" t="s">
        <v>632</v>
      </c>
    </row>
    <row r="1345" spans="1:7">
      <c r="A1345" s="440">
        <v>4700689237</v>
      </c>
      <c r="B1345" s="440">
        <v>6100097828</v>
      </c>
      <c r="C1345" s="440" t="s">
        <v>631</v>
      </c>
      <c r="D1345" s="444">
        <v>44554</v>
      </c>
      <c r="E1345" s="445">
        <v>45046</v>
      </c>
      <c r="F1345" s="440">
        <v>1002030099</v>
      </c>
      <c r="G1345" s="440" t="s">
        <v>632</v>
      </c>
    </row>
    <row r="1346" spans="1:7">
      <c r="A1346" s="440">
        <v>4700380872</v>
      </c>
      <c r="B1346" s="440">
        <v>6100007252</v>
      </c>
      <c r="C1346" s="440" t="s">
        <v>631</v>
      </c>
      <c r="D1346" s="444">
        <v>43851</v>
      </c>
      <c r="E1346" s="445">
        <v>26469</v>
      </c>
      <c r="F1346" s="440">
        <v>1007010001</v>
      </c>
      <c r="G1346" s="440" t="s">
        <v>632</v>
      </c>
    </row>
    <row r="1347" spans="1:7">
      <c r="A1347" s="440">
        <v>4700380872</v>
      </c>
      <c r="B1347" s="440">
        <v>6100007252</v>
      </c>
      <c r="C1347" s="440" t="s">
        <v>631</v>
      </c>
      <c r="D1347" s="444">
        <v>43851</v>
      </c>
      <c r="E1347" s="445">
        <v>15882</v>
      </c>
      <c r="F1347" s="440">
        <v>1007010001</v>
      </c>
      <c r="G1347" s="440" t="s">
        <v>632</v>
      </c>
    </row>
    <row r="1348" spans="1:7">
      <c r="A1348" s="440">
        <v>4700380872</v>
      </c>
      <c r="B1348" s="440">
        <v>6100007252</v>
      </c>
      <c r="C1348" s="440" t="s">
        <v>631</v>
      </c>
      <c r="D1348" s="444">
        <v>43851</v>
      </c>
      <c r="E1348" s="445">
        <v>6638</v>
      </c>
      <c r="F1348" s="440">
        <v>1007010001</v>
      </c>
      <c r="G1348" s="440" t="s">
        <v>632</v>
      </c>
    </row>
    <row r="1349" spans="1:7">
      <c r="A1349" s="440">
        <v>4700380872</v>
      </c>
      <c r="B1349" s="440">
        <v>6100007252</v>
      </c>
      <c r="C1349" s="440" t="s">
        <v>631</v>
      </c>
      <c r="D1349" s="444">
        <v>43851</v>
      </c>
      <c r="E1349" s="445">
        <v>7941</v>
      </c>
      <c r="F1349" s="440">
        <v>1007010001</v>
      </c>
      <c r="G1349" s="440" t="s">
        <v>632</v>
      </c>
    </row>
    <row r="1350" spans="1:7">
      <c r="A1350" s="440">
        <v>4700380872</v>
      </c>
      <c r="B1350" s="440">
        <v>6100007252</v>
      </c>
      <c r="C1350" s="440" t="s">
        <v>631</v>
      </c>
      <c r="D1350" s="444">
        <v>43851</v>
      </c>
      <c r="E1350" s="445">
        <v>11555</v>
      </c>
      <c r="F1350" s="440">
        <v>1007010001</v>
      </c>
      <c r="G1350" s="440" t="s">
        <v>632</v>
      </c>
    </row>
    <row r="1351" spans="1:7">
      <c r="A1351" s="440">
        <v>4700380872</v>
      </c>
      <c r="B1351" s="440">
        <v>6100007252</v>
      </c>
      <c r="C1351" s="440" t="s">
        <v>631</v>
      </c>
      <c r="D1351" s="444">
        <v>43851</v>
      </c>
      <c r="E1351" s="445">
        <v>17816</v>
      </c>
      <c r="F1351" s="440">
        <v>1007010001</v>
      </c>
      <c r="G1351" s="440" t="s">
        <v>632</v>
      </c>
    </row>
    <row r="1352" spans="1:7">
      <c r="A1352" s="440">
        <v>4700380872</v>
      </c>
      <c r="B1352" s="440">
        <v>6100007252</v>
      </c>
      <c r="C1352" s="440" t="s">
        <v>631</v>
      </c>
      <c r="D1352" s="444">
        <v>43851</v>
      </c>
      <c r="E1352" s="445">
        <v>10420</v>
      </c>
      <c r="F1352" s="440">
        <v>1007010001</v>
      </c>
      <c r="G1352" s="440" t="s">
        <v>632</v>
      </c>
    </row>
    <row r="1353" spans="1:7">
      <c r="A1353" s="440">
        <v>4700380872</v>
      </c>
      <c r="B1353" s="440">
        <v>6100007252</v>
      </c>
      <c r="C1353" s="440" t="s">
        <v>631</v>
      </c>
      <c r="D1353" s="444">
        <v>43851</v>
      </c>
      <c r="E1353" s="445">
        <v>11596</v>
      </c>
      <c r="F1353" s="440">
        <v>1007010001</v>
      </c>
      <c r="G1353" s="440" t="s">
        <v>632</v>
      </c>
    </row>
    <row r="1354" spans="1:7">
      <c r="A1354" s="440">
        <v>4700380872</v>
      </c>
      <c r="B1354" s="440">
        <v>6100007252</v>
      </c>
      <c r="C1354" s="440" t="s">
        <v>631</v>
      </c>
      <c r="D1354" s="444">
        <v>43851</v>
      </c>
      <c r="E1354" s="445">
        <v>3613</v>
      </c>
      <c r="F1354" s="440">
        <v>1007010001</v>
      </c>
      <c r="G1354" s="440" t="s">
        <v>632</v>
      </c>
    </row>
    <row r="1355" spans="1:7">
      <c r="A1355" s="440">
        <v>4700380872</v>
      </c>
      <c r="B1355" s="440">
        <v>6100007252</v>
      </c>
      <c r="C1355" s="440" t="s">
        <v>631</v>
      </c>
      <c r="D1355" s="444">
        <v>43851</v>
      </c>
      <c r="E1355" s="445">
        <v>18824</v>
      </c>
      <c r="F1355" s="440">
        <v>1007010001</v>
      </c>
      <c r="G1355" s="440" t="s">
        <v>632</v>
      </c>
    </row>
    <row r="1356" spans="1:7">
      <c r="A1356" s="440">
        <v>4700380872</v>
      </c>
      <c r="B1356" s="440">
        <v>6100007252</v>
      </c>
      <c r="C1356" s="440" t="s">
        <v>631</v>
      </c>
      <c r="D1356" s="444">
        <v>43851</v>
      </c>
      <c r="E1356" s="445">
        <v>90756</v>
      </c>
      <c r="F1356" s="440">
        <v>1007010001</v>
      </c>
      <c r="G1356" s="440" t="s">
        <v>632</v>
      </c>
    </row>
    <row r="1357" spans="1:7">
      <c r="A1357" s="440">
        <v>4700380872</v>
      </c>
      <c r="B1357" s="440">
        <v>6100007252</v>
      </c>
      <c r="C1357" s="440" t="s">
        <v>631</v>
      </c>
      <c r="D1357" s="444">
        <v>43851</v>
      </c>
      <c r="E1357" s="445">
        <v>11555</v>
      </c>
      <c r="F1357" s="440">
        <v>1007010001</v>
      </c>
      <c r="G1357" s="440" t="s">
        <v>632</v>
      </c>
    </row>
    <row r="1358" spans="1:7">
      <c r="A1358" s="440">
        <v>4700380872</v>
      </c>
      <c r="B1358" s="440">
        <v>6100007252</v>
      </c>
      <c r="C1358" s="440" t="s">
        <v>631</v>
      </c>
      <c r="D1358" s="444">
        <v>43851</v>
      </c>
      <c r="E1358" s="445">
        <v>3277</v>
      </c>
      <c r="F1358" s="440">
        <v>1007010001</v>
      </c>
      <c r="G1358" s="440" t="s">
        <v>632</v>
      </c>
    </row>
    <row r="1359" spans="1:7">
      <c r="A1359" s="440">
        <v>4700380872</v>
      </c>
      <c r="B1359" s="440">
        <v>6100007252</v>
      </c>
      <c r="C1359" s="440" t="s">
        <v>631</v>
      </c>
      <c r="D1359" s="444">
        <v>43851</v>
      </c>
      <c r="E1359" s="445">
        <v>358000</v>
      </c>
      <c r="F1359" s="440">
        <v>1007010001</v>
      </c>
      <c r="G1359" s="440" t="s">
        <v>632</v>
      </c>
    </row>
    <row r="1360" spans="1:7">
      <c r="A1360" s="440">
        <v>4700380872</v>
      </c>
      <c r="B1360" s="440">
        <v>6100007252</v>
      </c>
      <c r="C1360" s="440" t="s">
        <v>631</v>
      </c>
      <c r="D1360" s="444">
        <v>43851</v>
      </c>
      <c r="E1360" s="445">
        <v>48150</v>
      </c>
      <c r="F1360" s="440">
        <v>1007010001</v>
      </c>
      <c r="G1360" s="440" t="s">
        <v>632</v>
      </c>
    </row>
    <row r="1361" spans="1:7">
      <c r="A1361" s="440">
        <v>4700380872</v>
      </c>
      <c r="B1361" s="440">
        <v>6100007252</v>
      </c>
      <c r="C1361" s="440" t="s">
        <v>631</v>
      </c>
      <c r="D1361" s="444">
        <v>43851</v>
      </c>
      <c r="E1361" s="445">
        <v>7731</v>
      </c>
      <c r="F1361" s="440">
        <v>1007010001</v>
      </c>
      <c r="G1361" s="440" t="s">
        <v>632</v>
      </c>
    </row>
    <row r="1362" spans="1:7">
      <c r="A1362" s="440">
        <v>4700380872</v>
      </c>
      <c r="B1362" s="440">
        <v>6100007252</v>
      </c>
      <c r="C1362" s="440" t="s">
        <v>631</v>
      </c>
      <c r="D1362" s="444">
        <v>43851</v>
      </c>
      <c r="E1362" s="445">
        <v>6639</v>
      </c>
      <c r="F1362" s="440">
        <v>1007010001</v>
      </c>
      <c r="G1362" s="440" t="s">
        <v>632</v>
      </c>
    </row>
    <row r="1363" spans="1:7">
      <c r="A1363" s="440">
        <v>4700380872</v>
      </c>
      <c r="B1363" s="440">
        <v>6100007252</v>
      </c>
      <c r="C1363" s="440" t="s">
        <v>631</v>
      </c>
      <c r="D1363" s="444">
        <v>43851</v>
      </c>
      <c r="E1363" s="445">
        <v>4832</v>
      </c>
      <c r="F1363" s="440">
        <v>1007010001</v>
      </c>
      <c r="G1363" s="440" t="s">
        <v>632</v>
      </c>
    </row>
    <row r="1364" spans="1:7">
      <c r="A1364" s="440">
        <v>4700380872</v>
      </c>
      <c r="B1364" s="440">
        <v>6100007252</v>
      </c>
      <c r="C1364" s="440" t="s">
        <v>631</v>
      </c>
      <c r="D1364" s="444">
        <v>43851</v>
      </c>
      <c r="E1364" s="445">
        <v>3192</v>
      </c>
      <c r="F1364" s="440">
        <v>1007010001</v>
      </c>
      <c r="G1364" s="440" t="s">
        <v>632</v>
      </c>
    </row>
    <row r="1365" spans="1:7">
      <c r="A1365" s="440">
        <v>4700380872</v>
      </c>
      <c r="B1365" s="440">
        <v>6100007252</v>
      </c>
      <c r="C1365" s="440" t="s">
        <v>631</v>
      </c>
      <c r="D1365" s="444">
        <v>43851</v>
      </c>
      <c r="E1365" s="445">
        <v>7050</v>
      </c>
      <c r="F1365" s="440">
        <v>1007010001</v>
      </c>
      <c r="G1365" s="440" t="s">
        <v>632</v>
      </c>
    </row>
    <row r="1366" spans="1:7">
      <c r="A1366" s="440">
        <v>4700431943</v>
      </c>
      <c r="B1366" s="440">
        <v>6100056518</v>
      </c>
      <c r="C1366" s="440" t="s">
        <v>631</v>
      </c>
      <c r="D1366" s="444">
        <v>43995</v>
      </c>
      <c r="E1366" s="445">
        <v>67500</v>
      </c>
      <c r="F1366" s="440">
        <v>1007010001</v>
      </c>
      <c r="G1366" s="440" t="s">
        <v>632</v>
      </c>
    </row>
    <row r="1367" spans="1:7">
      <c r="A1367" s="440">
        <v>4700431943</v>
      </c>
      <c r="B1367" s="440">
        <v>6100056518</v>
      </c>
      <c r="C1367" s="440" t="s">
        <v>631</v>
      </c>
      <c r="D1367" s="444">
        <v>43995</v>
      </c>
      <c r="E1367" s="445">
        <v>16340</v>
      </c>
      <c r="F1367" s="440">
        <v>1007010001</v>
      </c>
      <c r="G1367" s="440" t="s">
        <v>632</v>
      </c>
    </row>
    <row r="1368" spans="1:7">
      <c r="A1368" s="440">
        <v>4700431943</v>
      </c>
      <c r="B1368" s="440">
        <v>6100056518</v>
      </c>
      <c r="C1368" s="440" t="s">
        <v>631</v>
      </c>
      <c r="D1368" s="444">
        <v>43995</v>
      </c>
      <c r="E1368" s="445">
        <v>106200</v>
      </c>
      <c r="F1368" s="440">
        <v>1007010001</v>
      </c>
      <c r="G1368" s="440" t="s">
        <v>632</v>
      </c>
    </row>
    <row r="1369" spans="1:7">
      <c r="A1369" s="440">
        <v>4700477071</v>
      </c>
      <c r="B1369" s="440">
        <v>6100085763</v>
      </c>
      <c r="C1369" s="440" t="s">
        <v>631</v>
      </c>
      <c r="D1369" s="444">
        <v>44098</v>
      </c>
      <c r="E1369" s="445">
        <v>7000</v>
      </c>
      <c r="F1369" s="440">
        <v>1007010001</v>
      </c>
      <c r="G1369" s="440" t="s">
        <v>632</v>
      </c>
    </row>
    <row r="1370" spans="1:7">
      <c r="A1370" s="440">
        <v>4700477071</v>
      </c>
      <c r="B1370" s="440">
        <v>6100085763</v>
      </c>
      <c r="C1370" s="440" t="s">
        <v>631</v>
      </c>
      <c r="D1370" s="444">
        <v>44098</v>
      </c>
      <c r="E1370" s="445">
        <v>5040</v>
      </c>
      <c r="F1370" s="440">
        <v>1007010001</v>
      </c>
      <c r="G1370" s="440" t="s">
        <v>632</v>
      </c>
    </row>
    <row r="1371" spans="1:7">
      <c r="A1371" s="440">
        <v>4700477071</v>
      </c>
      <c r="B1371" s="440">
        <v>6100085763</v>
      </c>
      <c r="C1371" s="440" t="s">
        <v>631</v>
      </c>
      <c r="D1371" s="444">
        <v>44098</v>
      </c>
      <c r="E1371" s="445">
        <v>9496</v>
      </c>
      <c r="F1371" s="440">
        <v>1007010001</v>
      </c>
      <c r="G1371" s="440" t="s">
        <v>632</v>
      </c>
    </row>
    <row r="1372" spans="1:7">
      <c r="A1372" s="440">
        <v>4700477071</v>
      </c>
      <c r="B1372" s="440">
        <v>6100085763</v>
      </c>
      <c r="C1372" s="440" t="s">
        <v>631</v>
      </c>
      <c r="D1372" s="444">
        <v>44098</v>
      </c>
      <c r="E1372" s="445">
        <v>268500</v>
      </c>
      <c r="F1372" s="440">
        <v>1007010001</v>
      </c>
      <c r="G1372" s="440" t="s">
        <v>632</v>
      </c>
    </row>
    <row r="1373" spans="1:7">
      <c r="A1373" s="440">
        <v>4700477071</v>
      </c>
      <c r="B1373" s="440">
        <v>6100085763</v>
      </c>
      <c r="C1373" s="440" t="s">
        <v>631</v>
      </c>
      <c r="D1373" s="444">
        <v>44098</v>
      </c>
      <c r="E1373" s="445">
        <v>23600</v>
      </c>
      <c r="F1373" s="440">
        <v>1007010001</v>
      </c>
      <c r="G1373" s="440" t="s">
        <v>632</v>
      </c>
    </row>
    <row r="1374" spans="1:7">
      <c r="A1374" s="440">
        <v>4700477071</v>
      </c>
      <c r="B1374" s="440">
        <v>6100085763</v>
      </c>
      <c r="C1374" s="440" t="s">
        <v>631</v>
      </c>
      <c r="D1374" s="444">
        <v>44098</v>
      </c>
      <c r="E1374" s="445">
        <v>35600</v>
      </c>
      <c r="F1374" s="440">
        <v>1007010001</v>
      </c>
      <c r="G1374" s="440" t="s">
        <v>632</v>
      </c>
    </row>
    <row r="1375" spans="1:7">
      <c r="A1375" s="440">
        <v>4700477071</v>
      </c>
      <c r="B1375" s="440">
        <v>6100085763</v>
      </c>
      <c r="C1375" s="440" t="s">
        <v>631</v>
      </c>
      <c r="D1375" s="444">
        <v>44098</v>
      </c>
      <c r="E1375" s="445">
        <v>5040</v>
      </c>
      <c r="F1375" s="440">
        <v>1007010001</v>
      </c>
      <c r="G1375" s="440" t="s">
        <v>632</v>
      </c>
    </row>
    <row r="1376" spans="1:7">
      <c r="A1376" s="440">
        <v>4700477071</v>
      </c>
      <c r="B1376" s="440">
        <v>6100085763</v>
      </c>
      <c r="C1376" s="440" t="s">
        <v>631</v>
      </c>
      <c r="D1376" s="444">
        <v>44098</v>
      </c>
      <c r="E1376" s="445">
        <v>30670</v>
      </c>
      <c r="F1376" s="440">
        <v>1007010001</v>
      </c>
      <c r="G1376" s="440" t="s">
        <v>632</v>
      </c>
    </row>
    <row r="1377" spans="1:7">
      <c r="A1377" s="440">
        <v>4700477071</v>
      </c>
      <c r="B1377" s="440">
        <v>6100085763</v>
      </c>
      <c r="C1377" s="440" t="s">
        <v>631</v>
      </c>
      <c r="D1377" s="444">
        <v>44098</v>
      </c>
      <c r="E1377" s="445">
        <v>13865</v>
      </c>
      <c r="F1377" s="440">
        <v>1007010001</v>
      </c>
      <c r="G1377" s="440" t="s">
        <v>632</v>
      </c>
    </row>
    <row r="1378" spans="1:7">
      <c r="A1378" s="440">
        <v>4700477071</v>
      </c>
      <c r="B1378" s="440">
        <v>6100085763</v>
      </c>
      <c r="C1378" s="440" t="s">
        <v>631</v>
      </c>
      <c r="D1378" s="444">
        <v>44098</v>
      </c>
      <c r="E1378" s="445">
        <v>35632</v>
      </c>
      <c r="F1378" s="440">
        <v>1007010001</v>
      </c>
      <c r="G1378" s="440" t="s">
        <v>632</v>
      </c>
    </row>
    <row r="1379" spans="1:7">
      <c r="A1379" s="440">
        <v>4700477071</v>
      </c>
      <c r="B1379" s="440">
        <v>6100085763</v>
      </c>
      <c r="C1379" s="440" t="s">
        <v>631</v>
      </c>
      <c r="D1379" s="444">
        <v>44098</v>
      </c>
      <c r="E1379" s="445">
        <v>38000</v>
      </c>
      <c r="F1379" s="440">
        <v>1007010001</v>
      </c>
      <c r="G1379" s="440" t="s">
        <v>632</v>
      </c>
    </row>
    <row r="1380" spans="1:7">
      <c r="A1380" s="440">
        <v>4700477071</v>
      </c>
      <c r="B1380" s="440">
        <v>6100085763</v>
      </c>
      <c r="C1380" s="440" t="s">
        <v>631</v>
      </c>
      <c r="D1380" s="444">
        <v>44098</v>
      </c>
      <c r="E1380" s="445">
        <v>3400</v>
      </c>
      <c r="F1380" s="440">
        <v>1007010001</v>
      </c>
      <c r="G1380" s="440" t="s">
        <v>632</v>
      </c>
    </row>
    <row r="1381" spans="1:7">
      <c r="A1381" s="440">
        <v>4700477071</v>
      </c>
      <c r="B1381" s="440">
        <v>6100085763</v>
      </c>
      <c r="C1381" s="440" t="s">
        <v>631</v>
      </c>
      <c r="D1381" s="444">
        <v>44098</v>
      </c>
      <c r="E1381" s="445">
        <v>6800</v>
      </c>
      <c r="F1381" s="440">
        <v>1007010001</v>
      </c>
      <c r="G1381" s="440" t="s">
        <v>632</v>
      </c>
    </row>
    <row r="1382" spans="1:7">
      <c r="A1382" s="440">
        <v>4700477071</v>
      </c>
      <c r="B1382" s="440">
        <v>6100085763</v>
      </c>
      <c r="C1382" s="440" t="s">
        <v>631</v>
      </c>
      <c r="D1382" s="444">
        <v>44098</v>
      </c>
      <c r="E1382" s="445">
        <v>15882</v>
      </c>
      <c r="F1382" s="440">
        <v>1007010001</v>
      </c>
      <c r="G1382" s="440" t="s">
        <v>632</v>
      </c>
    </row>
    <row r="1383" spans="1:7">
      <c r="A1383" s="440">
        <v>4700528665</v>
      </c>
      <c r="B1383" s="440">
        <v>6100008153</v>
      </c>
      <c r="C1383" s="440" t="s">
        <v>631</v>
      </c>
      <c r="D1383" s="444">
        <v>44216</v>
      </c>
      <c r="E1383" s="445">
        <v>40120</v>
      </c>
      <c r="F1383" s="440">
        <v>1007010001</v>
      </c>
      <c r="G1383" s="440" t="s">
        <v>632</v>
      </c>
    </row>
    <row r="1384" spans="1:7">
      <c r="A1384" s="440">
        <v>4700528763</v>
      </c>
      <c r="B1384" s="440">
        <v>6100008161</v>
      </c>
      <c r="C1384" s="440" t="s">
        <v>631</v>
      </c>
      <c r="D1384" s="444">
        <v>44216</v>
      </c>
      <c r="E1384" s="445">
        <v>3024</v>
      </c>
      <c r="F1384" s="440">
        <v>1007010001</v>
      </c>
      <c r="G1384" s="440" t="s">
        <v>632</v>
      </c>
    </row>
    <row r="1385" spans="1:7">
      <c r="A1385" s="440">
        <v>4700528763</v>
      </c>
      <c r="B1385" s="440">
        <v>6100008161</v>
      </c>
      <c r="C1385" s="440" t="s">
        <v>631</v>
      </c>
      <c r="D1385" s="444">
        <v>44216</v>
      </c>
      <c r="E1385" s="445">
        <v>7689</v>
      </c>
      <c r="F1385" s="440">
        <v>1007010001</v>
      </c>
      <c r="G1385" s="440" t="s">
        <v>632</v>
      </c>
    </row>
    <row r="1386" spans="1:7">
      <c r="A1386" s="440">
        <v>4700528763</v>
      </c>
      <c r="B1386" s="440">
        <v>6100008161</v>
      </c>
      <c r="C1386" s="440" t="s">
        <v>631</v>
      </c>
      <c r="D1386" s="444">
        <v>44216</v>
      </c>
      <c r="E1386" s="445">
        <v>10900</v>
      </c>
      <c r="F1386" s="440">
        <v>1007010001</v>
      </c>
      <c r="G1386" s="440" t="s">
        <v>632</v>
      </c>
    </row>
    <row r="1387" spans="1:7">
      <c r="A1387" s="440">
        <v>4700528763</v>
      </c>
      <c r="B1387" s="440">
        <v>6100008161</v>
      </c>
      <c r="C1387" s="440" t="s">
        <v>631</v>
      </c>
      <c r="D1387" s="444">
        <v>44216</v>
      </c>
      <c r="E1387" s="445">
        <v>11800</v>
      </c>
      <c r="F1387" s="440">
        <v>1007010001</v>
      </c>
      <c r="G1387" s="440" t="s">
        <v>632</v>
      </c>
    </row>
    <row r="1388" spans="1:7">
      <c r="A1388" s="440">
        <v>4700528763</v>
      </c>
      <c r="B1388" s="440">
        <v>6100008161</v>
      </c>
      <c r="C1388" s="440" t="s">
        <v>631</v>
      </c>
      <c r="D1388" s="444">
        <v>44216</v>
      </c>
      <c r="E1388" s="445">
        <v>7700</v>
      </c>
      <c r="F1388" s="440">
        <v>1007010001</v>
      </c>
      <c r="G1388" s="440" t="s">
        <v>632</v>
      </c>
    </row>
    <row r="1389" spans="1:7">
      <c r="A1389" s="440">
        <v>4700528763</v>
      </c>
      <c r="B1389" s="440">
        <v>6100008161</v>
      </c>
      <c r="C1389" s="440" t="s">
        <v>631</v>
      </c>
      <c r="D1389" s="444">
        <v>44216</v>
      </c>
      <c r="E1389" s="445">
        <v>2850</v>
      </c>
      <c r="F1389" s="440">
        <v>1007010001</v>
      </c>
      <c r="G1389" s="440" t="s">
        <v>632</v>
      </c>
    </row>
    <row r="1390" spans="1:7">
      <c r="A1390" s="440">
        <v>4700528763</v>
      </c>
      <c r="B1390" s="440">
        <v>6100008161</v>
      </c>
      <c r="C1390" s="440" t="s">
        <v>631</v>
      </c>
      <c r="D1390" s="444">
        <v>44216</v>
      </c>
      <c r="E1390" s="445">
        <v>5000</v>
      </c>
      <c r="F1390" s="440">
        <v>1007010001</v>
      </c>
      <c r="G1390" s="440" t="s">
        <v>632</v>
      </c>
    </row>
    <row r="1391" spans="1:7">
      <c r="A1391" s="440">
        <v>4700528763</v>
      </c>
      <c r="B1391" s="440">
        <v>6100008161</v>
      </c>
      <c r="C1391" s="440" t="s">
        <v>631</v>
      </c>
      <c r="D1391" s="444">
        <v>44216</v>
      </c>
      <c r="E1391" s="445">
        <v>13361</v>
      </c>
      <c r="F1391" s="440">
        <v>1007010001</v>
      </c>
      <c r="G1391" s="440" t="s">
        <v>632</v>
      </c>
    </row>
    <row r="1392" spans="1:7">
      <c r="A1392" s="440">
        <v>4700540184</v>
      </c>
      <c r="B1392" s="440">
        <v>6100016116</v>
      </c>
      <c r="C1392" s="440" t="s">
        <v>631</v>
      </c>
      <c r="D1392" s="444">
        <v>44238</v>
      </c>
      <c r="E1392" s="445">
        <v>49359</v>
      </c>
      <c r="F1392" s="440">
        <v>1007010001</v>
      </c>
      <c r="G1392" s="440" t="s">
        <v>632</v>
      </c>
    </row>
    <row r="1393" spans="1:7">
      <c r="A1393" s="440">
        <v>4700554694</v>
      </c>
      <c r="B1393" s="440">
        <v>6100023966</v>
      </c>
      <c r="C1393" s="440" t="s">
        <v>631</v>
      </c>
      <c r="D1393" s="444">
        <v>44264</v>
      </c>
      <c r="E1393" s="445">
        <v>63299</v>
      </c>
      <c r="F1393" s="440">
        <v>1007010001</v>
      </c>
      <c r="G1393" s="440" t="s">
        <v>632</v>
      </c>
    </row>
    <row r="1394" spans="1:7">
      <c r="A1394" s="440">
        <v>4700569713</v>
      </c>
      <c r="B1394" s="440">
        <v>6100031361</v>
      </c>
      <c r="C1394" s="440" t="s">
        <v>631</v>
      </c>
      <c r="D1394" s="444">
        <v>44299</v>
      </c>
      <c r="E1394" s="445">
        <v>21855</v>
      </c>
      <c r="F1394" s="440">
        <v>1007010001</v>
      </c>
      <c r="G1394" s="440" t="s">
        <v>632</v>
      </c>
    </row>
    <row r="1395" spans="1:7">
      <c r="A1395" s="440">
        <v>4700570020</v>
      </c>
      <c r="B1395" s="440">
        <v>6100031366</v>
      </c>
      <c r="C1395" s="440" t="s">
        <v>631</v>
      </c>
      <c r="D1395" s="444">
        <v>44299</v>
      </c>
      <c r="E1395" s="445">
        <v>65168</v>
      </c>
      <c r="F1395" s="440">
        <v>1007010001</v>
      </c>
      <c r="G1395" s="440" t="s">
        <v>632</v>
      </c>
    </row>
    <row r="1396" spans="1:7">
      <c r="A1396" s="440">
        <v>4700570020</v>
      </c>
      <c r="B1396" s="440">
        <v>6100031366</v>
      </c>
      <c r="C1396" s="440" t="s">
        <v>631</v>
      </c>
      <c r="D1396" s="444">
        <v>44299</v>
      </c>
      <c r="E1396" s="445">
        <v>21900</v>
      </c>
      <c r="F1396" s="440">
        <v>1007010001</v>
      </c>
      <c r="G1396" s="440" t="s">
        <v>632</v>
      </c>
    </row>
    <row r="1397" spans="1:7">
      <c r="A1397" s="440">
        <v>4700580139</v>
      </c>
      <c r="B1397" s="440">
        <v>6100036219</v>
      </c>
      <c r="C1397" s="440" t="s">
        <v>631</v>
      </c>
      <c r="D1397" s="444">
        <v>44322</v>
      </c>
      <c r="E1397" s="445">
        <v>28815</v>
      </c>
      <c r="F1397" s="440">
        <v>1007010001</v>
      </c>
      <c r="G1397" s="440" t="s">
        <v>632</v>
      </c>
    </row>
    <row r="1398" spans="1:7">
      <c r="A1398" s="440">
        <v>4700593904</v>
      </c>
      <c r="B1398" s="440">
        <v>6100043282</v>
      </c>
      <c r="C1398" s="440" t="s">
        <v>631</v>
      </c>
      <c r="D1398" s="444">
        <v>44360</v>
      </c>
      <c r="E1398" s="445">
        <v>40842</v>
      </c>
      <c r="F1398" s="440">
        <v>1007010001</v>
      </c>
      <c r="G1398" s="440" t="s">
        <v>632</v>
      </c>
    </row>
    <row r="1399" spans="1:7">
      <c r="A1399" s="440">
        <v>4700607069</v>
      </c>
      <c r="B1399" s="440">
        <v>6100047299</v>
      </c>
      <c r="C1399" s="440" t="s">
        <v>631</v>
      </c>
      <c r="D1399" s="444">
        <v>44385</v>
      </c>
      <c r="E1399" s="445">
        <v>38041</v>
      </c>
      <c r="F1399" s="440">
        <v>1007010001</v>
      </c>
      <c r="G1399" s="440" t="s">
        <v>632</v>
      </c>
    </row>
    <row r="1400" spans="1:7">
      <c r="A1400" s="440">
        <v>4700611844</v>
      </c>
      <c r="B1400" s="440">
        <v>6100049778</v>
      </c>
      <c r="C1400" s="440" t="s">
        <v>631</v>
      </c>
      <c r="D1400" s="444">
        <v>44399</v>
      </c>
      <c r="E1400" s="445">
        <v>45000</v>
      </c>
      <c r="F1400" s="440">
        <v>1007010001</v>
      </c>
      <c r="G1400" s="440" t="s">
        <v>632</v>
      </c>
    </row>
    <row r="1401" spans="1:7">
      <c r="A1401" s="440">
        <v>4700615254</v>
      </c>
      <c r="B1401" s="440">
        <v>6100050468</v>
      </c>
      <c r="C1401" s="440" t="s">
        <v>631</v>
      </c>
      <c r="D1401" s="444">
        <v>44401</v>
      </c>
      <c r="E1401" s="445">
        <v>28362</v>
      </c>
      <c r="F1401" s="440">
        <v>1007010001</v>
      </c>
      <c r="G1401" s="440" t="s">
        <v>632</v>
      </c>
    </row>
    <row r="1402" spans="1:7">
      <c r="A1402" s="440">
        <v>4700615254</v>
      </c>
      <c r="B1402" s="440">
        <v>6100050468</v>
      </c>
      <c r="C1402" s="440" t="s">
        <v>631</v>
      </c>
      <c r="D1402" s="444">
        <v>44401</v>
      </c>
      <c r="E1402" s="445">
        <v>4810</v>
      </c>
      <c r="F1402" s="440">
        <v>1007010001</v>
      </c>
      <c r="G1402" s="440" t="s">
        <v>632</v>
      </c>
    </row>
    <row r="1403" spans="1:7">
      <c r="A1403" s="440">
        <v>4700615254</v>
      </c>
      <c r="B1403" s="440">
        <v>6100050468</v>
      </c>
      <c r="C1403" s="440" t="s">
        <v>631</v>
      </c>
      <c r="D1403" s="444">
        <v>44401</v>
      </c>
      <c r="E1403" s="445">
        <v>46050</v>
      </c>
      <c r="F1403" s="440">
        <v>1007010001</v>
      </c>
      <c r="G1403" s="440" t="s">
        <v>632</v>
      </c>
    </row>
    <row r="1404" spans="1:7">
      <c r="A1404" s="440">
        <v>4700624624</v>
      </c>
      <c r="B1404" s="440">
        <v>6100054831</v>
      </c>
      <c r="C1404" s="440" t="s">
        <v>631</v>
      </c>
      <c r="D1404" s="444">
        <v>44426</v>
      </c>
      <c r="E1404" s="445">
        <v>61637</v>
      </c>
      <c r="F1404" s="440">
        <v>1007010001</v>
      </c>
      <c r="G1404" s="440" t="s">
        <v>632</v>
      </c>
    </row>
    <row r="1405" spans="1:7">
      <c r="A1405" s="440">
        <v>4700630552</v>
      </c>
      <c r="B1405" s="440">
        <v>6100056737</v>
      </c>
      <c r="C1405" s="440" t="s">
        <v>631</v>
      </c>
      <c r="D1405" s="444">
        <v>44435</v>
      </c>
      <c r="E1405" s="445">
        <v>25462</v>
      </c>
      <c r="F1405" s="440">
        <v>1007010001</v>
      </c>
      <c r="G1405" s="440" t="s">
        <v>632</v>
      </c>
    </row>
    <row r="1406" spans="1:7">
      <c r="A1406" s="440">
        <v>4700640990</v>
      </c>
      <c r="B1406" s="440">
        <v>6100061450</v>
      </c>
      <c r="C1406" s="440" t="s">
        <v>631</v>
      </c>
      <c r="D1406" s="444">
        <v>44453</v>
      </c>
      <c r="E1406" s="445">
        <v>30081</v>
      </c>
      <c r="F1406" s="440">
        <v>1007010001</v>
      </c>
      <c r="G1406" s="440" t="s">
        <v>632</v>
      </c>
    </row>
    <row r="1407" spans="1:7">
      <c r="A1407" s="440">
        <v>4700653244</v>
      </c>
      <c r="B1407" s="440">
        <v>6100068441</v>
      </c>
      <c r="C1407" s="440" t="s">
        <v>631</v>
      </c>
      <c r="D1407" s="444">
        <v>44476</v>
      </c>
      <c r="E1407" s="445">
        <v>48293</v>
      </c>
      <c r="F1407" s="440">
        <v>1007010001</v>
      </c>
      <c r="G1407" s="440" t="s">
        <v>632</v>
      </c>
    </row>
    <row r="1408" spans="1:7">
      <c r="A1408" s="440">
        <v>4700654348</v>
      </c>
      <c r="B1408" s="440">
        <v>6100069853</v>
      </c>
      <c r="C1408" s="440" t="s">
        <v>631</v>
      </c>
      <c r="D1408" s="444">
        <v>44479</v>
      </c>
      <c r="E1408" s="445">
        <v>9400</v>
      </c>
      <c r="F1408" s="440">
        <v>1007010001</v>
      </c>
      <c r="G1408" s="440" t="s">
        <v>632</v>
      </c>
    </row>
    <row r="1409" spans="1:7">
      <c r="A1409" s="440">
        <v>4700654348</v>
      </c>
      <c r="B1409" s="440">
        <v>6100069853</v>
      </c>
      <c r="C1409" s="440" t="s">
        <v>631</v>
      </c>
      <c r="D1409" s="444">
        <v>44479</v>
      </c>
      <c r="E1409" s="445">
        <v>3698</v>
      </c>
      <c r="F1409" s="440">
        <v>1007010001</v>
      </c>
      <c r="G1409" s="440" t="s">
        <v>632</v>
      </c>
    </row>
    <row r="1410" spans="1:7">
      <c r="A1410" s="440">
        <v>4700654348</v>
      </c>
      <c r="B1410" s="440">
        <v>6100069853</v>
      </c>
      <c r="C1410" s="440" t="s">
        <v>631</v>
      </c>
      <c r="D1410" s="444">
        <v>44479</v>
      </c>
      <c r="E1410" s="445">
        <v>14705</v>
      </c>
      <c r="F1410" s="440">
        <v>1007010001</v>
      </c>
      <c r="G1410" s="440" t="s">
        <v>632</v>
      </c>
    </row>
    <row r="1411" spans="1:7">
      <c r="A1411" s="440">
        <v>4700654348</v>
      </c>
      <c r="B1411" s="440">
        <v>6100069853</v>
      </c>
      <c r="C1411" s="440" t="s">
        <v>631</v>
      </c>
      <c r="D1411" s="444">
        <v>44479</v>
      </c>
      <c r="E1411" s="445">
        <v>14202</v>
      </c>
      <c r="F1411" s="440">
        <v>1007010001</v>
      </c>
      <c r="G1411" s="440" t="s">
        <v>632</v>
      </c>
    </row>
    <row r="1412" spans="1:7">
      <c r="A1412" s="440">
        <v>4700672637</v>
      </c>
      <c r="B1412" s="440">
        <v>6100086329</v>
      </c>
      <c r="C1412" s="440" t="s">
        <v>631</v>
      </c>
      <c r="D1412" s="444">
        <v>44523</v>
      </c>
      <c r="E1412" s="445">
        <v>48589</v>
      </c>
      <c r="F1412" s="440">
        <v>1007010001</v>
      </c>
      <c r="G1412" s="440" t="s">
        <v>632</v>
      </c>
    </row>
    <row r="1413" spans="1:7">
      <c r="A1413" s="440">
        <v>4700689237</v>
      </c>
      <c r="B1413" s="440">
        <v>6100097828</v>
      </c>
      <c r="C1413" s="440" t="s">
        <v>631</v>
      </c>
      <c r="D1413" s="444">
        <v>44554</v>
      </c>
      <c r="E1413" s="445">
        <v>45046</v>
      </c>
      <c r="F1413" s="440">
        <v>1007010001</v>
      </c>
      <c r="G1413" s="440" t="s">
        <v>632</v>
      </c>
    </row>
    <row r="1414" spans="1:7">
      <c r="A1414" s="440">
        <v>4700378349</v>
      </c>
      <c r="B1414" s="440">
        <v>6100004359</v>
      </c>
      <c r="C1414" s="440" t="s">
        <v>631</v>
      </c>
      <c r="D1414" s="444">
        <v>43843</v>
      </c>
      <c r="E1414" s="445">
        <v>40000</v>
      </c>
      <c r="F1414" s="440">
        <v>1007010002</v>
      </c>
      <c r="G1414" s="440" t="s">
        <v>632</v>
      </c>
    </row>
    <row r="1415" spans="1:7">
      <c r="A1415" s="440">
        <v>4700384082</v>
      </c>
      <c r="B1415" s="440">
        <v>6100008490</v>
      </c>
      <c r="C1415" s="440" t="s">
        <v>631</v>
      </c>
      <c r="D1415" s="444">
        <v>43855</v>
      </c>
      <c r="E1415" s="445">
        <v>40000</v>
      </c>
      <c r="F1415" s="440">
        <v>1007010002</v>
      </c>
      <c r="G1415" s="440" t="s">
        <v>632</v>
      </c>
    </row>
    <row r="1416" spans="1:7">
      <c r="A1416" s="440">
        <v>4700387465</v>
      </c>
      <c r="B1416" s="440">
        <v>6100009896</v>
      </c>
      <c r="C1416" s="440" t="s">
        <v>631</v>
      </c>
      <c r="D1416" s="444">
        <v>43860</v>
      </c>
      <c r="E1416" s="445">
        <v>40000</v>
      </c>
      <c r="F1416" s="440">
        <v>1007010002</v>
      </c>
      <c r="G1416" s="440" t="s">
        <v>632</v>
      </c>
    </row>
    <row r="1417" spans="1:7">
      <c r="A1417" s="440">
        <v>4700390877</v>
      </c>
      <c r="B1417" s="440">
        <v>6100012173</v>
      </c>
      <c r="C1417" s="440" t="s">
        <v>631</v>
      </c>
      <c r="D1417" s="444">
        <v>43868</v>
      </c>
      <c r="E1417" s="445">
        <v>40000</v>
      </c>
      <c r="F1417" s="440">
        <v>1007010002</v>
      </c>
      <c r="G1417" s="440" t="s">
        <v>632</v>
      </c>
    </row>
    <row r="1418" spans="1:7">
      <c r="A1418" s="440">
        <v>4700394636</v>
      </c>
      <c r="B1418" s="440">
        <v>6100014744</v>
      </c>
      <c r="C1418" s="440" t="s">
        <v>631</v>
      </c>
      <c r="D1418" s="444">
        <v>43876</v>
      </c>
      <c r="E1418" s="445">
        <v>40000</v>
      </c>
      <c r="F1418" s="440">
        <v>1007010002</v>
      </c>
      <c r="G1418" s="440" t="s">
        <v>632</v>
      </c>
    </row>
    <row r="1419" spans="1:7">
      <c r="A1419" s="440">
        <v>4700398190</v>
      </c>
      <c r="B1419" s="440">
        <v>6100016522</v>
      </c>
      <c r="C1419" s="440" t="s">
        <v>631</v>
      </c>
      <c r="D1419" s="444">
        <v>43882</v>
      </c>
      <c r="E1419" s="445">
        <v>40000</v>
      </c>
      <c r="F1419" s="440">
        <v>1007010002</v>
      </c>
      <c r="G1419" s="440" t="s">
        <v>632</v>
      </c>
    </row>
    <row r="1420" spans="1:7">
      <c r="A1420" s="440">
        <v>4700401691</v>
      </c>
      <c r="B1420" s="440">
        <v>6100018600</v>
      </c>
      <c r="C1420" s="440" t="s">
        <v>631</v>
      </c>
      <c r="D1420" s="444">
        <v>43889</v>
      </c>
      <c r="E1420" s="445">
        <v>40000</v>
      </c>
      <c r="F1420" s="440">
        <v>1007010002</v>
      </c>
      <c r="G1420" s="440" t="s">
        <v>632</v>
      </c>
    </row>
    <row r="1421" spans="1:7">
      <c r="A1421" s="440">
        <v>4700404335</v>
      </c>
      <c r="B1421" s="440">
        <v>6100021401</v>
      </c>
      <c r="C1421" s="440" t="s">
        <v>631</v>
      </c>
      <c r="D1421" s="444">
        <v>43897</v>
      </c>
      <c r="E1421" s="445">
        <v>40000</v>
      </c>
      <c r="F1421" s="440">
        <v>1007010002</v>
      </c>
      <c r="G1421" s="440" t="s">
        <v>632</v>
      </c>
    </row>
    <row r="1422" spans="1:7">
      <c r="A1422" s="440">
        <v>4700409539</v>
      </c>
      <c r="B1422" s="440">
        <v>6100024127</v>
      </c>
      <c r="C1422" s="440" t="s">
        <v>631</v>
      </c>
      <c r="D1422" s="444">
        <v>43904</v>
      </c>
      <c r="E1422" s="445">
        <v>40000</v>
      </c>
      <c r="F1422" s="440">
        <v>1007010002</v>
      </c>
      <c r="G1422" s="440" t="s">
        <v>632</v>
      </c>
    </row>
    <row r="1423" spans="1:7">
      <c r="A1423" s="440">
        <v>4700412322</v>
      </c>
      <c r="B1423" s="440">
        <v>6100027614</v>
      </c>
      <c r="C1423" s="440" t="s">
        <v>631</v>
      </c>
      <c r="D1423" s="444">
        <v>43914</v>
      </c>
      <c r="E1423" s="445">
        <v>40000</v>
      </c>
      <c r="F1423" s="440">
        <v>1007010002</v>
      </c>
      <c r="G1423" s="440" t="s">
        <v>632</v>
      </c>
    </row>
    <row r="1424" spans="1:7">
      <c r="A1424" s="440">
        <v>4700414912</v>
      </c>
      <c r="B1424" s="440">
        <v>6100031651</v>
      </c>
      <c r="C1424" s="440" t="s">
        <v>631</v>
      </c>
      <c r="D1424" s="444">
        <v>43925</v>
      </c>
      <c r="E1424" s="445">
        <v>80000</v>
      </c>
      <c r="F1424" s="440">
        <v>1007010002</v>
      </c>
      <c r="G1424" s="440" t="s">
        <v>632</v>
      </c>
    </row>
    <row r="1425" spans="1:7">
      <c r="A1425" s="440">
        <v>4700431777</v>
      </c>
      <c r="B1425" s="440">
        <v>6100056517</v>
      </c>
      <c r="C1425" s="440" t="s">
        <v>631</v>
      </c>
      <c r="D1425" s="444">
        <v>43995</v>
      </c>
      <c r="E1425" s="445">
        <v>268500</v>
      </c>
      <c r="F1425" s="440">
        <v>1007010002</v>
      </c>
      <c r="G1425" s="440" t="s">
        <v>632</v>
      </c>
    </row>
    <row r="1426" spans="1:7">
      <c r="A1426" s="440">
        <v>4700431777</v>
      </c>
      <c r="B1426" s="440">
        <v>6100056517</v>
      </c>
      <c r="C1426" s="440" t="s">
        <v>631</v>
      </c>
      <c r="D1426" s="444">
        <v>43995</v>
      </c>
      <c r="E1426" s="445">
        <v>6800</v>
      </c>
      <c r="F1426" s="440">
        <v>1007010002</v>
      </c>
      <c r="G1426" s="440" t="s">
        <v>632</v>
      </c>
    </row>
    <row r="1427" spans="1:7">
      <c r="A1427" s="440">
        <v>4700431777</v>
      </c>
      <c r="B1427" s="440">
        <v>6100056517</v>
      </c>
      <c r="C1427" s="440" t="s">
        <v>631</v>
      </c>
      <c r="D1427" s="444">
        <v>43995</v>
      </c>
      <c r="E1427" s="445">
        <v>19800</v>
      </c>
      <c r="F1427" s="440">
        <v>1007010002</v>
      </c>
      <c r="G1427" s="440" t="s">
        <v>632</v>
      </c>
    </row>
    <row r="1428" spans="1:7">
      <c r="A1428" s="440">
        <v>4700431777</v>
      </c>
      <c r="B1428" s="440">
        <v>6100056517</v>
      </c>
      <c r="C1428" s="440" t="s">
        <v>631</v>
      </c>
      <c r="D1428" s="444">
        <v>43995</v>
      </c>
      <c r="E1428" s="445">
        <v>16000</v>
      </c>
      <c r="F1428" s="440">
        <v>1007010002</v>
      </c>
      <c r="G1428" s="440" t="s">
        <v>632</v>
      </c>
    </row>
    <row r="1429" spans="1:7">
      <c r="A1429" s="440">
        <v>4700431777</v>
      </c>
      <c r="B1429" s="440">
        <v>6100056517</v>
      </c>
      <c r="C1429" s="440" t="s">
        <v>631</v>
      </c>
      <c r="D1429" s="444">
        <v>43995</v>
      </c>
      <c r="E1429" s="445">
        <v>27600</v>
      </c>
      <c r="F1429" s="440">
        <v>1007010002</v>
      </c>
      <c r="G1429" s="440" t="s">
        <v>632</v>
      </c>
    </row>
    <row r="1430" spans="1:7">
      <c r="A1430" s="440">
        <v>4700431777</v>
      </c>
      <c r="B1430" s="440">
        <v>6100056517</v>
      </c>
      <c r="C1430" s="440" t="s">
        <v>631</v>
      </c>
      <c r="D1430" s="444">
        <v>43995</v>
      </c>
      <c r="E1430" s="445">
        <v>11000</v>
      </c>
      <c r="F1430" s="440">
        <v>1007010002</v>
      </c>
      <c r="G1430" s="440" t="s">
        <v>632</v>
      </c>
    </row>
    <row r="1431" spans="1:7">
      <c r="A1431" s="440">
        <v>4700431777</v>
      </c>
      <c r="B1431" s="440">
        <v>6100056517</v>
      </c>
      <c r="C1431" s="440" t="s">
        <v>631</v>
      </c>
      <c r="D1431" s="444">
        <v>43995</v>
      </c>
      <c r="E1431" s="445">
        <v>21849</v>
      </c>
      <c r="F1431" s="440">
        <v>1007010002</v>
      </c>
      <c r="G1431" s="440" t="s">
        <v>632</v>
      </c>
    </row>
    <row r="1432" spans="1:7">
      <c r="A1432" s="440">
        <v>4700431777</v>
      </c>
      <c r="B1432" s="440">
        <v>6100056517</v>
      </c>
      <c r="C1432" s="440" t="s">
        <v>631</v>
      </c>
      <c r="D1432" s="444">
        <v>43995</v>
      </c>
      <c r="E1432" s="445">
        <v>13865</v>
      </c>
      <c r="F1432" s="440">
        <v>1007010002</v>
      </c>
      <c r="G1432" s="440" t="s">
        <v>632</v>
      </c>
    </row>
    <row r="1433" spans="1:7">
      <c r="A1433" s="440">
        <v>4700431777</v>
      </c>
      <c r="B1433" s="440">
        <v>6100056517</v>
      </c>
      <c r="C1433" s="440" t="s">
        <v>631</v>
      </c>
      <c r="D1433" s="444">
        <v>43995</v>
      </c>
      <c r="E1433" s="445">
        <v>33737</v>
      </c>
      <c r="F1433" s="440">
        <v>1007010002</v>
      </c>
      <c r="G1433" s="440" t="s">
        <v>632</v>
      </c>
    </row>
    <row r="1434" spans="1:7">
      <c r="A1434" s="440">
        <v>4700431777</v>
      </c>
      <c r="B1434" s="440">
        <v>6100056517</v>
      </c>
      <c r="C1434" s="440" t="s">
        <v>631</v>
      </c>
      <c r="D1434" s="444">
        <v>43995</v>
      </c>
      <c r="E1434" s="445">
        <v>5882</v>
      </c>
      <c r="F1434" s="440">
        <v>1007010002</v>
      </c>
      <c r="G1434" s="440" t="s">
        <v>632</v>
      </c>
    </row>
    <row r="1435" spans="1:7">
      <c r="A1435" s="440">
        <v>4700431777</v>
      </c>
      <c r="B1435" s="440">
        <v>6100056517</v>
      </c>
      <c r="C1435" s="440" t="s">
        <v>631</v>
      </c>
      <c r="D1435" s="444">
        <v>43995</v>
      </c>
      <c r="E1435" s="445">
        <v>7700</v>
      </c>
      <c r="F1435" s="440">
        <v>1007010002</v>
      </c>
      <c r="G1435" s="440" t="s">
        <v>632</v>
      </c>
    </row>
    <row r="1436" spans="1:7">
      <c r="A1436" s="440">
        <v>4700431777</v>
      </c>
      <c r="B1436" s="440">
        <v>6100056517</v>
      </c>
      <c r="C1436" s="440" t="s">
        <v>631</v>
      </c>
      <c r="D1436" s="444">
        <v>43995</v>
      </c>
      <c r="E1436" s="445">
        <v>7100</v>
      </c>
      <c r="F1436" s="440">
        <v>1007010002</v>
      </c>
      <c r="G1436" s="440" t="s">
        <v>632</v>
      </c>
    </row>
    <row r="1437" spans="1:7">
      <c r="A1437" s="440">
        <v>4700431777</v>
      </c>
      <c r="B1437" s="440">
        <v>6100056517</v>
      </c>
      <c r="C1437" s="440" t="s">
        <v>631</v>
      </c>
      <c r="D1437" s="444">
        <v>43995</v>
      </c>
      <c r="E1437" s="445">
        <v>40545</v>
      </c>
      <c r="F1437" s="440">
        <v>1007010002</v>
      </c>
      <c r="G1437" s="440" t="s">
        <v>632</v>
      </c>
    </row>
    <row r="1438" spans="1:7">
      <c r="A1438" s="440">
        <v>4700491579</v>
      </c>
      <c r="B1438" s="440">
        <v>6100106085</v>
      </c>
      <c r="C1438" s="440" t="s">
        <v>631</v>
      </c>
      <c r="D1438" s="444">
        <v>44134</v>
      </c>
      <c r="E1438" s="445">
        <v>45000</v>
      </c>
      <c r="F1438" s="440">
        <v>1007010002</v>
      </c>
      <c r="G1438" s="440" t="s">
        <v>632</v>
      </c>
    </row>
    <row r="1439" spans="1:7">
      <c r="A1439" s="440">
        <v>4700491579</v>
      </c>
      <c r="B1439" s="440">
        <v>6100106086</v>
      </c>
      <c r="C1439" s="440" t="s">
        <v>631</v>
      </c>
      <c r="D1439" s="444">
        <v>44134</v>
      </c>
      <c r="E1439" s="445">
        <v>45000</v>
      </c>
      <c r="F1439" s="440">
        <v>1007010002</v>
      </c>
      <c r="G1439" s="440" t="s">
        <v>632</v>
      </c>
    </row>
    <row r="1440" spans="1:7">
      <c r="A1440" s="440">
        <v>4700502441</v>
      </c>
      <c r="B1440" s="440">
        <v>6100120375</v>
      </c>
      <c r="C1440" s="440" t="s">
        <v>631</v>
      </c>
      <c r="D1440" s="444">
        <v>44156</v>
      </c>
      <c r="E1440" s="445">
        <v>45000</v>
      </c>
      <c r="F1440" s="440">
        <v>1007010002</v>
      </c>
      <c r="G1440" s="440" t="s">
        <v>632</v>
      </c>
    </row>
    <row r="1441" spans="1:7">
      <c r="A1441" s="440">
        <v>4700502441</v>
      </c>
      <c r="B1441" s="440">
        <v>6100120376</v>
      </c>
      <c r="C1441" s="440" t="s">
        <v>631</v>
      </c>
      <c r="D1441" s="444">
        <v>44156</v>
      </c>
      <c r="E1441" s="445">
        <v>45000</v>
      </c>
      <c r="F1441" s="440">
        <v>1007010002</v>
      </c>
      <c r="G1441" s="440" t="s">
        <v>632</v>
      </c>
    </row>
    <row r="1442" spans="1:7">
      <c r="A1442" s="440">
        <v>4700509667</v>
      </c>
      <c r="B1442" s="440">
        <v>6100129426</v>
      </c>
      <c r="C1442" s="440" t="s">
        <v>631</v>
      </c>
      <c r="D1442" s="444">
        <v>44169</v>
      </c>
      <c r="E1442" s="445">
        <v>45000</v>
      </c>
      <c r="F1442" s="440">
        <v>1007010002</v>
      </c>
      <c r="G1442" s="440" t="s">
        <v>632</v>
      </c>
    </row>
    <row r="1443" spans="1:7">
      <c r="A1443" s="440">
        <v>4700509667</v>
      </c>
      <c r="B1443" s="440">
        <v>6100129427</v>
      </c>
      <c r="C1443" s="440" t="s">
        <v>631</v>
      </c>
      <c r="D1443" s="444">
        <v>44169</v>
      </c>
      <c r="E1443" s="445">
        <v>45000</v>
      </c>
      <c r="F1443" s="440">
        <v>1007010002</v>
      </c>
      <c r="G1443" s="440" t="s">
        <v>632</v>
      </c>
    </row>
    <row r="1444" spans="1:7">
      <c r="A1444" s="440">
        <v>4700514164</v>
      </c>
      <c r="B1444" s="440">
        <v>6100138743</v>
      </c>
      <c r="C1444" s="440" t="s">
        <v>631</v>
      </c>
      <c r="D1444" s="444">
        <v>44184</v>
      </c>
      <c r="E1444" s="445">
        <v>45000</v>
      </c>
      <c r="F1444" s="440">
        <v>1007010002</v>
      </c>
      <c r="G1444" s="440" t="s">
        <v>632</v>
      </c>
    </row>
    <row r="1445" spans="1:7">
      <c r="A1445" s="440">
        <v>4700514164</v>
      </c>
      <c r="B1445" s="440">
        <v>6100138745</v>
      </c>
      <c r="C1445" s="440" t="s">
        <v>631</v>
      </c>
      <c r="D1445" s="444">
        <v>44184</v>
      </c>
      <c r="E1445" s="445">
        <v>45000</v>
      </c>
      <c r="F1445" s="440">
        <v>1007010002</v>
      </c>
      <c r="G1445" s="440" t="s">
        <v>632</v>
      </c>
    </row>
    <row r="1446" spans="1:7">
      <c r="A1446" s="440">
        <v>4700514164</v>
      </c>
      <c r="B1446" s="440">
        <v>6100138748</v>
      </c>
      <c r="C1446" s="440" t="s">
        <v>631</v>
      </c>
      <c r="D1446" s="444">
        <v>44184</v>
      </c>
      <c r="E1446" s="445">
        <v>45000</v>
      </c>
      <c r="F1446" s="440">
        <v>1007010002</v>
      </c>
      <c r="G1446" s="440" t="s">
        <v>632</v>
      </c>
    </row>
    <row r="1447" spans="1:7">
      <c r="A1447" s="440">
        <v>4700528401</v>
      </c>
      <c r="B1447" s="440">
        <v>6100006470</v>
      </c>
      <c r="C1447" s="440" t="s">
        <v>631</v>
      </c>
      <c r="D1447" s="444">
        <v>44212</v>
      </c>
      <c r="E1447" s="445">
        <v>90000</v>
      </c>
      <c r="F1447" s="440">
        <v>1007010002</v>
      </c>
      <c r="G1447" s="440" t="s">
        <v>632</v>
      </c>
    </row>
    <row r="1448" spans="1:7">
      <c r="A1448" s="440">
        <v>4700528401</v>
      </c>
      <c r="B1448" s="440">
        <v>6100006472</v>
      </c>
      <c r="C1448" s="440" t="s">
        <v>631</v>
      </c>
      <c r="D1448" s="444">
        <v>44212</v>
      </c>
      <c r="E1448" s="445">
        <v>45000</v>
      </c>
      <c r="F1448" s="440">
        <v>1007010002</v>
      </c>
      <c r="G1448" s="440" t="s">
        <v>632</v>
      </c>
    </row>
    <row r="1449" spans="1:7">
      <c r="A1449" s="440">
        <v>4700528665</v>
      </c>
      <c r="B1449" s="440">
        <v>6100008153</v>
      </c>
      <c r="C1449" s="440" t="s">
        <v>631</v>
      </c>
      <c r="D1449" s="444">
        <v>44216</v>
      </c>
      <c r="E1449" s="445">
        <v>40120</v>
      </c>
      <c r="F1449" s="440">
        <v>1007010002</v>
      </c>
      <c r="G1449" s="440" t="s">
        <v>632</v>
      </c>
    </row>
    <row r="1450" spans="1:7">
      <c r="A1450" s="440">
        <v>4700534697</v>
      </c>
      <c r="B1450" s="440">
        <v>6100012251</v>
      </c>
      <c r="C1450" s="440" t="s">
        <v>631</v>
      </c>
      <c r="D1450" s="444">
        <v>44226</v>
      </c>
      <c r="E1450" s="445">
        <v>45000</v>
      </c>
      <c r="F1450" s="440">
        <v>1007010002</v>
      </c>
      <c r="G1450" s="440" t="s">
        <v>632</v>
      </c>
    </row>
    <row r="1451" spans="1:7">
      <c r="A1451" s="440">
        <v>4700540184</v>
      </c>
      <c r="B1451" s="440">
        <v>6100016116</v>
      </c>
      <c r="C1451" s="440" t="s">
        <v>631</v>
      </c>
      <c r="D1451" s="444">
        <v>44238</v>
      </c>
      <c r="E1451" s="445">
        <v>49359</v>
      </c>
      <c r="F1451" s="440">
        <v>1007010002</v>
      </c>
      <c r="G1451" s="440" t="s">
        <v>632</v>
      </c>
    </row>
    <row r="1452" spans="1:7">
      <c r="A1452" s="440">
        <v>4700542492</v>
      </c>
      <c r="B1452" s="440">
        <v>6100017568</v>
      </c>
      <c r="C1452" s="440" t="s">
        <v>631</v>
      </c>
      <c r="D1452" s="444">
        <v>44242</v>
      </c>
      <c r="E1452" s="445">
        <v>45000</v>
      </c>
      <c r="F1452" s="440">
        <v>1007010002</v>
      </c>
      <c r="G1452" s="440" t="s">
        <v>632</v>
      </c>
    </row>
    <row r="1453" spans="1:7">
      <c r="A1453" s="440">
        <v>4700542492</v>
      </c>
      <c r="B1453" s="440">
        <v>6100017573</v>
      </c>
      <c r="C1453" s="440" t="s">
        <v>631</v>
      </c>
      <c r="D1453" s="444">
        <v>44242</v>
      </c>
      <c r="E1453" s="445">
        <v>45000</v>
      </c>
      <c r="F1453" s="440">
        <v>1007010002</v>
      </c>
      <c r="G1453" s="440" t="s">
        <v>632</v>
      </c>
    </row>
    <row r="1454" spans="1:7">
      <c r="A1454" s="440">
        <v>4700547565</v>
      </c>
      <c r="B1454" s="440">
        <v>6100020994</v>
      </c>
      <c r="C1454" s="440" t="s">
        <v>631</v>
      </c>
      <c r="D1454" s="444">
        <v>44253</v>
      </c>
      <c r="E1454" s="445">
        <v>45000</v>
      </c>
      <c r="F1454" s="440">
        <v>1007010002</v>
      </c>
      <c r="G1454" s="440" t="s">
        <v>632</v>
      </c>
    </row>
    <row r="1455" spans="1:7">
      <c r="A1455" s="440">
        <v>4700554694</v>
      </c>
      <c r="B1455" s="440">
        <v>6100023966</v>
      </c>
      <c r="C1455" s="440" t="s">
        <v>631</v>
      </c>
      <c r="D1455" s="444">
        <v>44264</v>
      </c>
      <c r="E1455" s="445">
        <v>63299</v>
      </c>
      <c r="F1455" s="440">
        <v>1007010002</v>
      </c>
      <c r="G1455" s="440" t="s">
        <v>632</v>
      </c>
    </row>
    <row r="1456" spans="1:7">
      <c r="A1456" s="440">
        <v>4700555083</v>
      </c>
      <c r="B1456" s="440">
        <v>6100024288</v>
      </c>
      <c r="C1456" s="440" t="s">
        <v>631</v>
      </c>
      <c r="D1456" s="444">
        <v>44266</v>
      </c>
      <c r="E1456" s="445">
        <v>45000</v>
      </c>
      <c r="F1456" s="440">
        <v>1007010002</v>
      </c>
      <c r="G1456" s="440" t="s">
        <v>632</v>
      </c>
    </row>
    <row r="1457" spans="1:7">
      <c r="A1457" s="440">
        <v>4700555083</v>
      </c>
      <c r="B1457" s="440">
        <v>6100024290</v>
      </c>
      <c r="C1457" s="440" t="s">
        <v>631</v>
      </c>
      <c r="D1457" s="444">
        <v>44266</v>
      </c>
      <c r="E1457" s="445">
        <v>45000</v>
      </c>
      <c r="F1457" s="440">
        <v>1007010002</v>
      </c>
      <c r="G1457" s="440" t="s">
        <v>632</v>
      </c>
    </row>
    <row r="1458" spans="1:7">
      <c r="A1458" s="440">
        <v>4700561007</v>
      </c>
      <c r="B1458" s="440">
        <v>6100027757</v>
      </c>
      <c r="C1458" s="440" t="s">
        <v>631</v>
      </c>
      <c r="D1458" s="444">
        <v>44281</v>
      </c>
      <c r="E1458" s="445">
        <v>45000</v>
      </c>
      <c r="F1458" s="440">
        <v>1007010002</v>
      </c>
      <c r="G1458" s="440" t="s">
        <v>632</v>
      </c>
    </row>
    <row r="1459" spans="1:7">
      <c r="A1459" s="440">
        <v>4700561007</v>
      </c>
      <c r="B1459" s="440">
        <v>6100027758</v>
      </c>
      <c r="C1459" s="440" t="s">
        <v>631</v>
      </c>
      <c r="D1459" s="444">
        <v>44281</v>
      </c>
      <c r="E1459" s="445">
        <v>45000</v>
      </c>
      <c r="F1459" s="440">
        <v>1007010002</v>
      </c>
      <c r="G1459" s="440" t="s">
        <v>632</v>
      </c>
    </row>
    <row r="1460" spans="1:7">
      <c r="A1460" s="440">
        <v>4700566810</v>
      </c>
      <c r="B1460" s="440">
        <v>6100029785</v>
      </c>
      <c r="C1460" s="440" t="s">
        <v>631</v>
      </c>
      <c r="D1460" s="444">
        <v>44292</v>
      </c>
      <c r="E1460" s="445">
        <v>45000</v>
      </c>
      <c r="F1460" s="440">
        <v>1007010002</v>
      </c>
      <c r="G1460" s="440" t="s">
        <v>632</v>
      </c>
    </row>
    <row r="1461" spans="1:7">
      <c r="A1461" s="440">
        <v>4700566810</v>
      </c>
      <c r="B1461" s="440">
        <v>6100029786</v>
      </c>
      <c r="C1461" s="440" t="s">
        <v>631</v>
      </c>
      <c r="D1461" s="444">
        <v>44292</v>
      </c>
      <c r="E1461" s="445">
        <v>45000</v>
      </c>
      <c r="F1461" s="440">
        <v>1007010002</v>
      </c>
      <c r="G1461" s="440" t="s">
        <v>632</v>
      </c>
    </row>
    <row r="1462" spans="1:7">
      <c r="A1462" s="440">
        <v>4700569713</v>
      </c>
      <c r="B1462" s="440">
        <v>6100031361</v>
      </c>
      <c r="C1462" s="440" t="s">
        <v>631</v>
      </c>
      <c r="D1462" s="444">
        <v>44299</v>
      </c>
      <c r="E1462" s="445">
        <v>21855</v>
      </c>
      <c r="F1462" s="440">
        <v>1007010002</v>
      </c>
      <c r="G1462" s="440" t="s">
        <v>632</v>
      </c>
    </row>
    <row r="1463" spans="1:7">
      <c r="A1463" s="440">
        <v>4700573312</v>
      </c>
      <c r="B1463" s="440">
        <v>6100033791</v>
      </c>
      <c r="C1463" s="440" t="s">
        <v>631</v>
      </c>
      <c r="D1463" s="444">
        <v>44310</v>
      </c>
      <c r="E1463" s="445">
        <v>45000</v>
      </c>
      <c r="F1463" s="440">
        <v>1007010002</v>
      </c>
      <c r="G1463" s="440" t="s">
        <v>632</v>
      </c>
    </row>
    <row r="1464" spans="1:7">
      <c r="A1464" s="440">
        <v>4700573312</v>
      </c>
      <c r="B1464" s="440">
        <v>6100033792</v>
      </c>
      <c r="C1464" s="440" t="s">
        <v>631</v>
      </c>
      <c r="D1464" s="444">
        <v>44310</v>
      </c>
      <c r="E1464" s="445">
        <v>45000</v>
      </c>
      <c r="F1464" s="440">
        <v>1007010002</v>
      </c>
      <c r="G1464" s="440" t="s">
        <v>632</v>
      </c>
    </row>
    <row r="1465" spans="1:7">
      <c r="A1465" s="440">
        <v>4700580139</v>
      </c>
      <c r="B1465" s="440">
        <v>6100036219</v>
      </c>
      <c r="C1465" s="440" t="s">
        <v>631</v>
      </c>
      <c r="D1465" s="444">
        <v>44322</v>
      </c>
      <c r="E1465" s="445">
        <v>28815</v>
      </c>
      <c r="F1465" s="440">
        <v>1007010002</v>
      </c>
      <c r="G1465" s="440" t="s">
        <v>632</v>
      </c>
    </row>
    <row r="1466" spans="1:7">
      <c r="A1466" s="440">
        <v>4700582627</v>
      </c>
      <c r="B1466" s="440">
        <v>6100038516</v>
      </c>
      <c r="C1466" s="440" t="s">
        <v>631</v>
      </c>
      <c r="D1466" s="444">
        <v>44332</v>
      </c>
      <c r="E1466" s="445">
        <v>45000</v>
      </c>
      <c r="F1466" s="440">
        <v>1007010002</v>
      </c>
      <c r="G1466" s="440" t="s">
        <v>632</v>
      </c>
    </row>
    <row r="1467" spans="1:7">
      <c r="A1467" s="440">
        <v>4700582627</v>
      </c>
      <c r="B1467" s="440">
        <v>6100038517</v>
      </c>
      <c r="C1467" s="440" t="s">
        <v>631</v>
      </c>
      <c r="D1467" s="444">
        <v>44332</v>
      </c>
      <c r="E1467" s="445">
        <v>45000</v>
      </c>
      <c r="F1467" s="440">
        <v>1007010002</v>
      </c>
      <c r="G1467" s="440" t="s">
        <v>632</v>
      </c>
    </row>
    <row r="1468" spans="1:7">
      <c r="A1468" s="440">
        <v>4700582627</v>
      </c>
      <c r="B1468" s="440">
        <v>6100038518</v>
      </c>
      <c r="C1468" s="440" t="s">
        <v>631</v>
      </c>
      <c r="D1468" s="444">
        <v>44332</v>
      </c>
      <c r="E1468" s="445">
        <v>45000</v>
      </c>
      <c r="F1468" s="440">
        <v>1007010002</v>
      </c>
      <c r="G1468" s="440" t="s">
        <v>632</v>
      </c>
    </row>
    <row r="1469" spans="1:7">
      <c r="A1469" s="440">
        <v>4700582627</v>
      </c>
      <c r="B1469" s="440">
        <v>6100038520</v>
      </c>
      <c r="C1469" s="440" t="s">
        <v>631</v>
      </c>
      <c r="D1469" s="444">
        <v>44332</v>
      </c>
      <c r="E1469" s="445">
        <v>45000</v>
      </c>
      <c r="F1469" s="440">
        <v>1007010002</v>
      </c>
      <c r="G1469" s="440" t="s">
        <v>632</v>
      </c>
    </row>
    <row r="1470" spans="1:7">
      <c r="A1470" s="440">
        <v>4700588531</v>
      </c>
      <c r="B1470" s="440">
        <v>6100041379</v>
      </c>
      <c r="C1470" s="440" t="s">
        <v>631</v>
      </c>
      <c r="D1470" s="444">
        <v>44348</v>
      </c>
      <c r="E1470" s="445">
        <v>45000</v>
      </c>
      <c r="F1470" s="440">
        <v>1007010002</v>
      </c>
      <c r="G1470" s="440" t="s">
        <v>632</v>
      </c>
    </row>
    <row r="1471" spans="1:7">
      <c r="A1471" s="440">
        <v>4700588531</v>
      </c>
      <c r="B1471" s="440">
        <v>6100041380</v>
      </c>
      <c r="C1471" s="440" t="s">
        <v>631</v>
      </c>
      <c r="D1471" s="444">
        <v>44348</v>
      </c>
      <c r="E1471" s="445">
        <v>45000</v>
      </c>
      <c r="F1471" s="440">
        <v>1007010002</v>
      </c>
      <c r="G1471" s="440" t="s">
        <v>632</v>
      </c>
    </row>
    <row r="1472" spans="1:7">
      <c r="A1472" s="440">
        <v>4700593904</v>
      </c>
      <c r="B1472" s="440">
        <v>6100043282</v>
      </c>
      <c r="C1472" s="440" t="s">
        <v>631</v>
      </c>
      <c r="D1472" s="444">
        <v>44360</v>
      </c>
      <c r="E1472" s="445">
        <v>40842</v>
      </c>
      <c r="F1472" s="440">
        <v>1007010002</v>
      </c>
      <c r="G1472" s="440" t="s">
        <v>632</v>
      </c>
    </row>
    <row r="1473" spans="1:7">
      <c r="A1473" s="440">
        <v>4700594754</v>
      </c>
      <c r="B1473" s="440">
        <v>6100043834</v>
      </c>
      <c r="C1473" s="440" t="s">
        <v>631</v>
      </c>
      <c r="D1473" s="444">
        <v>44364</v>
      </c>
      <c r="E1473" s="445">
        <v>45000</v>
      </c>
      <c r="F1473" s="440">
        <v>1007010002</v>
      </c>
      <c r="G1473" s="440" t="s">
        <v>632</v>
      </c>
    </row>
    <row r="1474" spans="1:7">
      <c r="A1474" s="440">
        <v>4700594754</v>
      </c>
      <c r="B1474" s="440">
        <v>6100043835</v>
      </c>
      <c r="C1474" s="440" t="s">
        <v>631</v>
      </c>
      <c r="D1474" s="444">
        <v>44364</v>
      </c>
      <c r="E1474" s="445">
        <v>45000</v>
      </c>
      <c r="F1474" s="440">
        <v>1007010002</v>
      </c>
      <c r="G1474" s="440" t="s">
        <v>632</v>
      </c>
    </row>
    <row r="1475" spans="1:7">
      <c r="A1475" s="440">
        <v>4700604046</v>
      </c>
      <c r="B1475" s="440">
        <v>6100047080</v>
      </c>
      <c r="C1475" s="440" t="s">
        <v>631</v>
      </c>
      <c r="D1475" s="444">
        <v>44385</v>
      </c>
      <c r="E1475" s="445">
        <v>45000</v>
      </c>
      <c r="F1475" s="440">
        <v>1007010002</v>
      </c>
      <c r="G1475" s="440" t="s">
        <v>632</v>
      </c>
    </row>
    <row r="1476" spans="1:7">
      <c r="A1476" s="440">
        <v>4700604046</v>
      </c>
      <c r="B1476" s="440">
        <v>6100047081</v>
      </c>
      <c r="C1476" s="440" t="s">
        <v>631</v>
      </c>
      <c r="D1476" s="444">
        <v>44385</v>
      </c>
      <c r="E1476" s="445">
        <v>45000</v>
      </c>
      <c r="F1476" s="440">
        <v>1007010002</v>
      </c>
      <c r="G1476" s="440" t="s">
        <v>632</v>
      </c>
    </row>
    <row r="1477" spans="1:7">
      <c r="A1477" s="440">
        <v>4700607069</v>
      </c>
      <c r="B1477" s="440">
        <v>6100047299</v>
      </c>
      <c r="C1477" s="440" t="s">
        <v>631</v>
      </c>
      <c r="D1477" s="444">
        <v>44385</v>
      </c>
      <c r="E1477" s="445">
        <v>38041</v>
      </c>
      <c r="F1477" s="440">
        <v>1007010002</v>
      </c>
      <c r="G1477" s="440" t="s">
        <v>632</v>
      </c>
    </row>
    <row r="1478" spans="1:7">
      <c r="A1478" s="440">
        <v>4700611844</v>
      </c>
      <c r="B1478" s="440">
        <v>6100049780</v>
      </c>
      <c r="C1478" s="440" t="s">
        <v>631</v>
      </c>
      <c r="D1478" s="444">
        <v>44399</v>
      </c>
      <c r="E1478" s="445">
        <v>45000</v>
      </c>
      <c r="F1478" s="440">
        <v>1007010002</v>
      </c>
      <c r="G1478" s="440" t="s">
        <v>632</v>
      </c>
    </row>
    <row r="1479" spans="1:7">
      <c r="A1479" s="440">
        <v>4700619428</v>
      </c>
      <c r="B1479" s="440">
        <v>6100051967</v>
      </c>
      <c r="C1479" s="440" t="s">
        <v>631</v>
      </c>
      <c r="D1479" s="444">
        <v>44410</v>
      </c>
      <c r="E1479" s="445">
        <v>45000</v>
      </c>
      <c r="F1479" s="440">
        <v>1007010002</v>
      </c>
      <c r="G1479" s="440" t="s">
        <v>632</v>
      </c>
    </row>
    <row r="1480" spans="1:7">
      <c r="A1480" s="440">
        <v>4700619428</v>
      </c>
      <c r="B1480" s="440">
        <v>6100051968</v>
      </c>
      <c r="C1480" s="440" t="s">
        <v>631</v>
      </c>
      <c r="D1480" s="444">
        <v>44410</v>
      </c>
      <c r="E1480" s="445">
        <v>45000</v>
      </c>
      <c r="F1480" s="440">
        <v>1007010002</v>
      </c>
      <c r="G1480" s="440" t="s">
        <v>632</v>
      </c>
    </row>
    <row r="1481" spans="1:7">
      <c r="A1481" s="440">
        <v>4700619428</v>
      </c>
      <c r="B1481" s="440">
        <v>6100051969</v>
      </c>
      <c r="C1481" s="440" t="s">
        <v>631</v>
      </c>
      <c r="D1481" s="444">
        <v>44410</v>
      </c>
      <c r="E1481" s="445">
        <v>45000</v>
      </c>
      <c r="F1481" s="440">
        <v>1007010002</v>
      </c>
      <c r="G1481" s="440" t="s">
        <v>632</v>
      </c>
    </row>
    <row r="1482" spans="1:7">
      <c r="A1482" s="440">
        <v>4700624624</v>
      </c>
      <c r="B1482" s="440">
        <v>6100054831</v>
      </c>
      <c r="C1482" s="440" t="s">
        <v>631</v>
      </c>
      <c r="D1482" s="444">
        <v>44426</v>
      </c>
      <c r="E1482" s="445">
        <v>61637</v>
      </c>
      <c r="F1482" s="440">
        <v>1007010002</v>
      </c>
      <c r="G1482" s="440" t="s">
        <v>632</v>
      </c>
    </row>
    <row r="1483" spans="1:7">
      <c r="A1483" s="440">
        <v>4700630448</v>
      </c>
      <c r="B1483" s="440">
        <v>6100056758</v>
      </c>
      <c r="C1483" s="440" t="s">
        <v>631</v>
      </c>
      <c r="D1483" s="444">
        <v>44435</v>
      </c>
      <c r="E1483" s="445">
        <v>45000</v>
      </c>
      <c r="F1483" s="440">
        <v>1007010002</v>
      </c>
      <c r="G1483" s="440" t="s">
        <v>632</v>
      </c>
    </row>
    <row r="1484" spans="1:7">
      <c r="A1484" s="440">
        <v>4700630448</v>
      </c>
      <c r="B1484" s="440">
        <v>6100056759</v>
      </c>
      <c r="C1484" s="440" t="s">
        <v>631</v>
      </c>
      <c r="D1484" s="444">
        <v>44435</v>
      </c>
      <c r="E1484" s="445">
        <v>45000</v>
      </c>
      <c r="F1484" s="440">
        <v>1007010002</v>
      </c>
      <c r="G1484" s="440" t="s">
        <v>632</v>
      </c>
    </row>
    <row r="1485" spans="1:7">
      <c r="A1485" s="440">
        <v>4700640990</v>
      </c>
      <c r="B1485" s="440">
        <v>6100061450</v>
      </c>
      <c r="C1485" s="440" t="s">
        <v>631</v>
      </c>
      <c r="D1485" s="444">
        <v>44453</v>
      </c>
      <c r="E1485" s="445">
        <v>30081</v>
      </c>
      <c r="F1485" s="440">
        <v>1007010002</v>
      </c>
      <c r="G1485" s="440" t="s">
        <v>632</v>
      </c>
    </row>
    <row r="1486" spans="1:7">
      <c r="A1486" s="440">
        <v>4700645150</v>
      </c>
      <c r="B1486" s="440">
        <v>6100063966</v>
      </c>
      <c r="C1486" s="440" t="s">
        <v>631</v>
      </c>
      <c r="D1486" s="444">
        <v>44462</v>
      </c>
      <c r="E1486" s="445">
        <v>45000</v>
      </c>
      <c r="F1486" s="440">
        <v>1007010002</v>
      </c>
      <c r="G1486" s="440" t="s">
        <v>632</v>
      </c>
    </row>
    <row r="1487" spans="1:7">
      <c r="A1487" s="440">
        <v>4700645150</v>
      </c>
      <c r="B1487" s="440">
        <v>6100063967</v>
      </c>
      <c r="C1487" s="440" t="s">
        <v>631</v>
      </c>
      <c r="D1487" s="444">
        <v>44462</v>
      </c>
      <c r="E1487" s="445">
        <v>45000</v>
      </c>
      <c r="F1487" s="440">
        <v>1007010002</v>
      </c>
      <c r="G1487" s="440" t="s">
        <v>632</v>
      </c>
    </row>
    <row r="1488" spans="1:7">
      <c r="A1488" s="440">
        <v>4700645150</v>
      </c>
      <c r="B1488" s="440">
        <v>6100063968</v>
      </c>
      <c r="C1488" s="440" t="s">
        <v>631</v>
      </c>
      <c r="D1488" s="444">
        <v>44462</v>
      </c>
      <c r="E1488" s="445">
        <v>45000</v>
      </c>
      <c r="F1488" s="440">
        <v>1007010002</v>
      </c>
      <c r="G1488" s="440" t="s">
        <v>632</v>
      </c>
    </row>
    <row r="1489" spans="1:7">
      <c r="A1489" s="440">
        <v>4700645150</v>
      </c>
      <c r="B1489" s="440">
        <v>6100063969</v>
      </c>
      <c r="C1489" s="440" t="s">
        <v>631</v>
      </c>
      <c r="D1489" s="444">
        <v>44462</v>
      </c>
      <c r="E1489" s="445">
        <v>45000</v>
      </c>
      <c r="F1489" s="440">
        <v>1007010002</v>
      </c>
      <c r="G1489" s="440" t="s">
        <v>632</v>
      </c>
    </row>
    <row r="1490" spans="1:7">
      <c r="A1490" s="440">
        <v>4700653244</v>
      </c>
      <c r="B1490" s="440">
        <v>6100068441</v>
      </c>
      <c r="C1490" s="440" t="s">
        <v>631</v>
      </c>
      <c r="D1490" s="444">
        <v>44476</v>
      </c>
      <c r="E1490" s="445">
        <v>48293</v>
      </c>
      <c r="F1490" s="440">
        <v>1007010002</v>
      </c>
      <c r="G1490" s="440" t="s">
        <v>632</v>
      </c>
    </row>
    <row r="1491" spans="1:7">
      <c r="A1491" s="440">
        <v>4700651505</v>
      </c>
      <c r="B1491" s="440">
        <v>6100069009</v>
      </c>
      <c r="C1491" s="440" t="s">
        <v>631</v>
      </c>
      <c r="D1491" s="444">
        <v>44478</v>
      </c>
      <c r="E1491" s="445">
        <v>45000</v>
      </c>
      <c r="F1491" s="440">
        <v>1007010002</v>
      </c>
      <c r="G1491" s="440" t="s">
        <v>632</v>
      </c>
    </row>
    <row r="1492" spans="1:7">
      <c r="A1492" s="440">
        <v>4700651505</v>
      </c>
      <c r="B1492" s="440">
        <v>6100069010</v>
      </c>
      <c r="C1492" s="440" t="s">
        <v>631</v>
      </c>
      <c r="D1492" s="444">
        <v>44478</v>
      </c>
      <c r="E1492" s="445">
        <v>45000</v>
      </c>
      <c r="F1492" s="440">
        <v>1007010002</v>
      </c>
      <c r="G1492" s="440" t="s">
        <v>632</v>
      </c>
    </row>
    <row r="1493" spans="1:7">
      <c r="A1493" s="440">
        <v>4700661369</v>
      </c>
      <c r="B1493" s="440">
        <v>6100075164</v>
      </c>
      <c r="C1493" s="440" t="s">
        <v>631</v>
      </c>
      <c r="D1493" s="444">
        <v>44494</v>
      </c>
      <c r="E1493" s="445">
        <v>45000</v>
      </c>
      <c r="F1493" s="440">
        <v>1007010002</v>
      </c>
      <c r="G1493" s="440" t="s">
        <v>632</v>
      </c>
    </row>
    <row r="1494" spans="1:7">
      <c r="A1494" s="440">
        <v>4700661369</v>
      </c>
      <c r="B1494" s="440">
        <v>6100075166</v>
      </c>
      <c r="C1494" s="440" t="s">
        <v>631</v>
      </c>
      <c r="D1494" s="444">
        <v>44494</v>
      </c>
      <c r="E1494" s="445">
        <v>90000</v>
      </c>
      <c r="F1494" s="440">
        <v>1007010002</v>
      </c>
      <c r="G1494" s="440" t="s">
        <v>632</v>
      </c>
    </row>
    <row r="1495" spans="1:7">
      <c r="A1495" s="440">
        <v>4700661369</v>
      </c>
      <c r="B1495" s="440">
        <v>6100075169</v>
      </c>
      <c r="C1495" s="440" t="s">
        <v>631</v>
      </c>
      <c r="D1495" s="444">
        <v>44494</v>
      </c>
      <c r="E1495" s="445">
        <v>45000</v>
      </c>
      <c r="F1495" s="440">
        <v>1007010002</v>
      </c>
      <c r="G1495" s="440" t="s">
        <v>632</v>
      </c>
    </row>
    <row r="1496" spans="1:7">
      <c r="A1496" s="440">
        <v>4700672495</v>
      </c>
      <c r="B1496" s="440">
        <v>6100083847</v>
      </c>
      <c r="C1496" s="440" t="s">
        <v>631</v>
      </c>
      <c r="D1496" s="444">
        <v>44518</v>
      </c>
      <c r="E1496" s="445">
        <v>45000</v>
      </c>
      <c r="F1496" s="440">
        <v>1007010002</v>
      </c>
      <c r="G1496" s="440" t="s">
        <v>632</v>
      </c>
    </row>
    <row r="1497" spans="1:7">
      <c r="A1497" s="440">
        <v>4700672495</v>
      </c>
      <c r="B1497" s="440">
        <v>6100083849</v>
      </c>
      <c r="C1497" s="440" t="s">
        <v>631</v>
      </c>
      <c r="D1497" s="444">
        <v>44518</v>
      </c>
      <c r="E1497" s="445">
        <v>45000</v>
      </c>
      <c r="F1497" s="440">
        <v>1007010002</v>
      </c>
      <c r="G1497" s="440" t="s">
        <v>632</v>
      </c>
    </row>
    <row r="1498" spans="1:7">
      <c r="A1498" s="440">
        <v>4700672637</v>
      </c>
      <c r="B1498" s="440">
        <v>6100086329</v>
      </c>
      <c r="C1498" s="440" t="s">
        <v>631</v>
      </c>
      <c r="D1498" s="444">
        <v>44523</v>
      </c>
      <c r="E1498" s="445">
        <v>48589</v>
      </c>
      <c r="F1498" s="440">
        <v>1007010002</v>
      </c>
      <c r="G1498" s="440" t="s">
        <v>632</v>
      </c>
    </row>
    <row r="1499" spans="1:7">
      <c r="A1499" s="440">
        <v>4700678813</v>
      </c>
      <c r="B1499" s="440">
        <v>6100089420</v>
      </c>
      <c r="C1499" s="440" t="s">
        <v>631</v>
      </c>
      <c r="D1499" s="444">
        <v>44532</v>
      </c>
      <c r="E1499" s="445">
        <v>45000</v>
      </c>
      <c r="F1499" s="440">
        <v>1007010002</v>
      </c>
      <c r="G1499" s="440" t="s">
        <v>632</v>
      </c>
    </row>
    <row r="1500" spans="1:7">
      <c r="A1500" s="440">
        <v>4700678813</v>
      </c>
      <c r="B1500" s="440">
        <v>6100089421</v>
      </c>
      <c r="C1500" s="440" t="s">
        <v>631</v>
      </c>
      <c r="D1500" s="444">
        <v>44532</v>
      </c>
      <c r="E1500" s="445">
        <v>90000</v>
      </c>
      <c r="F1500" s="440">
        <v>1007010002</v>
      </c>
      <c r="G1500" s="440" t="s">
        <v>632</v>
      </c>
    </row>
    <row r="1501" spans="1:7">
      <c r="A1501" s="440">
        <v>4700678813</v>
      </c>
      <c r="B1501" s="440">
        <v>6100089422</v>
      </c>
      <c r="C1501" s="440" t="s">
        <v>631</v>
      </c>
      <c r="D1501" s="444">
        <v>44532</v>
      </c>
      <c r="E1501" s="445">
        <v>45000</v>
      </c>
      <c r="F1501" s="440">
        <v>1007010002</v>
      </c>
      <c r="G1501" s="440" t="s">
        <v>632</v>
      </c>
    </row>
    <row r="1502" spans="1:7">
      <c r="A1502" s="440">
        <v>4700678813</v>
      </c>
      <c r="B1502" s="440">
        <v>6100089434</v>
      </c>
      <c r="C1502" s="440" t="s">
        <v>631</v>
      </c>
      <c r="D1502" s="444">
        <v>44532</v>
      </c>
      <c r="E1502" s="445">
        <v>-45000</v>
      </c>
      <c r="F1502" s="440">
        <v>1007010002</v>
      </c>
      <c r="G1502" s="440" t="s">
        <v>632</v>
      </c>
    </row>
    <row r="1503" spans="1:7">
      <c r="A1503" s="440">
        <v>4700678813</v>
      </c>
      <c r="B1503" s="440">
        <v>6100089435</v>
      </c>
      <c r="C1503" s="440" t="s">
        <v>631</v>
      </c>
      <c r="D1503" s="444">
        <v>44532</v>
      </c>
      <c r="E1503" s="445">
        <v>-90000</v>
      </c>
      <c r="F1503" s="440">
        <v>1007010002</v>
      </c>
      <c r="G1503" s="440" t="s">
        <v>632</v>
      </c>
    </row>
    <row r="1504" spans="1:7">
      <c r="A1504" s="440">
        <v>4700678813</v>
      </c>
      <c r="B1504" s="440">
        <v>6100089436</v>
      </c>
      <c r="C1504" s="440" t="s">
        <v>631</v>
      </c>
      <c r="D1504" s="444">
        <v>44532</v>
      </c>
      <c r="E1504" s="445">
        <v>-45000</v>
      </c>
      <c r="F1504" s="440">
        <v>1007010002</v>
      </c>
      <c r="G1504" s="440" t="s">
        <v>632</v>
      </c>
    </row>
    <row r="1505" spans="1:7">
      <c r="A1505" s="440">
        <v>4700678813</v>
      </c>
      <c r="B1505" s="440">
        <v>6100089512</v>
      </c>
      <c r="C1505" s="440" t="s">
        <v>631</v>
      </c>
      <c r="D1505" s="444">
        <v>44532</v>
      </c>
      <c r="E1505" s="445">
        <v>45000</v>
      </c>
      <c r="F1505" s="440">
        <v>1007010002</v>
      </c>
      <c r="G1505" s="440" t="s">
        <v>632</v>
      </c>
    </row>
    <row r="1506" spans="1:7">
      <c r="A1506" s="440">
        <v>4700678813</v>
      </c>
      <c r="B1506" s="440">
        <v>6100089513</v>
      </c>
      <c r="C1506" s="440" t="s">
        <v>631</v>
      </c>
      <c r="D1506" s="444">
        <v>44532</v>
      </c>
      <c r="E1506" s="445">
        <v>45000</v>
      </c>
      <c r="F1506" s="440">
        <v>1007010002</v>
      </c>
      <c r="G1506" s="440" t="s">
        <v>632</v>
      </c>
    </row>
    <row r="1507" spans="1:7">
      <c r="A1507" s="440">
        <v>4700678813</v>
      </c>
      <c r="B1507" s="440">
        <v>6100089514</v>
      </c>
      <c r="C1507" s="440" t="s">
        <v>631</v>
      </c>
      <c r="D1507" s="444">
        <v>44532</v>
      </c>
      <c r="E1507" s="445">
        <v>45000</v>
      </c>
      <c r="F1507" s="440">
        <v>1007010002</v>
      </c>
      <c r="G1507" s="440" t="s">
        <v>632</v>
      </c>
    </row>
    <row r="1508" spans="1:7">
      <c r="A1508" s="440">
        <v>4700685580</v>
      </c>
      <c r="B1508" s="440">
        <v>6100094689</v>
      </c>
      <c r="C1508" s="440" t="s">
        <v>631</v>
      </c>
      <c r="D1508" s="444">
        <v>44546</v>
      </c>
      <c r="E1508" s="445">
        <v>45000</v>
      </c>
      <c r="F1508" s="440">
        <v>1007010002</v>
      </c>
      <c r="G1508" s="440" t="s">
        <v>632</v>
      </c>
    </row>
    <row r="1509" spans="1:7">
      <c r="A1509" s="440">
        <v>4700689237</v>
      </c>
      <c r="B1509" s="440">
        <v>6100097828</v>
      </c>
      <c r="C1509" s="440" t="s">
        <v>631</v>
      </c>
      <c r="D1509" s="444">
        <v>44554</v>
      </c>
      <c r="E1509" s="445">
        <v>45046</v>
      </c>
      <c r="F1509" s="440">
        <v>1007010002</v>
      </c>
      <c r="G1509" s="440" t="s">
        <v>632</v>
      </c>
    </row>
    <row r="1510" spans="1:7">
      <c r="A1510" s="440">
        <v>4700693688</v>
      </c>
      <c r="B1510" s="440">
        <v>6100098323</v>
      </c>
      <c r="C1510" s="440" t="s">
        <v>631</v>
      </c>
      <c r="D1510" s="444">
        <v>44557</v>
      </c>
      <c r="E1510" s="445">
        <v>45000</v>
      </c>
      <c r="F1510" s="440">
        <v>1007010002</v>
      </c>
      <c r="G1510" s="440" t="s">
        <v>632</v>
      </c>
    </row>
    <row r="1511" spans="1:7">
      <c r="A1511" s="440">
        <v>4700693688</v>
      </c>
      <c r="B1511" s="440">
        <v>6100098332</v>
      </c>
      <c r="C1511" s="440" t="s">
        <v>631</v>
      </c>
      <c r="D1511" s="444">
        <v>44557</v>
      </c>
      <c r="E1511" s="445">
        <v>45000</v>
      </c>
      <c r="F1511" s="440">
        <v>1007010002</v>
      </c>
      <c r="G1511" s="440" t="s">
        <v>632</v>
      </c>
    </row>
    <row r="1512" spans="1:7">
      <c r="A1512" s="440">
        <v>4700693688</v>
      </c>
      <c r="B1512" s="440">
        <v>6100098335</v>
      </c>
      <c r="C1512" s="440" t="s">
        <v>631</v>
      </c>
      <c r="D1512" s="444">
        <v>44557</v>
      </c>
      <c r="E1512" s="445">
        <v>45000</v>
      </c>
      <c r="F1512" s="440">
        <v>1007010002</v>
      </c>
      <c r="G1512" s="440" t="s">
        <v>632</v>
      </c>
    </row>
    <row r="1513" spans="1:7">
      <c r="D1513" s="153" t="s">
        <v>1</v>
      </c>
      <c r="E1513" s="436">
        <f>SUM(E8:E1512)</f>
        <v>23278792</v>
      </c>
    </row>
    <row r="1515" spans="1:7">
      <c r="F1515" s="446"/>
      <c r="G1515" s="447"/>
    </row>
    <row r="1516" spans="1:7">
      <c r="F1516" s="446"/>
      <c r="G1516" s="447"/>
    </row>
    <row r="1517" spans="1:7">
      <c r="F1517" s="446"/>
      <c r="G1517" s="447"/>
    </row>
    <row r="1805" spans="7:7">
      <c r="G1805" s="440"/>
    </row>
    <row r="1806" spans="7:7">
      <c r="G1806" s="440" t="s">
        <v>633</v>
      </c>
    </row>
    <row r="1807" spans="7:7">
      <c r="G1807" s="440" t="s">
        <v>633</v>
      </c>
    </row>
    <row r="1808" spans="7:7">
      <c r="G1808" s="440" t="s">
        <v>633</v>
      </c>
    </row>
    <row r="1809" spans="7:7">
      <c r="G1809" s="440" t="s">
        <v>633</v>
      </c>
    </row>
    <row r="1810" spans="7:7">
      <c r="G1810" s="440" t="s">
        <v>633</v>
      </c>
    </row>
    <row r="1811" spans="7:7">
      <c r="G1811" s="440" t="s">
        <v>633</v>
      </c>
    </row>
    <row r="1812" spans="7:7">
      <c r="G1812" s="440" t="s">
        <v>633</v>
      </c>
    </row>
    <row r="1813" spans="7:7">
      <c r="G1813" s="440" t="s">
        <v>633</v>
      </c>
    </row>
    <row r="1814" spans="7:7">
      <c r="G1814" s="440" t="s">
        <v>633</v>
      </c>
    </row>
    <row r="1815" spans="7:7">
      <c r="G1815" s="440" t="s">
        <v>633</v>
      </c>
    </row>
    <row r="1816" spans="7:7">
      <c r="G1816" s="440" t="s">
        <v>633</v>
      </c>
    </row>
    <row r="1817" spans="7:7">
      <c r="G1817" s="440" t="s">
        <v>633</v>
      </c>
    </row>
    <row r="1818" spans="7:7">
      <c r="G1818" s="440" t="s">
        <v>633</v>
      </c>
    </row>
    <row r="1819" spans="7:7">
      <c r="G1819" s="440" t="s">
        <v>633</v>
      </c>
    </row>
    <row r="1820" spans="7:7">
      <c r="G1820" s="440" t="s">
        <v>633</v>
      </c>
    </row>
    <row r="1821" spans="7:7">
      <c r="G1821" s="440" t="s">
        <v>633</v>
      </c>
    </row>
    <row r="1822" spans="7:7">
      <c r="G1822" s="440" t="s">
        <v>633</v>
      </c>
    </row>
    <row r="1823" spans="7:7">
      <c r="G1823" s="440" t="s">
        <v>633</v>
      </c>
    </row>
    <row r="1824" spans="7:7">
      <c r="G1824" s="440" t="s">
        <v>633</v>
      </c>
    </row>
    <row r="1825" spans="7:7">
      <c r="G1825" s="440" t="s">
        <v>633</v>
      </c>
    </row>
    <row r="1826" spans="7:7">
      <c r="G1826" s="440" t="s">
        <v>633</v>
      </c>
    </row>
    <row r="1827" spans="7:7">
      <c r="G1827" s="440" t="s">
        <v>633</v>
      </c>
    </row>
    <row r="1828" spans="7:7">
      <c r="G1828" s="440" t="s">
        <v>633</v>
      </c>
    </row>
    <row r="1829" spans="7:7">
      <c r="G1829" s="440" t="s">
        <v>633</v>
      </c>
    </row>
    <row r="1830" spans="7:7">
      <c r="G1830" s="440" t="s">
        <v>633</v>
      </c>
    </row>
    <row r="1831" spans="7:7">
      <c r="G1831" s="440" t="s">
        <v>633</v>
      </c>
    </row>
    <row r="1832" spans="7:7">
      <c r="G1832" s="440" t="s">
        <v>633</v>
      </c>
    </row>
    <row r="1833" spans="7:7">
      <c r="G1833" s="440" t="s">
        <v>633</v>
      </c>
    </row>
    <row r="1834" spans="7:7">
      <c r="G1834" s="440" t="s">
        <v>633</v>
      </c>
    </row>
    <row r="1835" spans="7:7">
      <c r="G1835" s="440" t="s">
        <v>633</v>
      </c>
    </row>
    <row r="1836" spans="7:7">
      <c r="G1836" s="440" t="s">
        <v>633</v>
      </c>
    </row>
    <row r="1837" spans="7:7">
      <c r="G1837" s="440" t="s">
        <v>633</v>
      </c>
    </row>
    <row r="1838" spans="7:7">
      <c r="G1838" s="440" t="s">
        <v>633</v>
      </c>
    </row>
    <row r="1839" spans="7:7">
      <c r="G1839" s="440" t="s">
        <v>633</v>
      </c>
    </row>
    <row r="1840" spans="7:7">
      <c r="G1840" s="440" t="s">
        <v>633</v>
      </c>
    </row>
    <row r="1841" spans="7:7">
      <c r="G1841" s="440" t="s">
        <v>633</v>
      </c>
    </row>
    <row r="1842" spans="7:7">
      <c r="G1842" s="440" t="s">
        <v>633</v>
      </c>
    </row>
    <row r="1843" spans="7:7">
      <c r="G1843" s="440" t="s">
        <v>633</v>
      </c>
    </row>
    <row r="1844" spans="7:7">
      <c r="G1844" s="440" t="s">
        <v>633</v>
      </c>
    </row>
    <row r="1845" spans="7:7">
      <c r="G1845" s="440" t="s">
        <v>633</v>
      </c>
    </row>
    <row r="1846" spans="7:7">
      <c r="G1846" s="440" t="s">
        <v>633</v>
      </c>
    </row>
    <row r="1847" spans="7:7">
      <c r="G1847" s="440" t="s">
        <v>633</v>
      </c>
    </row>
    <row r="1848" spans="7:7">
      <c r="G1848" s="440" t="s">
        <v>633</v>
      </c>
    </row>
    <row r="1849" spans="7:7">
      <c r="G1849" s="440" t="s">
        <v>633</v>
      </c>
    </row>
    <row r="1850" spans="7:7">
      <c r="G1850" s="440" t="s">
        <v>633</v>
      </c>
    </row>
    <row r="1851" spans="7:7">
      <c r="G1851" s="440" t="s">
        <v>633</v>
      </c>
    </row>
    <row r="1852" spans="7:7">
      <c r="G1852" s="440" t="s">
        <v>633</v>
      </c>
    </row>
    <row r="1853" spans="7:7">
      <c r="G1853" s="440" t="s">
        <v>633</v>
      </c>
    </row>
    <row r="1854" spans="7:7">
      <c r="G1854" s="440" t="s">
        <v>633</v>
      </c>
    </row>
    <row r="1855" spans="7:7">
      <c r="G1855" s="440" t="s">
        <v>633</v>
      </c>
    </row>
    <row r="1856" spans="7:7">
      <c r="G1856" s="440" t="s">
        <v>633</v>
      </c>
    </row>
    <row r="1857" spans="7:7">
      <c r="G1857" s="440" t="s">
        <v>633</v>
      </c>
    </row>
    <row r="1858" spans="7:7">
      <c r="G1858" s="440" t="s">
        <v>633</v>
      </c>
    </row>
    <row r="1859" spans="7:7">
      <c r="G1859" s="440" t="s">
        <v>633</v>
      </c>
    </row>
    <row r="1860" spans="7:7">
      <c r="G1860" s="440" t="s">
        <v>633</v>
      </c>
    </row>
    <row r="1861" spans="7:7">
      <c r="G1861" s="440" t="s">
        <v>633</v>
      </c>
    </row>
    <row r="1862" spans="7:7">
      <c r="G1862" s="440" t="s">
        <v>633</v>
      </c>
    </row>
    <row r="1863" spans="7:7">
      <c r="G1863" s="440" t="s">
        <v>633</v>
      </c>
    </row>
    <row r="1864" spans="7:7">
      <c r="G1864" s="440" t="s">
        <v>633</v>
      </c>
    </row>
    <row r="1865" spans="7:7">
      <c r="G1865" s="440" t="s">
        <v>633</v>
      </c>
    </row>
    <row r="1866" spans="7:7">
      <c r="G1866" s="440" t="s">
        <v>633</v>
      </c>
    </row>
    <row r="1867" spans="7:7">
      <c r="G1867" s="440" t="s">
        <v>633</v>
      </c>
    </row>
    <row r="1868" spans="7:7">
      <c r="G1868" s="440" t="s">
        <v>633</v>
      </c>
    </row>
    <row r="1869" spans="7:7">
      <c r="G1869" s="440" t="s">
        <v>633</v>
      </c>
    </row>
    <row r="1870" spans="7:7">
      <c r="G1870" s="440" t="s">
        <v>633</v>
      </c>
    </row>
    <row r="1871" spans="7:7">
      <c r="G1871" s="440" t="s">
        <v>633</v>
      </c>
    </row>
    <row r="1872" spans="7:7">
      <c r="G1872" s="440" t="s">
        <v>633</v>
      </c>
    </row>
    <row r="1873" spans="7:7">
      <c r="G1873" s="440" t="s">
        <v>633</v>
      </c>
    </row>
    <row r="1874" spans="7:7">
      <c r="G1874" s="440" t="s">
        <v>633</v>
      </c>
    </row>
    <row r="1875" spans="7:7">
      <c r="G1875" s="440" t="s">
        <v>633</v>
      </c>
    </row>
    <row r="1876" spans="7:7">
      <c r="G1876" s="440" t="s">
        <v>633</v>
      </c>
    </row>
    <row r="1877" spans="7:7">
      <c r="G1877" s="440" t="s">
        <v>633</v>
      </c>
    </row>
    <row r="1878" spans="7:7">
      <c r="G1878" s="440" t="s">
        <v>633</v>
      </c>
    </row>
    <row r="1879" spans="7:7">
      <c r="G1879" s="440" t="s">
        <v>633</v>
      </c>
    </row>
    <row r="1880" spans="7:7">
      <c r="G1880" s="440" t="s">
        <v>633</v>
      </c>
    </row>
    <row r="1881" spans="7:7">
      <c r="G1881" s="440" t="s">
        <v>633</v>
      </c>
    </row>
    <row r="1882" spans="7:7">
      <c r="G1882" s="440" t="s">
        <v>633</v>
      </c>
    </row>
    <row r="1883" spans="7:7">
      <c r="G1883" s="440" t="s">
        <v>633</v>
      </c>
    </row>
    <row r="1884" spans="7:7">
      <c r="G1884" s="440" t="s">
        <v>633</v>
      </c>
    </row>
    <row r="1885" spans="7:7">
      <c r="G1885" s="440" t="s">
        <v>633</v>
      </c>
    </row>
    <row r="1886" spans="7:7">
      <c r="G1886" s="440" t="s">
        <v>633</v>
      </c>
    </row>
    <row r="1887" spans="7:7">
      <c r="G1887" s="440" t="s">
        <v>633</v>
      </c>
    </row>
    <row r="1888" spans="7:7">
      <c r="G1888" s="440" t="s">
        <v>633</v>
      </c>
    </row>
    <row r="1889" spans="7:7">
      <c r="G1889" s="440" t="s">
        <v>633</v>
      </c>
    </row>
    <row r="1890" spans="7:7">
      <c r="G1890" s="440" t="s">
        <v>633</v>
      </c>
    </row>
    <row r="1891" spans="7:7">
      <c r="G1891" s="440" t="s">
        <v>633</v>
      </c>
    </row>
    <row r="1892" spans="7:7">
      <c r="G1892" s="440" t="s">
        <v>633</v>
      </c>
    </row>
    <row r="1893" spans="7:7">
      <c r="G1893" s="440" t="s">
        <v>633</v>
      </c>
    </row>
    <row r="1894" spans="7:7">
      <c r="G1894" s="440" t="s">
        <v>633</v>
      </c>
    </row>
    <row r="1895" spans="7:7">
      <c r="G1895" s="440" t="s">
        <v>633</v>
      </c>
    </row>
    <row r="1896" spans="7:7">
      <c r="G1896" s="440" t="s">
        <v>633</v>
      </c>
    </row>
    <row r="1897" spans="7:7">
      <c r="G1897" s="440" t="s">
        <v>633</v>
      </c>
    </row>
    <row r="1898" spans="7:7">
      <c r="G1898" s="440" t="s">
        <v>633</v>
      </c>
    </row>
    <row r="1899" spans="7:7">
      <c r="G1899" s="440" t="s">
        <v>633</v>
      </c>
    </row>
    <row r="1900" spans="7:7">
      <c r="G1900" s="440" t="s">
        <v>633</v>
      </c>
    </row>
    <row r="1901" spans="7:7">
      <c r="G1901" s="440" t="s">
        <v>633</v>
      </c>
    </row>
    <row r="1902" spans="7:7">
      <c r="G1902" s="440" t="s">
        <v>633</v>
      </c>
    </row>
    <row r="1903" spans="7:7">
      <c r="G1903" s="440" t="s">
        <v>633</v>
      </c>
    </row>
    <row r="1904" spans="7:7">
      <c r="G1904" s="440" t="s">
        <v>633</v>
      </c>
    </row>
    <row r="1905" spans="7:7">
      <c r="G1905" s="440" t="s">
        <v>633</v>
      </c>
    </row>
    <row r="1906" spans="7:7">
      <c r="G1906" s="440" t="s">
        <v>633</v>
      </c>
    </row>
    <row r="1907" spans="7:7">
      <c r="G1907" s="440" t="s">
        <v>633</v>
      </c>
    </row>
    <row r="1908" spans="7:7">
      <c r="G1908" s="440" t="s">
        <v>633</v>
      </c>
    </row>
    <row r="1909" spans="7:7">
      <c r="G1909" s="440" t="s">
        <v>633</v>
      </c>
    </row>
    <row r="1910" spans="7:7">
      <c r="G1910" s="440" t="s">
        <v>633</v>
      </c>
    </row>
    <row r="1911" spans="7:7">
      <c r="G1911" s="440" t="s">
        <v>633</v>
      </c>
    </row>
    <row r="1912" spans="7:7">
      <c r="G1912" s="440" t="s">
        <v>633</v>
      </c>
    </row>
    <row r="1913" spans="7:7">
      <c r="G1913" s="440" t="s">
        <v>633</v>
      </c>
    </row>
    <row r="1914" spans="7:7">
      <c r="G1914" s="440" t="s">
        <v>633</v>
      </c>
    </row>
    <row r="1915" spans="7:7">
      <c r="G1915" s="440" t="s">
        <v>633</v>
      </c>
    </row>
    <row r="1916" spans="7:7">
      <c r="G1916" s="440" t="s">
        <v>633</v>
      </c>
    </row>
    <row r="1917" spans="7:7">
      <c r="G1917" s="440" t="s">
        <v>633</v>
      </c>
    </row>
    <row r="1918" spans="7:7">
      <c r="G1918" s="440" t="s">
        <v>633</v>
      </c>
    </row>
    <row r="1919" spans="7:7">
      <c r="G1919" s="440" t="s">
        <v>633</v>
      </c>
    </row>
    <row r="1920" spans="7:7">
      <c r="G1920" s="440" t="s">
        <v>633</v>
      </c>
    </row>
    <row r="1921" spans="7:7">
      <c r="G1921" s="440" t="s">
        <v>633</v>
      </c>
    </row>
    <row r="1922" spans="7:7">
      <c r="G1922" s="440" t="s">
        <v>633</v>
      </c>
    </row>
    <row r="1923" spans="7:7">
      <c r="G1923" s="440" t="s">
        <v>633</v>
      </c>
    </row>
    <row r="1924" spans="7:7">
      <c r="G1924" s="440" t="s">
        <v>633</v>
      </c>
    </row>
    <row r="1925" spans="7:7">
      <c r="G1925" s="440" t="s">
        <v>633</v>
      </c>
    </row>
    <row r="1926" spans="7:7">
      <c r="G1926" s="440" t="s">
        <v>633</v>
      </c>
    </row>
    <row r="1927" spans="7:7">
      <c r="G1927" s="440" t="s">
        <v>633</v>
      </c>
    </row>
    <row r="1928" spans="7:7">
      <c r="G1928" s="440" t="s">
        <v>633</v>
      </c>
    </row>
    <row r="1929" spans="7:7">
      <c r="G1929" s="440" t="s">
        <v>633</v>
      </c>
    </row>
    <row r="1930" spans="7:7">
      <c r="G1930" s="440" t="s">
        <v>633</v>
      </c>
    </row>
    <row r="1931" spans="7:7">
      <c r="G1931" s="440" t="s">
        <v>633</v>
      </c>
    </row>
    <row r="1932" spans="7:7">
      <c r="G1932" s="440" t="s">
        <v>633</v>
      </c>
    </row>
    <row r="1933" spans="7:7">
      <c r="G1933" s="440" t="s">
        <v>633</v>
      </c>
    </row>
    <row r="1934" spans="7:7">
      <c r="G1934" s="440" t="s">
        <v>633</v>
      </c>
    </row>
    <row r="1935" spans="7:7">
      <c r="G1935" s="440" t="s">
        <v>633</v>
      </c>
    </row>
    <row r="1936" spans="7:7">
      <c r="G1936" s="440" t="s">
        <v>633</v>
      </c>
    </row>
    <row r="1937" spans="7:7">
      <c r="G1937" s="440" t="s">
        <v>633</v>
      </c>
    </row>
    <row r="1938" spans="7:7">
      <c r="G1938" s="440" t="s">
        <v>633</v>
      </c>
    </row>
    <row r="1939" spans="7:7">
      <c r="G1939" s="440" t="s">
        <v>633</v>
      </c>
    </row>
    <row r="1940" spans="7:7">
      <c r="G1940" s="440" t="s">
        <v>633</v>
      </c>
    </row>
    <row r="1941" spans="7:7">
      <c r="G1941" s="440" t="s">
        <v>633</v>
      </c>
    </row>
    <row r="1942" spans="7:7">
      <c r="G1942" s="440" t="s">
        <v>633</v>
      </c>
    </row>
    <row r="1943" spans="7:7">
      <c r="G1943" s="440" t="s">
        <v>633</v>
      </c>
    </row>
    <row r="1944" spans="7:7">
      <c r="G1944" s="440" t="s">
        <v>633</v>
      </c>
    </row>
    <row r="1945" spans="7:7">
      <c r="G1945" s="440" t="s">
        <v>633</v>
      </c>
    </row>
    <row r="1946" spans="7:7">
      <c r="G1946" s="440" t="s">
        <v>633</v>
      </c>
    </row>
    <row r="1947" spans="7:7">
      <c r="G1947" s="440" t="s">
        <v>633</v>
      </c>
    </row>
    <row r="1948" spans="7:7">
      <c r="G1948" s="440" t="s">
        <v>633</v>
      </c>
    </row>
    <row r="1949" spans="7:7">
      <c r="G1949" s="440" t="s">
        <v>633</v>
      </c>
    </row>
    <row r="1950" spans="7:7">
      <c r="G1950" s="440" t="s">
        <v>633</v>
      </c>
    </row>
    <row r="1951" spans="7:7">
      <c r="G1951" s="440" t="s">
        <v>633</v>
      </c>
    </row>
    <row r="1952" spans="7:7">
      <c r="G1952" s="440" t="s">
        <v>633</v>
      </c>
    </row>
    <row r="1953" spans="7:7">
      <c r="G1953" s="440" t="s">
        <v>633</v>
      </c>
    </row>
    <row r="1954" spans="7:7">
      <c r="G1954" s="440" t="s">
        <v>633</v>
      </c>
    </row>
    <row r="1955" spans="7:7">
      <c r="G1955" s="440" t="s">
        <v>633</v>
      </c>
    </row>
    <row r="1956" spans="7:7">
      <c r="G1956" s="440" t="s">
        <v>633</v>
      </c>
    </row>
    <row r="1957" spans="7:7">
      <c r="G1957" s="440" t="s">
        <v>633</v>
      </c>
    </row>
    <row r="1958" spans="7:7">
      <c r="G1958" s="440" t="s">
        <v>633</v>
      </c>
    </row>
    <row r="1959" spans="7:7">
      <c r="G1959" s="440" t="s">
        <v>633</v>
      </c>
    </row>
    <row r="1960" spans="7:7">
      <c r="G1960" s="440" t="s">
        <v>633</v>
      </c>
    </row>
    <row r="1961" spans="7:7">
      <c r="G1961" s="440" t="s">
        <v>633</v>
      </c>
    </row>
    <row r="1962" spans="7:7">
      <c r="G1962" s="440" t="s">
        <v>633</v>
      </c>
    </row>
    <row r="1963" spans="7:7">
      <c r="G1963" s="440" t="s">
        <v>633</v>
      </c>
    </row>
    <row r="1964" spans="7:7">
      <c r="G1964" s="440" t="s">
        <v>633</v>
      </c>
    </row>
    <row r="1965" spans="7:7">
      <c r="G1965" s="440" t="s">
        <v>633</v>
      </c>
    </row>
    <row r="1966" spans="7:7">
      <c r="G1966" s="440" t="s">
        <v>633</v>
      </c>
    </row>
    <row r="1967" spans="7:7">
      <c r="G1967" s="440" t="s">
        <v>633</v>
      </c>
    </row>
    <row r="1968" spans="7:7">
      <c r="G1968" s="440" t="s">
        <v>633</v>
      </c>
    </row>
    <row r="1969" spans="7:7">
      <c r="G1969" s="440" t="s">
        <v>633</v>
      </c>
    </row>
    <row r="1970" spans="7:7">
      <c r="G1970" s="440" t="s">
        <v>633</v>
      </c>
    </row>
    <row r="1971" spans="7:7">
      <c r="G1971" s="440" t="s">
        <v>633</v>
      </c>
    </row>
    <row r="1972" spans="7:7">
      <c r="G1972" s="440" t="s">
        <v>633</v>
      </c>
    </row>
    <row r="1973" spans="7:7">
      <c r="G1973" s="440" t="s">
        <v>633</v>
      </c>
    </row>
    <row r="1974" spans="7:7">
      <c r="G1974" s="440" t="s">
        <v>633</v>
      </c>
    </row>
    <row r="1975" spans="7:7">
      <c r="G1975" s="440" t="s">
        <v>633</v>
      </c>
    </row>
    <row r="1976" spans="7:7">
      <c r="G1976" s="440" t="s">
        <v>633</v>
      </c>
    </row>
    <row r="1977" spans="7:7">
      <c r="G1977" s="440" t="s">
        <v>633</v>
      </c>
    </row>
    <row r="1978" spans="7:7">
      <c r="G1978" s="440" t="s">
        <v>633</v>
      </c>
    </row>
    <row r="1979" spans="7:7">
      <c r="G1979" s="440" t="s">
        <v>633</v>
      </c>
    </row>
    <row r="1980" spans="7:7">
      <c r="G1980" s="440" t="s">
        <v>633</v>
      </c>
    </row>
    <row r="1981" spans="7:7">
      <c r="G1981" s="440" t="s">
        <v>633</v>
      </c>
    </row>
    <row r="1982" spans="7:7">
      <c r="G1982" s="440" t="s">
        <v>633</v>
      </c>
    </row>
    <row r="1983" spans="7:7">
      <c r="G1983" s="440" t="s">
        <v>633</v>
      </c>
    </row>
    <row r="1984" spans="7:7">
      <c r="G1984" s="440" t="s">
        <v>633</v>
      </c>
    </row>
    <row r="1985" spans="7:7">
      <c r="G1985" s="440" t="s">
        <v>633</v>
      </c>
    </row>
    <row r="1986" spans="7:7">
      <c r="G1986" s="440" t="s">
        <v>633</v>
      </c>
    </row>
    <row r="1987" spans="7:7">
      <c r="G1987" s="440" t="s">
        <v>633</v>
      </c>
    </row>
    <row r="1988" spans="7:7">
      <c r="G1988" s="440" t="s">
        <v>633</v>
      </c>
    </row>
    <row r="1989" spans="7:7">
      <c r="G1989" s="440" t="s">
        <v>633</v>
      </c>
    </row>
    <row r="1990" spans="7:7">
      <c r="G1990" s="440" t="s">
        <v>633</v>
      </c>
    </row>
    <row r="1991" spans="7:7">
      <c r="G1991" s="440" t="s">
        <v>633</v>
      </c>
    </row>
    <row r="1992" spans="7:7">
      <c r="G1992" s="440" t="s">
        <v>633</v>
      </c>
    </row>
    <row r="1993" spans="7:7">
      <c r="G1993" s="440" t="s">
        <v>633</v>
      </c>
    </row>
    <row r="1994" spans="7:7">
      <c r="G1994" s="440" t="s">
        <v>633</v>
      </c>
    </row>
    <row r="1995" spans="7:7">
      <c r="G1995" s="440" t="s">
        <v>633</v>
      </c>
    </row>
    <row r="1996" spans="7:7">
      <c r="G1996" s="440" t="s">
        <v>633</v>
      </c>
    </row>
    <row r="1997" spans="7:7">
      <c r="G1997" s="440" t="s">
        <v>633</v>
      </c>
    </row>
    <row r="1998" spans="7:7">
      <c r="G1998" s="440" t="s">
        <v>633</v>
      </c>
    </row>
    <row r="1999" spans="7:7">
      <c r="G1999" s="440" t="s">
        <v>633</v>
      </c>
    </row>
    <row r="2000" spans="7:7">
      <c r="G2000" s="440" t="s">
        <v>633</v>
      </c>
    </row>
    <row r="2001" spans="7:7">
      <c r="G2001" s="440" t="s">
        <v>633</v>
      </c>
    </row>
    <row r="2002" spans="7:7">
      <c r="G2002" s="440" t="s">
        <v>633</v>
      </c>
    </row>
    <row r="2003" spans="7:7">
      <c r="G2003" s="440" t="s">
        <v>633</v>
      </c>
    </row>
    <row r="2004" spans="7:7">
      <c r="G2004" s="440" t="s">
        <v>633</v>
      </c>
    </row>
    <row r="2005" spans="7:7">
      <c r="G2005" s="440" t="s">
        <v>633</v>
      </c>
    </row>
    <row r="2006" spans="7:7">
      <c r="G2006" s="440" t="s">
        <v>633</v>
      </c>
    </row>
    <row r="2007" spans="7:7">
      <c r="G2007" s="440" t="s">
        <v>633</v>
      </c>
    </row>
    <row r="2008" spans="7:7">
      <c r="G2008" s="440" t="s">
        <v>633</v>
      </c>
    </row>
    <row r="2009" spans="7:7">
      <c r="G2009" s="440" t="s">
        <v>633</v>
      </c>
    </row>
    <row r="2010" spans="7:7">
      <c r="G2010" s="440" t="s">
        <v>633</v>
      </c>
    </row>
    <row r="2011" spans="7:7">
      <c r="G2011" s="440" t="s">
        <v>633</v>
      </c>
    </row>
    <row r="2012" spans="7:7">
      <c r="G2012" s="440" t="s">
        <v>633</v>
      </c>
    </row>
    <row r="2013" spans="7:7">
      <c r="G2013" s="440" t="s">
        <v>633</v>
      </c>
    </row>
    <row r="2014" spans="7:7">
      <c r="G2014" s="440" t="s">
        <v>633</v>
      </c>
    </row>
    <row r="2015" spans="7:7">
      <c r="G2015" s="440" t="s">
        <v>633</v>
      </c>
    </row>
    <row r="2016" spans="7:7">
      <c r="G2016" s="440" t="s">
        <v>633</v>
      </c>
    </row>
    <row r="2017" spans="7:7">
      <c r="G2017" s="440" t="s">
        <v>633</v>
      </c>
    </row>
    <row r="2018" spans="7:7">
      <c r="G2018" s="440" t="s">
        <v>633</v>
      </c>
    </row>
    <row r="2019" spans="7:7">
      <c r="G2019" s="440" t="s">
        <v>633</v>
      </c>
    </row>
    <row r="2020" spans="7:7">
      <c r="G2020" s="440" t="s">
        <v>633</v>
      </c>
    </row>
    <row r="2021" spans="7:7">
      <c r="G2021" s="440" t="s">
        <v>633</v>
      </c>
    </row>
    <row r="2022" spans="7:7">
      <c r="G2022" s="440" t="s">
        <v>633</v>
      </c>
    </row>
    <row r="2023" spans="7:7">
      <c r="G2023" s="440" t="s">
        <v>633</v>
      </c>
    </row>
    <row r="2024" spans="7:7">
      <c r="G2024" s="440" t="s">
        <v>633</v>
      </c>
    </row>
    <row r="2025" spans="7:7">
      <c r="G2025" s="440" t="s">
        <v>633</v>
      </c>
    </row>
    <row r="2026" spans="7:7">
      <c r="G2026" s="440" t="s">
        <v>633</v>
      </c>
    </row>
    <row r="2027" spans="7:7">
      <c r="G2027" s="440" t="s">
        <v>633</v>
      </c>
    </row>
    <row r="2028" spans="7:7">
      <c r="G2028" s="440" t="s">
        <v>633</v>
      </c>
    </row>
    <row r="2029" spans="7:7">
      <c r="G2029" s="440" t="s">
        <v>633</v>
      </c>
    </row>
    <row r="2030" spans="7:7">
      <c r="G2030" s="440" t="s">
        <v>633</v>
      </c>
    </row>
    <row r="2031" spans="7:7">
      <c r="G2031" s="440" t="s">
        <v>633</v>
      </c>
    </row>
    <row r="2032" spans="7:7">
      <c r="G2032" s="440" t="s">
        <v>633</v>
      </c>
    </row>
    <row r="2033" spans="7:7">
      <c r="G2033" s="440" t="s">
        <v>633</v>
      </c>
    </row>
    <row r="2034" spans="7:7">
      <c r="G2034" s="440" t="s">
        <v>633</v>
      </c>
    </row>
    <row r="2035" spans="7:7">
      <c r="G2035" s="440" t="s">
        <v>633</v>
      </c>
    </row>
    <row r="2036" spans="7:7">
      <c r="G2036" s="440" t="s">
        <v>633</v>
      </c>
    </row>
    <row r="2037" spans="7:7">
      <c r="G2037" s="440" t="s">
        <v>633</v>
      </c>
    </row>
    <row r="2038" spans="7:7">
      <c r="G2038" s="440" t="s">
        <v>633</v>
      </c>
    </row>
    <row r="2039" spans="7:7">
      <c r="G2039" s="440" t="s">
        <v>633</v>
      </c>
    </row>
    <row r="2040" spans="7:7">
      <c r="G2040" s="440" t="s">
        <v>633</v>
      </c>
    </row>
    <row r="2041" spans="7:7">
      <c r="G2041" s="440" t="s">
        <v>633</v>
      </c>
    </row>
    <row r="2042" spans="7:7">
      <c r="G2042" s="440" t="s">
        <v>633</v>
      </c>
    </row>
    <row r="2043" spans="7:7">
      <c r="G2043" s="440" t="s">
        <v>633</v>
      </c>
    </row>
    <row r="2044" spans="7:7">
      <c r="G2044" s="440" t="s">
        <v>633</v>
      </c>
    </row>
    <row r="2045" spans="7:7">
      <c r="G2045" s="440" t="s">
        <v>633</v>
      </c>
    </row>
    <row r="2046" spans="7:7">
      <c r="G2046" s="440" t="s">
        <v>633</v>
      </c>
    </row>
    <row r="2047" spans="7:7">
      <c r="G2047" s="440" t="s">
        <v>633</v>
      </c>
    </row>
    <row r="2048" spans="7:7">
      <c r="G2048" s="440" t="s">
        <v>633</v>
      </c>
    </row>
    <row r="2049" spans="7:7">
      <c r="G2049" s="440" t="s">
        <v>633</v>
      </c>
    </row>
    <row r="2050" spans="7:7">
      <c r="G2050" s="440" t="s">
        <v>633</v>
      </c>
    </row>
    <row r="2051" spans="7:7">
      <c r="G2051" s="440" t="s">
        <v>633</v>
      </c>
    </row>
    <row r="2052" spans="7:7">
      <c r="G2052" s="440" t="s">
        <v>633</v>
      </c>
    </row>
    <row r="2053" spans="7:7">
      <c r="G2053" s="440" t="s">
        <v>633</v>
      </c>
    </row>
    <row r="2054" spans="7:7">
      <c r="G2054" s="440" t="s">
        <v>633</v>
      </c>
    </row>
    <row r="2055" spans="7:7">
      <c r="G2055" s="440" t="s">
        <v>633</v>
      </c>
    </row>
    <row r="2056" spans="7:7">
      <c r="G2056" s="440" t="s">
        <v>633</v>
      </c>
    </row>
    <row r="2057" spans="7:7">
      <c r="G2057" s="440" t="s">
        <v>633</v>
      </c>
    </row>
    <row r="2058" spans="7:7">
      <c r="G2058" s="440" t="s">
        <v>633</v>
      </c>
    </row>
    <row r="2059" spans="7:7">
      <c r="G2059" s="440" t="s">
        <v>633</v>
      </c>
    </row>
    <row r="2060" spans="7:7">
      <c r="G2060" s="440" t="s">
        <v>633</v>
      </c>
    </row>
    <row r="2061" spans="7:7">
      <c r="G2061" s="440" t="s">
        <v>633</v>
      </c>
    </row>
    <row r="2062" spans="7:7">
      <c r="G2062" s="440" t="s">
        <v>633</v>
      </c>
    </row>
    <row r="2063" spans="7:7">
      <c r="G2063" s="440" t="s">
        <v>633</v>
      </c>
    </row>
    <row r="2064" spans="7:7">
      <c r="G2064" s="440" t="s">
        <v>633</v>
      </c>
    </row>
    <row r="2065" spans="7:7">
      <c r="G2065" s="440" t="s">
        <v>633</v>
      </c>
    </row>
    <row r="2066" spans="7:7">
      <c r="G2066" s="440" t="s">
        <v>633</v>
      </c>
    </row>
    <row r="2067" spans="7:7">
      <c r="G2067" s="440" t="s">
        <v>633</v>
      </c>
    </row>
    <row r="2068" spans="7:7">
      <c r="G2068" s="440" t="s">
        <v>633</v>
      </c>
    </row>
    <row r="2069" spans="7:7">
      <c r="G2069" s="440" t="s">
        <v>633</v>
      </c>
    </row>
    <row r="2070" spans="7:7">
      <c r="G2070" s="440" t="s">
        <v>633</v>
      </c>
    </row>
    <row r="2071" spans="7:7">
      <c r="G2071" s="440" t="s">
        <v>633</v>
      </c>
    </row>
    <row r="2072" spans="7:7">
      <c r="G2072" s="440" t="s">
        <v>633</v>
      </c>
    </row>
    <row r="2073" spans="7:7">
      <c r="G2073" s="440" t="s">
        <v>633</v>
      </c>
    </row>
    <row r="2074" spans="7:7">
      <c r="G2074" s="440" t="s">
        <v>633</v>
      </c>
    </row>
    <row r="2075" spans="7:7">
      <c r="G2075" s="440" t="s">
        <v>633</v>
      </c>
    </row>
    <row r="2076" spans="7:7">
      <c r="G2076" s="440" t="s">
        <v>633</v>
      </c>
    </row>
    <row r="2077" spans="7:7">
      <c r="G2077" s="440" t="s">
        <v>633</v>
      </c>
    </row>
    <row r="2078" spans="7:7">
      <c r="G2078" s="440" t="s">
        <v>633</v>
      </c>
    </row>
    <row r="2079" spans="7:7">
      <c r="G2079" s="440" t="s">
        <v>633</v>
      </c>
    </row>
    <row r="2080" spans="7:7">
      <c r="G2080" s="440" t="s">
        <v>633</v>
      </c>
    </row>
    <row r="2081" spans="7:7">
      <c r="G2081" s="440" t="s">
        <v>633</v>
      </c>
    </row>
    <row r="2082" spans="7:7">
      <c r="G2082" s="440" t="s">
        <v>633</v>
      </c>
    </row>
    <row r="2083" spans="7:7">
      <c r="G2083" s="440" t="s">
        <v>633</v>
      </c>
    </row>
    <row r="2084" spans="7:7">
      <c r="G2084" s="440" t="s">
        <v>633</v>
      </c>
    </row>
    <row r="2085" spans="7:7">
      <c r="G2085" s="440" t="s">
        <v>633</v>
      </c>
    </row>
    <row r="2086" spans="7:7">
      <c r="G2086" s="440" t="s">
        <v>633</v>
      </c>
    </row>
    <row r="2087" spans="7:7">
      <c r="G2087" s="440" t="s">
        <v>633</v>
      </c>
    </row>
    <row r="2088" spans="7:7">
      <c r="G2088" s="440" t="s">
        <v>633</v>
      </c>
    </row>
    <row r="2089" spans="7:7">
      <c r="G2089" s="440" t="s">
        <v>633</v>
      </c>
    </row>
    <row r="2090" spans="7:7">
      <c r="G2090" s="440" t="s">
        <v>633</v>
      </c>
    </row>
    <row r="2091" spans="7:7">
      <c r="G2091" s="440" t="s">
        <v>633</v>
      </c>
    </row>
    <row r="2092" spans="7:7">
      <c r="G2092" s="440" t="s">
        <v>633</v>
      </c>
    </row>
    <row r="2093" spans="7:7">
      <c r="G2093" s="440" t="s">
        <v>633</v>
      </c>
    </row>
    <row r="2094" spans="7:7">
      <c r="G2094" s="440" t="s">
        <v>633</v>
      </c>
    </row>
    <row r="2095" spans="7:7">
      <c r="G2095" s="440" t="s">
        <v>633</v>
      </c>
    </row>
    <row r="2096" spans="7:7">
      <c r="G2096" s="440" t="s">
        <v>633</v>
      </c>
    </row>
    <row r="2097" spans="7:7">
      <c r="G2097" s="440" t="s">
        <v>633</v>
      </c>
    </row>
    <row r="2098" spans="7:7">
      <c r="G2098" s="440" t="s">
        <v>633</v>
      </c>
    </row>
    <row r="2099" spans="7:7">
      <c r="G2099" s="440" t="s">
        <v>633</v>
      </c>
    </row>
    <row r="2100" spans="7:7">
      <c r="G2100" s="440" t="s">
        <v>633</v>
      </c>
    </row>
    <row r="2101" spans="7:7">
      <c r="G2101" s="440" t="s">
        <v>633</v>
      </c>
    </row>
    <row r="2102" spans="7:7">
      <c r="G2102" s="440" t="s">
        <v>633</v>
      </c>
    </row>
    <row r="2103" spans="7:7">
      <c r="G2103" s="440" t="s">
        <v>633</v>
      </c>
    </row>
    <row r="2104" spans="7:7">
      <c r="G2104" s="440" t="s">
        <v>633</v>
      </c>
    </row>
    <row r="2105" spans="7:7">
      <c r="G2105" s="440" t="s">
        <v>633</v>
      </c>
    </row>
    <row r="2106" spans="7:7">
      <c r="G2106" s="440" t="s">
        <v>633</v>
      </c>
    </row>
    <row r="2107" spans="7:7">
      <c r="G2107" s="440" t="s">
        <v>633</v>
      </c>
    </row>
    <row r="2108" spans="7:7">
      <c r="G2108" s="440" t="s">
        <v>633</v>
      </c>
    </row>
    <row r="2109" spans="7:7">
      <c r="G2109" s="440" t="s">
        <v>633</v>
      </c>
    </row>
    <row r="2110" spans="7:7">
      <c r="G2110" s="440" t="s">
        <v>633</v>
      </c>
    </row>
    <row r="2111" spans="7:7">
      <c r="G2111" s="440" t="s">
        <v>633</v>
      </c>
    </row>
    <row r="2112" spans="7:7">
      <c r="G2112" s="440" t="s">
        <v>633</v>
      </c>
    </row>
    <row r="2113" spans="7:7">
      <c r="G2113" s="440" t="s">
        <v>633</v>
      </c>
    </row>
    <row r="2114" spans="7:7">
      <c r="G2114" s="440" t="s">
        <v>633</v>
      </c>
    </row>
    <row r="2115" spans="7:7">
      <c r="G2115" s="440" t="s">
        <v>633</v>
      </c>
    </row>
    <row r="2116" spans="7:7">
      <c r="G2116" s="440" t="s">
        <v>633</v>
      </c>
    </row>
    <row r="2117" spans="7:7">
      <c r="G2117" s="440" t="s">
        <v>633</v>
      </c>
    </row>
    <row r="2118" spans="7:7">
      <c r="G2118" s="440" t="s">
        <v>633</v>
      </c>
    </row>
    <row r="2119" spans="7:7">
      <c r="G2119" s="440" t="s">
        <v>633</v>
      </c>
    </row>
    <row r="2120" spans="7:7">
      <c r="G2120" s="440" t="s">
        <v>633</v>
      </c>
    </row>
    <row r="2121" spans="7:7">
      <c r="G2121" s="440" t="s">
        <v>633</v>
      </c>
    </row>
    <row r="2122" spans="7:7">
      <c r="G2122" s="440" t="s">
        <v>633</v>
      </c>
    </row>
    <row r="2123" spans="7:7">
      <c r="G2123" s="440" t="s">
        <v>633</v>
      </c>
    </row>
    <row r="2124" spans="7:7">
      <c r="G2124" s="440" t="s">
        <v>633</v>
      </c>
    </row>
    <row r="2125" spans="7:7">
      <c r="G2125" s="440" t="s">
        <v>633</v>
      </c>
    </row>
    <row r="2126" spans="7:7">
      <c r="G2126" s="440" t="s">
        <v>633</v>
      </c>
    </row>
    <row r="2127" spans="7:7">
      <c r="G2127" s="440" t="s">
        <v>633</v>
      </c>
    </row>
    <row r="2128" spans="7:7">
      <c r="G2128" s="440" t="s">
        <v>633</v>
      </c>
    </row>
    <row r="2129" spans="7:7">
      <c r="G2129" s="440" t="s">
        <v>633</v>
      </c>
    </row>
    <row r="2130" spans="7:7">
      <c r="G2130" s="440" t="s">
        <v>633</v>
      </c>
    </row>
    <row r="2131" spans="7:7">
      <c r="G2131" s="440" t="s">
        <v>633</v>
      </c>
    </row>
    <row r="2132" spans="7:7">
      <c r="G2132" s="440" t="s">
        <v>633</v>
      </c>
    </row>
    <row r="2133" spans="7:7">
      <c r="G2133" s="440" t="s">
        <v>633</v>
      </c>
    </row>
    <row r="2134" spans="7:7">
      <c r="G2134" s="440" t="s">
        <v>633</v>
      </c>
    </row>
    <row r="2135" spans="7:7">
      <c r="G2135" s="440" t="s">
        <v>633</v>
      </c>
    </row>
    <row r="2136" spans="7:7">
      <c r="G2136" s="440" t="s">
        <v>633</v>
      </c>
    </row>
    <row r="2137" spans="7:7">
      <c r="G2137" s="440" t="s">
        <v>633</v>
      </c>
    </row>
    <row r="2138" spans="7:7">
      <c r="G2138" s="440" t="s">
        <v>633</v>
      </c>
    </row>
    <row r="2139" spans="7:7">
      <c r="G2139" s="440" t="s">
        <v>633</v>
      </c>
    </row>
    <row r="2140" spans="7:7">
      <c r="G2140" s="440" t="s">
        <v>633</v>
      </c>
    </row>
    <row r="2141" spans="7:7">
      <c r="G2141" s="440" t="s">
        <v>633</v>
      </c>
    </row>
    <row r="2142" spans="7:7">
      <c r="G2142" s="440" t="s">
        <v>633</v>
      </c>
    </row>
    <row r="2143" spans="7:7">
      <c r="G2143" s="440" t="s">
        <v>633</v>
      </c>
    </row>
    <row r="2144" spans="7:7">
      <c r="G2144" s="440" t="s">
        <v>633</v>
      </c>
    </row>
    <row r="2145" spans="7:7">
      <c r="G2145" s="440" t="s">
        <v>633</v>
      </c>
    </row>
    <row r="2146" spans="7:7">
      <c r="G2146" s="440" t="s">
        <v>633</v>
      </c>
    </row>
    <row r="2147" spans="7:7">
      <c r="G2147" s="440" t="s">
        <v>633</v>
      </c>
    </row>
    <row r="2148" spans="7:7">
      <c r="G2148" s="440" t="s">
        <v>633</v>
      </c>
    </row>
    <row r="2149" spans="7:7">
      <c r="G2149" s="440" t="s">
        <v>633</v>
      </c>
    </row>
    <row r="2150" spans="7:7">
      <c r="G2150" s="440" t="s">
        <v>633</v>
      </c>
    </row>
    <row r="2151" spans="7:7">
      <c r="G2151" s="440" t="s">
        <v>633</v>
      </c>
    </row>
    <row r="2152" spans="7:7">
      <c r="G2152" s="440" t="s">
        <v>633</v>
      </c>
    </row>
    <row r="2153" spans="7:7">
      <c r="G2153" s="440" t="s">
        <v>633</v>
      </c>
    </row>
    <row r="2154" spans="7:7">
      <c r="G2154" s="440" t="s">
        <v>633</v>
      </c>
    </row>
    <row r="2155" spans="7:7">
      <c r="G2155" s="440" t="s">
        <v>633</v>
      </c>
    </row>
    <row r="2156" spans="7:7">
      <c r="G2156" s="440" t="s">
        <v>633</v>
      </c>
    </row>
    <row r="2157" spans="7:7">
      <c r="G2157" s="440" t="s">
        <v>633</v>
      </c>
    </row>
    <row r="2158" spans="7:7">
      <c r="G2158" s="440" t="s">
        <v>633</v>
      </c>
    </row>
    <row r="2159" spans="7:7">
      <c r="G2159" s="440" t="s">
        <v>633</v>
      </c>
    </row>
    <row r="2160" spans="7:7">
      <c r="G2160" s="440" t="s">
        <v>633</v>
      </c>
    </row>
    <row r="2161" spans="7:7">
      <c r="G2161" s="440" t="s">
        <v>633</v>
      </c>
    </row>
    <row r="2162" spans="7:7">
      <c r="G2162" s="440" t="s">
        <v>633</v>
      </c>
    </row>
    <row r="2163" spans="7:7">
      <c r="G2163" s="440" t="s">
        <v>633</v>
      </c>
    </row>
    <row r="2164" spans="7:7">
      <c r="G2164" s="440" t="s">
        <v>633</v>
      </c>
    </row>
    <row r="2165" spans="7:7">
      <c r="G2165" s="440" t="s">
        <v>633</v>
      </c>
    </row>
    <row r="2166" spans="7:7">
      <c r="G2166" s="440" t="s">
        <v>633</v>
      </c>
    </row>
    <row r="2167" spans="7:7">
      <c r="G2167" s="440" t="s">
        <v>633</v>
      </c>
    </row>
    <row r="2168" spans="7:7">
      <c r="G2168" s="440" t="s">
        <v>633</v>
      </c>
    </row>
    <row r="2169" spans="7:7">
      <c r="G2169" s="440" t="s">
        <v>633</v>
      </c>
    </row>
    <row r="2170" spans="7:7">
      <c r="G2170" s="440" t="s">
        <v>633</v>
      </c>
    </row>
    <row r="2171" spans="7:7">
      <c r="G2171" s="440" t="s">
        <v>633</v>
      </c>
    </row>
    <row r="2172" spans="7:7">
      <c r="G2172" s="440" t="s">
        <v>633</v>
      </c>
    </row>
    <row r="2173" spans="7:7">
      <c r="G2173" s="440" t="s">
        <v>633</v>
      </c>
    </row>
    <row r="2174" spans="7:7">
      <c r="G2174" s="440" t="s">
        <v>633</v>
      </c>
    </row>
    <row r="2175" spans="7:7">
      <c r="G2175" s="440" t="s">
        <v>633</v>
      </c>
    </row>
    <row r="2176" spans="7:7">
      <c r="G2176" s="440" t="s">
        <v>633</v>
      </c>
    </row>
    <row r="2177" spans="7:7">
      <c r="G2177" s="440" t="s">
        <v>633</v>
      </c>
    </row>
    <row r="2178" spans="7:7">
      <c r="G2178" s="440" t="s">
        <v>633</v>
      </c>
    </row>
    <row r="2179" spans="7:7">
      <c r="G2179" s="440" t="s">
        <v>633</v>
      </c>
    </row>
    <row r="2180" spans="7:7">
      <c r="G2180" s="440" t="s">
        <v>633</v>
      </c>
    </row>
    <row r="2181" spans="7:7">
      <c r="G2181" s="440" t="s">
        <v>633</v>
      </c>
    </row>
    <row r="2182" spans="7:7">
      <c r="G2182" s="440" t="s">
        <v>633</v>
      </c>
    </row>
    <row r="2183" spans="7:7">
      <c r="G2183" s="440" t="s">
        <v>633</v>
      </c>
    </row>
    <row r="2184" spans="7:7">
      <c r="G2184" s="440" t="s">
        <v>633</v>
      </c>
    </row>
    <row r="2185" spans="7:7">
      <c r="G2185" s="440" t="s">
        <v>633</v>
      </c>
    </row>
    <row r="2186" spans="7:7">
      <c r="G2186" s="440" t="s">
        <v>633</v>
      </c>
    </row>
    <row r="2187" spans="7:7">
      <c r="G2187" s="440" t="s">
        <v>633</v>
      </c>
    </row>
    <row r="2188" spans="7:7">
      <c r="G2188" s="440" t="s">
        <v>633</v>
      </c>
    </row>
    <row r="2189" spans="7:7">
      <c r="G2189" s="440" t="s">
        <v>633</v>
      </c>
    </row>
    <row r="2190" spans="7:7">
      <c r="G2190" s="440" t="s">
        <v>633</v>
      </c>
    </row>
    <row r="2191" spans="7:7">
      <c r="G2191" s="440" t="s">
        <v>633</v>
      </c>
    </row>
    <row r="2192" spans="7:7">
      <c r="G2192" s="440" t="s">
        <v>633</v>
      </c>
    </row>
    <row r="2193" spans="7:7">
      <c r="G2193" s="440" t="s">
        <v>633</v>
      </c>
    </row>
    <row r="2194" spans="7:7">
      <c r="G2194" s="440" t="s">
        <v>633</v>
      </c>
    </row>
    <row r="2195" spans="7:7">
      <c r="G2195" s="440" t="s">
        <v>633</v>
      </c>
    </row>
    <row r="2196" spans="7:7">
      <c r="G2196" s="440" t="s">
        <v>633</v>
      </c>
    </row>
    <row r="2197" spans="7:7">
      <c r="G2197" s="440" t="s">
        <v>633</v>
      </c>
    </row>
    <row r="2198" spans="7:7">
      <c r="G2198" s="440" t="s">
        <v>633</v>
      </c>
    </row>
    <row r="2199" spans="7:7">
      <c r="G2199" s="440" t="s">
        <v>633</v>
      </c>
    </row>
    <row r="2200" spans="7:7">
      <c r="G2200" s="440" t="s">
        <v>633</v>
      </c>
    </row>
    <row r="2201" spans="7:7">
      <c r="G2201" s="440" t="s">
        <v>633</v>
      </c>
    </row>
    <row r="2202" spans="7:7">
      <c r="G2202" s="440" t="s">
        <v>633</v>
      </c>
    </row>
    <row r="2203" spans="7:7">
      <c r="G2203" s="440" t="s">
        <v>633</v>
      </c>
    </row>
    <row r="2204" spans="7:7">
      <c r="G2204" s="440" t="s">
        <v>633</v>
      </c>
    </row>
    <row r="2205" spans="7:7">
      <c r="G2205" s="440" t="s">
        <v>633</v>
      </c>
    </row>
    <row r="2206" spans="7:7">
      <c r="G2206" s="440" t="s">
        <v>633</v>
      </c>
    </row>
    <row r="2207" spans="7:7">
      <c r="G2207" s="440" t="s">
        <v>633</v>
      </c>
    </row>
    <row r="2208" spans="7:7">
      <c r="G2208" s="440" t="s">
        <v>633</v>
      </c>
    </row>
    <row r="2209" spans="7:7">
      <c r="G2209" s="440" t="s">
        <v>633</v>
      </c>
    </row>
    <row r="2210" spans="7:7">
      <c r="G2210" s="440" t="s">
        <v>633</v>
      </c>
    </row>
    <row r="2211" spans="7:7">
      <c r="G2211" s="440" t="s">
        <v>633</v>
      </c>
    </row>
    <row r="2212" spans="7:7">
      <c r="G2212" s="440" t="s">
        <v>633</v>
      </c>
    </row>
    <row r="2213" spans="7:7">
      <c r="G2213" s="440" t="s">
        <v>633</v>
      </c>
    </row>
    <row r="2214" spans="7:7">
      <c r="G2214" s="440" t="s">
        <v>633</v>
      </c>
    </row>
    <row r="2215" spans="7:7">
      <c r="G2215" s="440" t="s">
        <v>633</v>
      </c>
    </row>
    <row r="2216" spans="7:7">
      <c r="G2216" s="440" t="s">
        <v>633</v>
      </c>
    </row>
    <row r="2217" spans="7:7">
      <c r="G2217" s="440" t="s">
        <v>633</v>
      </c>
    </row>
    <row r="2218" spans="7:7">
      <c r="G2218" s="440" t="s">
        <v>633</v>
      </c>
    </row>
    <row r="2219" spans="7:7">
      <c r="G2219" s="440" t="s">
        <v>633</v>
      </c>
    </row>
    <row r="2220" spans="7:7">
      <c r="G2220" s="440" t="s">
        <v>633</v>
      </c>
    </row>
    <row r="2221" spans="7:7">
      <c r="G2221" s="440" t="s">
        <v>633</v>
      </c>
    </row>
    <row r="2222" spans="7:7">
      <c r="G2222" s="440" t="s">
        <v>633</v>
      </c>
    </row>
    <row r="2223" spans="7:7">
      <c r="G2223" s="440" t="s">
        <v>633</v>
      </c>
    </row>
    <row r="2224" spans="7:7">
      <c r="G2224" s="440" t="s">
        <v>633</v>
      </c>
    </row>
    <row r="2225" spans="7:7">
      <c r="G2225" s="440" t="s">
        <v>633</v>
      </c>
    </row>
    <row r="2226" spans="7:7">
      <c r="G2226" s="440" t="s">
        <v>633</v>
      </c>
    </row>
    <row r="2227" spans="7:7">
      <c r="G2227" s="440" t="s">
        <v>633</v>
      </c>
    </row>
    <row r="2228" spans="7:7">
      <c r="G2228" s="440" t="s">
        <v>633</v>
      </c>
    </row>
    <row r="2229" spans="7:7">
      <c r="G2229" s="440" t="s">
        <v>633</v>
      </c>
    </row>
    <row r="2230" spans="7:7">
      <c r="G2230" s="440" t="s">
        <v>633</v>
      </c>
    </row>
    <row r="2231" spans="7:7">
      <c r="G2231" s="440" t="s">
        <v>633</v>
      </c>
    </row>
    <row r="2232" spans="7:7">
      <c r="G2232" s="440" t="s">
        <v>633</v>
      </c>
    </row>
    <row r="2233" spans="7:7">
      <c r="G2233" s="440" t="s">
        <v>633</v>
      </c>
    </row>
    <row r="2234" spans="7:7">
      <c r="G2234" s="440" t="s">
        <v>633</v>
      </c>
    </row>
    <row r="2235" spans="7:7">
      <c r="G2235" s="440" t="s">
        <v>633</v>
      </c>
    </row>
    <row r="2236" spans="7:7">
      <c r="G2236" s="440" t="s">
        <v>633</v>
      </c>
    </row>
    <row r="2237" spans="7:7">
      <c r="G2237" s="440" t="s">
        <v>633</v>
      </c>
    </row>
    <row r="2238" spans="7:7">
      <c r="G2238" s="440" t="s">
        <v>633</v>
      </c>
    </row>
    <row r="2239" spans="7:7">
      <c r="G2239" s="440" t="s">
        <v>633</v>
      </c>
    </row>
    <row r="2240" spans="7:7">
      <c r="G2240" s="440" t="s">
        <v>633</v>
      </c>
    </row>
    <row r="2241" spans="7:7">
      <c r="G2241" s="440" t="s">
        <v>633</v>
      </c>
    </row>
    <row r="2242" spans="7:7">
      <c r="G2242" s="440" t="s">
        <v>633</v>
      </c>
    </row>
    <row r="2243" spans="7:7">
      <c r="G2243" s="440" t="s">
        <v>633</v>
      </c>
    </row>
    <row r="2244" spans="7:7">
      <c r="G2244" s="440" t="s">
        <v>633</v>
      </c>
    </row>
    <row r="2245" spans="7:7">
      <c r="G2245" s="440" t="s">
        <v>633</v>
      </c>
    </row>
    <row r="2246" spans="7:7">
      <c r="G2246" s="440" t="s">
        <v>633</v>
      </c>
    </row>
    <row r="2247" spans="7:7">
      <c r="G2247" s="440" t="s">
        <v>633</v>
      </c>
    </row>
    <row r="2248" spans="7:7">
      <c r="G2248" s="440" t="s">
        <v>633</v>
      </c>
    </row>
    <row r="2249" spans="7:7">
      <c r="G2249" s="440" t="s">
        <v>633</v>
      </c>
    </row>
    <row r="2250" spans="7:7">
      <c r="G2250" s="440" t="s">
        <v>633</v>
      </c>
    </row>
    <row r="2251" spans="7:7">
      <c r="G2251" s="440" t="s">
        <v>633</v>
      </c>
    </row>
    <row r="2252" spans="7:7">
      <c r="G2252" s="440" t="s">
        <v>633</v>
      </c>
    </row>
    <row r="2253" spans="7:7">
      <c r="G2253" s="440" t="s">
        <v>633</v>
      </c>
    </row>
    <row r="2254" spans="7:7">
      <c r="G2254" s="440" t="s">
        <v>633</v>
      </c>
    </row>
    <row r="2255" spans="7:7">
      <c r="G2255" s="440" t="s">
        <v>633</v>
      </c>
    </row>
    <row r="2256" spans="7:7">
      <c r="G2256" s="440" t="s">
        <v>633</v>
      </c>
    </row>
    <row r="2257" spans="7:7">
      <c r="G2257" s="440" t="s">
        <v>633</v>
      </c>
    </row>
    <row r="2258" spans="7:7">
      <c r="G2258" s="440" t="s">
        <v>633</v>
      </c>
    </row>
    <row r="2259" spans="7:7">
      <c r="G2259" s="440" t="s">
        <v>633</v>
      </c>
    </row>
    <row r="2260" spans="7:7">
      <c r="G2260" s="440" t="s">
        <v>633</v>
      </c>
    </row>
    <row r="2261" spans="7:7">
      <c r="G2261" s="440" t="s">
        <v>633</v>
      </c>
    </row>
    <row r="2262" spans="7:7">
      <c r="G2262" s="440" t="s">
        <v>633</v>
      </c>
    </row>
    <row r="2263" spans="7:7">
      <c r="G2263" s="448" t="s">
        <v>633</v>
      </c>
    </row>
    <row r="2264" spans="7:7">
      <c r="G2264" s="440" t="s">
        <v>633</v>
      </c>
    </row>
    <row r="2265" spans="7:7">
      <c r="G2265" s="440" t="s">
        <v>633</v>
      </c>
    </row>
    <row r="2266" spans="7:7">
      <c r="G2266" s="440" t="s">
        <v>633</v>
      </c>
    </row>
    <row r="2267" spans="7:7">
      <c r="G2267" s="440" t="s">
        <v>633</v>
      </c>
    </row>
    <row r="2268" spans="7:7">
      <c r="G2268" s="440" t="s">
        <v>633</v>
      </c>
    </row>
    <row r="2269" spans="7:7">
      <c r="G2269" s="440" t="s">
        <v>633</v>
      </c>
    </row>
    <row r="2270" spans="7:7">
      <c r="G2270" s="440" t="s">
        <v>633</v>
      </c>
    </row>
    <row r="2271" spans="7:7">
      <c r="G2271" s="440" t="s">
        <v>633</v>
      </c>
    </row>
    <row r="2272" spans="7:7">
      <c r="G2272" s="440" t="s">
        <v>633</v>
      </c>
    </row>
    <row r="2273" spans="7:7">
      <c r="G2273" s="440" t="s">
        <v>633</v>
      </c>
    </row>
    <row r="2274" spans="7:7">
      <c r="G2274" s="440" t="s">
        <v>633</v>
      </c>
    </row>
    <row r="2275" spans="7:7">
      <c r="G2275" s="440" t="s">
        <v>633</v>
      </c>
    </row>
    <row r="2276" spans="7:7">
      <c r="G2276" s="440" t="s">
        <v>633</v>
      </c>
    </row>
    <row r="2277" spans="7:7">
      <c r="G2277" s="440" t="s">
        <v>633</v>
      </c>
    </row>
    <row r="2278" spans="7:7">
      <c r="G2278" s="440" t="s">
        <v>633</v>
      </c>
    </row>
    <row r="2279" spans="7:7">
      <c r="G2279" s="440" t="s">
        <v>633</v>
      </c>
    </row>
    <row r="2280" spans="7:7">
      <c r="G2280" s="440" t="s">
        <v>633</v>
      </c>
    </row>
    <row r="2281" spans="7:7">
      <c r="G2281" s="440" t="s">
        <v>633</v>
      </c>
    </row>
    <row r="2282" spans="7:7">
      <c r="G2282" s="440" t="s">
        <v>633</v>
      </c>
    </row>
    <row r="2283" spans="7:7">
      <c r="G2283" s="440" t="s">
        <v>633</v>
      </c>
    </row>
    <row r="2284" spans="7:7">
      <c r="G2284" s="440" t="s">
        <v>633</v>
      </c>
    </row>
    <row r="2285" spans="7:7">
      <c r="G2285" s="440" t="s">
        <v>633</v>
      </c>
    </row>
    <row r="2286" spans="7:7">
      <c r="G2286" s="440" t="s">
        <v>633</v>
      </c>
    </row>
    <row r="2287" spans="7:7">
      <c r="G2287" s="440" t="s">
        <v>633</v>
      </c>
    </row>
    <row r="2288" spans="7:7">
      <c r="G2288" s="440" t="s">
        <v>633</v>
      </c>
    </row>
    <row r="2289" spans="7:7">
      <c r="G2289" s="440" t="s">
        <v>633</v>
      </c>
    </row>
    <row r="2290" spans="7:7">
      <c r="G2290" s="440" t="s">
        <v>633</v>
      </c>
    </row>
    <row r="2291" spans="7:7">
      <c r="G2291" s="440" t="s">
        <v>633</v>
      </c>
    </row>
    <row r="2292" spans="7:7">
      <c r="G2292" s="440" t="s">
        <v>633</v>
      </c>
    </row>
    <row r="2293" spans="7:7">
      <c r="G2293" s="440" t="s">
        <v>633</v>
      </c>
    </row>
    <row r="2294" spans="7:7">
      <c r="G2294" s="440" t="s">
        <v>633</v>
      </c>
    </row>
    <row r="2295" spans="7:7">
      <c r="G2295" s="440" t="s">
        <v>633</v>
      </c>
    </row>
    <row r="2296" spans="7:7">
      <c r="G2296" s="440" t="s">
        <v>633</v>
      </c>
    </row>
    <row r="2297" spans="7:7">
      <c r="G2297" s="440" t="s">
        <v>633</v>
      </c>
    </row>
    <row r="2298" spans="7:7">
      <c r="G2298" s="440" t="s">
        <v>633</v>
      </c>
    </row>
    <row r="2299" spans="7:7">
      <c r="G2299" s="440" t="s">
        <v>633</v>
      </c>
    </row>
    <row r="2300" spans="7:7">
      <c r="G2300" s="440" t="s">
        <v>633</v>
      </c>
    </row>
    <row r="2301" spans="7:7">
      <c r="G2301" s="440" t="s">
        <v>633</v>
      </c>
    </row>
    <row r="2302" spans="7:7">
      <c r="G2302" s="440" t="s">
        <v>633</v>
      </c>
    </row>
    <row r="2303" spans="7:7">
      <c r="G2303" s="440" t="s">
        <v>633</v>
      </c>
    </row>
    <row r="2304" spans="7:7">
      <c r="G2304" s="440" t="s">
        <v>633</v>
      </c>
    </row>
    <row r="2305" spans="7:7">
      <c r="G2305" s="440" t="s">
        <v>633</v>
      </c>
    </row>
    <row r="2306" spans="7:7">
      <c r="G2306" s="440" t="s">
        <v>633</v>
      </c>
    </row>
    <row r="2307" spans="7:7">
      <c r="G2307" s="440" t="s">
        <v>633</v>
      </c>
    </row>
    <row r="2308" spans="7:7">
      <c r="G2308" s="440" t="s">
        <v>633</v>
      </c>
    </row>
    <row r="2309" spans="7:7">
      <c r="G2309" s="440" t="s">
        <v>633</v>
      </c>
    </row>
    <row r="2310" spans="7:7">
      <c r="G2310" s="440" t="s">
        <v>633</v>
      </c>
    </row>
    <row r="2311" spans="7:7">
      <c r="G2311" s="440" t="s">
        <v>633</v>
      </c>
    </row>
    <row r="2312" spans="7:7">
      <c r="G2312" s="440" t="s">
        <v>633</v>
      </c>
    </row>
    <row r="2313" spans="7:7">
      <c r="G2313" s="440" t="s">
        <v>633</v>
      </c>
    </row>
    <row r="2314" spans="7:7">
      <c r="G2314" s="440" t="s">
        <v>633</v>
      </c>
    </row>
    <row r="2315" spans="7:7">
      <c r="G2315" s="440" t="s">
        <v>633</v>
      </c>
    </row>
    <row r="2316" spans="7:7">
      <c r="G2316" s="440" t="s">
        <v>633</v>
      </c>
    </row>
    <row r="2317" spans="7:7">
      <c r="G2317" s="440" t="s">
        <v>633</v>
      </c>
    </row>
    <row r="2318" spans="7:7">
      <c r="G2318" s="440" t="s">
        <v>633</v>
      </c>
    </row>
    <row r="2319" spans="7:7">
      <c r="G2319" s="440" t="s">
        <v>633</v>
      </c>
    </row>
    <row r="2320" spans="7:7">
      <c r="G2320" s="440" t="s">
        <v>633</v>
      </c>
    </row>
    <row r="2321" spans="7:7">
      <c r="G2321" s="440" t="s">
        <v>633</v>
      </c>
    </row>
    <row r="2322" spans="7:7">
      <c r="G2322" s="440" t="s">
        <v>633</v>
      </c>
    </row>
    <row r="2323" spans="7:7">
      <c r="G2323" s="440" t="s">
        <v>633</v>
      </c>
    </row>
    <row r="2324" spans="7:7">
      <c r="G2324" s="440" t="s">
        <v>633</v>
      </c>
    </row>
    <row r="2325" spans="7:7">
      <c r="G2325" s="440" t="s">
        <v>633</v>
      </c>
    </row>
    <row r="2326" spans="7:7">
      <c r="G2326" s="440" t="s">
        <v>633</v>
      </c>
    </row>
    <row r="2327" spans="7:7">
      <c r="G2327" s="440" t="s">
        <v>633</v>
      </c>
    </row>
    <row r="2328" spans="7:7">
      <c r="G2328" s="440" t="s">
        <v>633</v>
      </c>
    </row>
    <row r="2329" spans="7:7">
      <c r="G2329" s="440" t="s">
        <v>633</v>
      </c>
    </row>
    <row r="2330" spans="7:7">
      <c r="G2330" s="440" t="s">
        <v>633</v>
      </c>
    </row>
    <row r="2331" spans="7:7">
      <c r="G2331" s="440" t="s">
        <v>633</v>
      </c>
    </row>
    <row r="2332" spans="7:7">
      <c r="G2332" s="440" t="s">
        <v>633</v>
      </c>
    </row>
    <row r="2333" spans="7:7">
      <c r="G2333" s="440" t="s">
        <v>633</v>
      </c>
    </row>
    <row r="2334" spans="7:7">
      <c r="G2334" s="440" t="s">
        <v>633</v>
      </c>
    </row>
    <row r="2335" spans="7:7">
      <c r="G2335" s="440" t="s">
        <v>633</v>
      </c>
    </row>
    <row r="2336" spans="7:7">
      <c r="G2336" s="440" t="s">
        <v>633</v>
      </c>
    </row>
    <row r="2337" spans="7:7">
      <c r="G2337" s="440" t="s">
        <v>633</v>
      </c>
    </row>
    <row r="2338" spans="7:7">
      <c r="G2338" s="440" t="s">
        <v>633</v>
      </c>
    </row>
    <row r="2339" spans="7:7">
      <c r="G2339" s="440" t="s">
        <v>633</v>
      </c>
    </row>
    <row r="2340" spans="7:7">
      <c r="G2340" s="440" t="s">
        <v>633</v>
      </c>
    </row>
    <row r="2341" spans="7:7">
      <c r="G2341" s="440" t="s">
        <v>633</v>
      </c>
    </row>
    <row r="2342" spans="7:7">
      <c r="G2342" s="440" t="s">
        <v>633</v>
      </c>
    </row>
    <row r="2343" spans="7:7">
      <c r="G2343" s="440" t="s">
        <v>633</v>
      </c>
    </row>
    <row r="2344" spans="7:7">
      <c r="G2344" s="440" t="s">
        <v>633</v>
      </c>
    </row>
    <row r="2345" spans="7:7">
      <c r="G2345" s="440" t="s">
        <v>633</v>
      </c>
    </row>
    <row r="2346" spans="7:7">
      <c r="G2346" s="440" t="s">
        <v>633</v>
      </c>
    </row>
    <row r="2347" spans="7:7">
      <c r="G2347" s="440" t="s">
        <v>633</v>
      </c>
    </row>
    <row r="2348" spans="7:7">
      <c r="G2348" s="440" t="s">
        <v>633</v>
      </c>
    </row>
    <row r="2349" spans="7:7">
      <c r="G2349" s="440" t="s">
        <v>633</v>
      </c>
    </row>
    <row r="2350" spans="7:7">
      <c r="G2350" s="440" t="s">
        <v>633</v>
      </c>
    </row>
    <row r="2351" spans="7:7">
      <c r="G2351" s="440" t="s">
        <v>633</v>
      </c>
    </row>
    <row r="2352" spans="7:7">
      <c r="G2352" s="440" t="s">
        <v>633</v>
      </c>
    </row>
    <row r="2353" spans="7:7">
      <c r="G2353" s="440" t="s">
        <v>633</v>
      </c>
    </row>
    <row r="2354" spans="7:7">
      <c r="G2354" s="440" t="s">
        <v>633</v>
      </c>
    </row>
    <row r="2355" spans="7:7">
      <c r="G2355" s="440" t="s">
        <v>633</v>
      </c>
    </row>
    <row r="2356" spans="7:7">
      <c r="G2356" s="440" t="s">
        <v>633</v>
      </c>
    </row>
    <row r="2357" spans="7:7">
      <c r="G2357" s="440" t="s">
        <v>633</v>
      </c>
    </row>
    <row r="2358" spans="7:7">
      <c r="G2358" s="440" t="s">
        <v>633</v>
      </c>
    </row>
    <row r="2359" spans="7:7">
      <c r="G2359" s="440" t="s">
        <v>633</v>
      </c>
    </row>
    <row r="2360" spans="7:7">
      <c r="G2360" s="440" t="s">
        <v>633</v>
      </c>
    </row>
    <row r="2361" spans="7:7">
      <c r="G2361" s="440" t="s">
        <v>633</v>
      </c>
    </row>
    <row r="2362" spans="7:7">
      <c r="G2362" s="440" t="s">
        <v>633</v>
      </c>
    </row>
    <row r="2363" spans="7:7">
      <c r="G2363" s="440" t="s">
        <v>633</v>
      </c>
    </row>
    <row r="2364" spans="7:7">
      <c r="G2364" s="440" t="s">
        <v>633</v>
      </c>
    </row>
    <row r="2365" spans="7:7">
      <c r="G2365" s="440" t="s">
        <v>633</v>
      </c>
    </row>
    <row r="2366" spans="7:7">
      <c r="G2366" s="440" t="s">
        <v>633</v>
      </c>
    </row>
    <row r="2367" spans="7:7">
      <c r="G2367" s="440" t="s">
        <v>633</v>
      </c>
    </row>
    <row r="2368" spans="7:7">
      <c r="G2368" s="440" t="s">
        <v>633</v>
      </c>
    </row>
    <row r="2369" spans="7:7">
      <c r="G2369" s="440" t="s">
        <v>633</v>
      </c>
    </row>
    <row r="2370" spans="7:7">
      <c r="G2370" s="440" t="s">
        <v>633</v>
      </c>
    </row>
    <row r="2371" spans="7:7">
      <c r="G2371" s="440" t="s">
        <v>633</v>
      </c>
    </row>
    <row r="2372" spans="7:7">
      <c r="G2372" s="440" t="s">
        <v>633</v>
      </c>
    </row>
    <row r="2373" spans="7:7">
      <c r="G2373" s="440" t="s">
        <v>633</v>
      </c>
    </row>
    <row r="2374" spans="7:7">
      <c r="G2374" s="440" t="s">
        <v>633</v>
      </c>
    </row>
    <row r="2375" spans="7:7">
      <c r="G2375" s="440" t="s">
        <v>633</v>
      </c>
    </row>
    <row r="2376" spans="7:7">
      <c r="G2376" s="440" t="s">
        <v>633</v>
      </c>
    </row>
    <row r="2377" spans="7:7">
      <c r="G2377" s="440" t="s">
        <v>633</v>
      </c>
    </row>
    <row r="2378" spans="7:7">
      <c r="G2378" s="440" t="s">
        <v>633</v>
      </c>
    </row>
    <row r="2379" spans="7:7">
      <c r="G2379" s="440" t="s">
        <v>633</v>
      </c>
    </row>
    <row r="2380" spans="7:7">
      <c r="G2380" s="440" t="s">
        <v>633</v>
      </c>
    </row>
    <row r="2381" spans="7:7">
      <c r="G2381" s="440" t="s">
        <v>633</v>
      </c>
    </row>
    <row r="2382" spans="7:7">
      <c r="G2382" s="440" t="s">
        <v>633</v>
      </c>
    </row>
    <row r="2383" spans="7:7">
      <c r="G2383" s="440" t="s">
        <v>633</v>
      </c>
    </row>
    <row r="2384" spans="7:7">
      <c r="G2384" s="440" t="s">
        <v>633</v>
      </c>
    </row>
    <row r="2385" spans="7:7">
      <c r="G2385" s="440" t="s">
        <v>633</v>
      </c>
    </row>
    <row r="2386" spans="7:7">
      <c r="G2386" s="440" t="s">
        <v>633</v>
      </c>
    </row>
    <row r="2387" spans="7:7">
      <c r="G2387" s="440" t="s">
        <v>633</v>
      </c>
    </row>
    <row r="2388" spans="7:7">
      <c r="G2388" s="440" t="s">
        <v>633</v>
      </c>
    </row>
    <row r="2389" spans="7:7">
      <c r="G2389" s="440" t="s">
        <v>633</v>
      </c>
    </row>
    <row r="2390" spans="7:7">
      <c r="G2390" s="440" t="s">
        <v>633</v>
      </c>
    </row>
    <row r="2391" spans="7:7">
      <c r="G2391" s="440" t="s">
        <v>633</v>
      </c>
    </row>
    <row r="2392" spans="7:7">
      <c r="G2392" s="440" t="s">
        <v>633</v>
      </c>
    </row>
    <row r="2393" spans="7:7">
      <c r="G2393" s="440" t="s">
        <v>633</v>
      </c>
    </row>
    <row r="2394" spans="7:7">
      <c r="G2394" s="440" t="s">
        <v>633</v>
      </c>
    </row>
    <row r="2395" spans="7:7">
      <c r="G2395" s="440" t="s">
        <v>633</v>
      </c>
    </row>
    <row r="2396" spans="7:7">
      <c r="G2396" s="440" t="s">
        <v>633</v>
      </c>
    </row>
    <row r="2397" spans="7:7">
      <c r="G2397" s="440" t="s">
        <v>633</v>
      </c>
    </row>
    <row r="2398" spans="7:7">
      <c r="G2398" s="440" t="s">
        <v>633</v>
      </c>
    </row>
    <row r="2399" spans="7:7">
      <c r="G2399" s="440" t="s">
        <v>633</v>
      </c>
    </row>
    <row r="2400" spans="7:7">
      <c r="G2400" s="440" t="s">
        <v>633</v>
      </c>
    </row>
    <row r="2401" spans="7:7">
      <c r="G2401" s="440" t="s">
        <v>633</v>
      </c>
    </row>
    <row r="2402" spans="7:7">
      <c r="G2402" s="440" t="s">
        <v>633</v>
      </c>
    </row>
    <row r="2403" spans="7:7">
      <c r="G2403" s="440" t="s">
        <v>633</v>
      </c>
    </row>
    <row r="2404" spans="7:7">
      <c r="G2404" s="440" t="s">
        <v>633</v>
      </c>
    </row>
    <row r="2405" spans="7:7">
      <c r="G2405" s="440" t="s">
        <v>633</v>
      </c>
    </row>
    <row r="2406" spans="7:7">
      <c r="G2406" s="440" t="s">
        <v>633</v>
      </c>
    </row>
    <row r="2407" spans="7:7">
      <c r="G2407" s="440" t="s">
        <v>633</v>
      </c>
    </row>
    <row r="2408" spans="7:7">
      <c r="G2408" s="440" t="s">
        <v>633</v>
      </c>
    </row>
    <row r="2409" spans="7:7">
      <c r="G2409" s="440" t="s">
        <v>633</v>
      </c>
    </row>
    <row r="2410" spans="7:7">
      <c r="G2410" s="440" t="s">
        <v>633</v>
      </c>
    </row>
    <row r="2411" spans="7:7">
      <c r="G2411" s="440" t="s">
        <v>633</v>
      </c>
    </row>
    <row r="2412" spans="7:7">
      <c r="G2412" s="440" t="s">
        <v>633</v>
      </c>
    </row>
    <row r="2413" spans="7:7">
      <c r="G2413" s="440" t="s">
        <v>633</v>
      </c>
    </row>
    <row r="2414" spans="7:7">
      <c r="G2414" s="440" t="s">
        <v>633</v>
      </c>
    </row>
    <row r="2415" spans="7:7">
      <c r="G2415" s="440" t="s">
        <v>633</v>
      </c>
    </row>
    <row r="2416" spans="7:7">
      <c r="G2416" s="440" t="s">
        <v>633</v>
      </c>
    </row>
    <row r="2417" spans="7:7">
      <c r="G2417" s="440" t="s">
        <v>633</v>
      </c>
    </row>
    <row r="2418" spans="7:7">
      <c r="G2418" s="440" t="s">
        <v>633</v>
      </c>
    </row>
    <row r="2419" spans="7:7">
      <c r="G2419" s="440" t="s">
        <v>633</v>
      </c>
    </row>
    <row r="2420" spans="7:7">
      <c r="G2420" s="440" t="s">
        <v>633</v>
      </c>
    </row>
    <row r="2421" spans="7:7">
      <c r="G2421" s="440" t="s">
        <v>633</v>
      </c>
    </row>
    <row r="2422" spans="7:7">
      <c r="G2422" s="440" t="s">
        <v>633</v>
      </c>
    </row>
    <row r="2423" spans="7:7">
      <c r="G2423" s="440" t="s">
        <v>633</v>
      </c>
    </row>
    <row r="2424" spans="7:7">
      <c r="G2424" s="440" t="s">
        <v>633</v>
      </c>
    </row>
    <row r="2425" spans="7:7">
      <c r="G2425" s="440" t="s">
        <v>633</v>
      </c>
    </row>
    <row r="2426" spans="7:7">
      <c r="G2426" s="440" t="s">
        <v>633</v>
      </c>
    </row>
    <row r="2427" spans="7:7">
      <c r="G2427" s="440" t="s">
        <v>633</v>
      </c>
    </row>
    <row r="2428" spans="7:7">
      <c r="G2428" s="440" t="s">
        <v>633</v>
      </c>
    </row>
    <row r="2429" spans="7:7">
      <c r="G2429" s="440" t="s">
        <v>633</v>
      </c>
    </row>
    <row r="2430" spans="7:7">
      <c r="G2430" s="440" t="s">
        <v>633</v>
      </c>
    </row>
    <row r="2431" spans="7:7">
      <c r="G2431" s="440" t="s">
        <v>633</v>
      </c>
    </row>
    <row r="2432" spans="7:7">
      <c r="G2432" s="440" t="s">
        <v>633</v>
      </c>
    </row>
    <row r="2433" spans="7:7">
      <c r="G2433" s="440" t="s">
        <v>633</v>
      </c>
    </row>
    <row r="2434" spans="7:7">
      <c r="G2434" s="440" t="s">
        <v>633</v>
      </c>
    </row>
    <row r="2435" spans="7:7">
      <c r="G2435" s="440" t="s">
        <v>633</v>
      </c>
    </row>
    <row r="2436" spans="7:7">
      <c r="G2436" s="440" t="s">
        <v>633</v>
      </c>
    </row>
    <row r="2437" spans="7:7">
      <c r="G2437" s="440" t="s">
        <v>633</v>
      </c>
    </row>
    <row r="2438" spans="7:7">
      <c r="G2438" s="440" t="s">
        <v>633</v>
      </c>
    </row>
    <row r="2439" spans="7:7">
      <c r="G2439" s="440" t="s">
        <v>633</v>
      </c>
    </row>
    <row r="2440" spans="7:7">
      <c r="G2440" s="440" t="s">
        <v>633</v>
      </c>
    </row>
    <row r="2441" spans="7:7">
      <c r="G2441" s="440" t="s">
        <v>633</v>
      </c>
    </row>
    <row r="2442" spans="7:7">
      <c r="G2442" s="440" t="s">
        <v>633</v>
      </c>
    </row>
    <row r="2443" spans="7:7">
      <c r="G2443" s="440" t="s">
        <v>633</v>
      </c>
    </row>
    <row r="2444" spans="7:7">
      <c r="G2444" s="440" t="s">
        <v>633</v>
      </c>
    </row>
    <row r="2445" spans="7:7">
      <c r="G2445" s="440" t="s">
        <v>633</v>
      </c>
    </row>
    <row r="2446" spans="7:7">
      <c r="G2446" s="440" t="s">
        <v>633</v>
      </c>
    </row>
    <row r="2447" spans="7:7">
      <c r="G2447" s="440" t="s">
        <v>633</v>
      </c>
    </row>
    <row r="2448" spans="7:7">
      <c r="G2448" s="440" t="s">
        <v>633</v>
      </c>
    </row>
    <row r="2449" spans="7:7">
      <c r="G2449" s="440" t="s">
        <v>633</v>
      </c>
    </row>
    <row r="2450" spans="7:7">
      <c r="G2450" s="440" t="s">
        <v>633</v>
      </c>
    </row>
    <row r="2451" spans="7:7">
      <c r="G2451" s="440" t="s">
        <v>633</v>
      </c>
    </row>
    <row r="2452" spans="7:7">
      <c r="G2452" s="440" t="s">
        <v>633</v>
      </c>
    </row>
    <row r="2453" spans="7:7">
      <c r="G2453" s="440" t="s">
        <v>633</v>
      </c>
    </row>
    <row r="2454" spans="7:7">
      <c r="G2454" s="440" t="s">
        <v>633</v>
      </c>
    </row>
    <row r="2455" spans="7:7">
      <c r="G2455" s="440" t="s">
        <v>633</v>
      </c>
    </row>
    <row r="2456" spans="7:7">
      <c r="G2456" s="440" t="s">
        <v>633</v>
      </c>
    </row>
    <row r="2457" spans="7:7">
      <c r="G2457" s="440" t="s">
        <v>633</v>
      </c>
    </row>
    <row r="2458" spans="7:7">
      <c r="G2458" s="440" t="s">
        <v>633</v>
      </c>
    </row>
    <row r="2459" spans="7:7">
      <c r="G2459" s="440" t="s">
        <v>633</v>
      </c>
    </row>
    <row r="2460" spans="7:7">
      <c r="G2460" s="440" t="s">
        <v>633</v>
      </c>
    </row>
    <row r="2461" spans="7:7">
      <c r="G2461" s="440" t="s">
        <v>633</v>
      </c>
    </row>
    <row r="2462" spans="7:7">
      <c r="G2462" s="440" t="s">
        <v>633</v>
      </c>
    </row>
    <row r="2463" spans="7:7">
      <c r="G2463" s="440" t="s">
        <v>633</v>
      </c>
    </row>
    <row r="2464" spans="7:7">
      <c r="G2464" s="440" t="s">
        <v>633</v>
      </c>
    </row>
    <row r="2465" spans="7:7">
      <c r="G2465" s="440" t="s">
        <v>633</v>
      </c>
    </row>
    <row r="2466" spans="7:7">
      <c r="G2466" s="440" t="s">
        <v>633</v>
      </c>
    </row>
    <row r="2467" spans="7:7">
      <c r="G2467" s="440" t="s">
        <v>633</v>
      </c>
    </row>
    <row r="2468" spans="7:7">
      <c r="G2468" s="440" t="s">
        <v>633</v>
      </c>
    </row>
    <row r="2469" spans="7:7">
      <c r="G2469" s="440" t="s">
        <v>633</v>
      </c>
    </row>
    <row r="2470" spans="7:7">
      <c r="G2470" s="440" t="s">
        <v>633</v>
      </c>
    </row>
    <row r="2471" spans="7:7">
      <c r="G2471" s="440" t="s">
        <v>633</v>
      </c>
    </row>
    <row r="2472" spans="7:7">
      <c r="G2472" s="440" t="s">
        <v>633</v>
      </c>
    </row>
    <row r="2473" spans="7:7">
      <c r="G2473" s="440" t="s">
        <v>633</v>
      </c>
    </row>
    <row r="2474" spans="7:7">
      <c r="G2474" s="440" t="s">
        <v>633</v>
      </c>
    </row>
    <row r="2475" spans="7:7">
      <c r="G2475" s="440" t="s">
        <v>633</v>
      </c>
    </row>
    <row r="2476" spans="7:7">
      <c r="G2476" s="440" t="s">
        <v>633</v>
      </c>
    </row>
    <row r="2477" spans="7:7">
      <c r="G2477" s="440" t="s">
        <v>633</v>
      </c>
    </row>
    <row r="2478" spans="7:7">
      <c r="G2478" s="440" t="s">
        <v>633</v>
      </c>
    </row>
    <row r="2479" spans="7:7">
      <c r="G2479" s="440" t="s">
        <v>633</v>
      </c>
    </row>
    <row r="2480" spans="7:7">
      <c r="G2480" s="440" t="s">
        <v>633</v>
      </c>
    </row>
    <row r="2481" spans="7:7">
      <c r="G2481" s="440" t="s">
        <v>633</v>
      </c>
    </row>
    <row r="2482" spans="7:7">
      <c r="G2482" s="440" t="s">
        <v>633</v>
      </c>
    </row>
    <row r="2483" spans="7:7">
      <c r="G2483" s="440" t="s">
        <v>633</v>
      </c>
    </row>
    <row r="2484" spans="7:7">
      <c r="G2484" s="440" t="s">
        <v>633</v>
      </c>
    </row>
    <row r="2485" spans="7:7">
      <c r="G2485" s="440" t="s">
        <v>633</v>
      </c>
    </row>
    <row r="2486" spans="7:7">
      <c r="G2486" s="440" t="s">
        <v>633</v>
      </c>
    </row>
    <row r="2487" spans="7:7">
      <c r="G2487" s="440" t="s">
        <v>633</v>
      </c>
    </row>
    <row r="2488" spans="7:7">
      <c r="G2488" s="440" t="s">
        <v>633</v>
      </c>
    </row>
    <row r="2489" spans="7:7">
      <c r="G2489" s="440" t="s">
        <v>633</v>
      </c>
    </row>
    <row r="2490" spans="7:7">
      <c r="G2490" s="440" t="s">
        <v>633</v>
      </c>
    </row>
    <row r="2491" spans="7:7">
      <c r="G2491" s="440" t="s">
        <v>633</v>
      </c>
    </row>
    <row r="2492" spans="7:7">
      <c r="G2492" s="440" t="s">
        <v>633</v>
      </c>
    </row>
    <row r="2493" spans="7:7">
      <c r="G2493" s="440" t="s">
        <v>633</v>
      </c>
    </row>
    <row r="2494" spans="7:7">
      <c r="G2494" s="440" t="s">
        <v>633</v>
      </c>
    </row>
    <row r="2495" spans="7:7">
      <c r="G2495" s="440" t="s">
        <v>633</v>
      </c>
    </row>
    <row r="2496" spans="7:7">
      <c r="G2496" s="440" t="s">
        <v>633</v>
      </c>
    </row>
    <row r="2497" spans="7:7">
      <c r="G2497" s="440" t="s">
        <v>633</v>
      </c>
    </row>
    <row r="2498" spans="7:7">
      <c r="G2498" s="440" t="s">
        <v>633</v>
      </c>
    </row>
    <row r="2499" spans="7:7">
      <c r="G2499" s="440" t="s">
        <v>633</v>
      </c>
    </row>
    <row r="2500" spans="7:7">
      <c r="G2500" s="440" t="s">
        <v>633</v>
      </c>
    </row>
    <row r="2501" spans="7:7">
      <c r="G2501" s="440" t="s">
        <v>633</v>
      </c>
    </row>
    <row r="2502" spans="7:7">
      <c r="G2502" s="440" t="s">
        <v>633</v>
      </c>
    </row>
    <row r="2503" spans="7:7">
      <c r="G2503" s="440" t="s">
        <v>633</v>
      </c>
    </row>
    <row r="2504" spans="7:7">
      <c r="G2504" s="440" t="s">
        <v>633</v>
      </c>
    </row>
    <row r="2505" spans="7:7">
      <c r="G2505" s="440" t="s">
        <v>633</v>
      </c>
    </row>
    <row r="2506" spans="7:7">
      <c r="G2506" s="440" t="s">
        <v>633</v>
      </c>
    </row>
    <row r="2507" spans="7:7">
      <c r="G2507" s="440" t="s">
        <v>633</v>
      </c>
    </row>
    <row r="2508" spans="7:7">
      <c r="G2508" s="440" t="s">
        <v>633</v>
      </c>
    </row>
    <row r="2509" spans="7:7">
      <c r="G2509" s="440" t="s">
        <v>633</v>
      </c>
    </row>
    <row r="2510" spans="7:7">
      <c r="G2510" s="440" t="s">
        <v>633</v>
      </c>
    </row>
    <row r="2511" spans="7:7">
      <c r="G2511" s="440" t="s">
        <v>633</v>
      </c>
    </row>
    <row r="2512" spans="7:7">
      <c r="G2512" s="440" t="s">
        <v>633</v>
      </c>
    </row>
    <row r="2513" spans="7:7">
      <c r="G2513" s="440" t="s">
        <v>633</v>
      </c>
    </row>
    <row r="2514" spans="7:7">
      <c r="G2514" s="440" t="s">
        <v>633</v>
      </c>
    </row>
    <row r="2515" spans="7:7">
      <c r="G2515" s="440" t="s">
        <v>633</v>
      </c>
    </row>
    <row r="2516" spans="7:7">
      <c r="G2516" s="440" t="s">
        <v>633</v>
      </c>
    </row>
    <row r="2517" spans="7:7">
      <c r="G2517" s="440" t="s">
        <v>633</v>
      </c>
    </row>
    <row r="2518" spans="7:7">
      <c r="G2518" s="440" t="s">
        <v>633</v>
      </c>
    </row>
    <row r="2519" spans="7:7">
      <c r="G2519" s="440" t="s">
        <v>633</v>
      </c>
    </row>
    <row r="2520" spans="7:7">
      <c r="G2520" s="440" t="s">
        <v>633</v>
      </c>
    </row>
    <row r="2521" spans="7:7">
      <c r="G2521" s="440" t="s">
        <v>633</v>
      </c>
    </row>
    <row r="2522" spans="7:7">
      <c r="G2522" s="440" t="s">
        <v>633</v>
      </c>
    </row>
    <row r="2523" spans="7:7">
      <c r="G2523" s="440" t="s">
        <v>633</v>
      </c>
    </row>
    <row r="2524" spans="7:7">
      <c r="G2524" s="440" t="s">
        <v>633</v>
      </c>
    </row>
    <row r="2525" spans="7:7">
      <c r="G2525" s="440" t="s">
        <v>633</v>
      </c>
    </row>
    <row r="2526" spans="7:7">
      <c r="G2526" s="440" t="s">
        <v>633</v>
      </c>
    </row>
    <row r="2527" spans="7:7">
      <c r="G2527" s="440" t="s">
        <v>633</v>
      </c>
    </row>
    <row r="2528" spans="7:7">
      <c r="G2528" s="440" t="s">
        <v>633</v>
      </c>
    </row>
    <row r="2529" spans="7:7">
      <c r="G2529" s="440" t="s">
        <v>633</v>
      </c>
    </row>
    <row r="2530" spans="7:7">
      <c r="G2530" s="440" t="s">
        <v>633</v>
      </c>
    </row>
    <row r="2531" spans="7:7">
      <c r="G2531" s="440" t="s">
        <v>633</v>
      </c>
    </row>
    <row r="2532" spans="7:7">
      <c r="G2532" s="440" t="s">
        <v>633</v>
      </c>
    </row>
    <row r="2533" spans="7:7">
      <c r="G2533" s="440" t="s">
        <v>633</v>
      </c>
    </row>
    <row r="2534" spans="7:7">
      <c r="G2534" s="440" t="s">
        <v>633</v>
      </c>
    </row>
    <row r="2535" spans="7:7">
      <c r="G2535" s="440" t="s">
        <v>633</v>
      </c>
    </row>
    <row r="2536" spans="7:7">
      <c r="G2536" s="440" t="s">
        <v>633</v>
      </c>
    </row>
    <row r="2537" spans="7:7">
      <c r="G2537" s="440" t="s">
        <v>633</v>
      </c>
    </row>
    <row r="2538" spans="7:7">
      <c r="G2538" s="440" t="s">
        <v>633</v>
      </c>
    </row>
    <row r="2539" spans="7:7">
      <c r="G2539" s="440" t="s">
        <v>633</v>
      </c>
    </row>
    <row r="2540" spans="7:7">
      <c r="G2540" s="440" t="s">
        <v>633</v>
      </c>
    </row>
    <row r="2541" spans="7:7">
      <c r="G2541" s="440" t="s">
        <v>633</v>
      </c>
    </row>
    <row r="2542" spans="7:7">
      <c r="G2542" s="440" t="s">
        <v>633</v>
      </c>
    </row>
    <row r="2543" spans="7:7">
      <c r="G2543" s="440" t="s">
        <v>633</v>
      </c>
    </row>
    <row r="2544" spans="7:7">
      <c r="G2544" s="440" t="s">
        <v>633</v>
      </c>
    </row>
    <row r="2545" spans="7:7">
      <c r="G2545" s="440" t="s">
        <v>633</v>
      </c>
    </row>
    <row r="2546" spans="7:7">
      <c r="G2546" s="440" t="s">
        <v>633</v>
      </c>
    </row>
    <row r="2547" spans="7:7">
      <c r="G2547" s="440" t="s">
        <v>633</v>
      </c>
    </row>
    <row r="2548" spans="7:7">
      <c r="G2548" s="440" t="s">
        <v>633</v>
      </c>
    </row>
    <row r="2549" spans="7:7">
      <c r="G2549" s="440" t="s">
        <v>633</v>
      </c>
    </row>
    <row r="2550" spans="7:7">
      <c r="G2550" s="440" t="s">
        <v>633</v>
      </c>
    </row>
    <row r="2551" spans="7:7">
      <c r="G2551" s="440" t="s">
        <v>633</v>
      </c>
    </row>
    <row r="2552" spans="7:7">
      <c r="G2552" s="440" t="s">
        <v>633</v>
      </c>
    </row>
    <row r="2553" spans="7:7">
      <c r="G2553" s="440" t="s">
        <v>633</v>
      </c>
    </row>
    <row r="2554" spans="7:7">
      <c r="G2554" s="440" t="s">
        <v>633</v>
      </c>
    </row>
    <row r="2555" spans="7:7">
      <c r="G2555" s="440" t="s">
        <v>633</v>
      </c>
    </row>
    <row r="2556" spans="7:7">
      <c r="G2556" s="440" t="s">
        <v>633</v>
      </c>
    </row>
    <row r="2557" spans="7:7">
      <c r="G2557" s="440" t="s">
        <v>633</v>
      </c>
    </row>
    <row r="2558" spans="7:7">
      <c r="G2558" s="440" t="s">
        <v>633</v>
      </c>
    </row>
    <row r="2559" spans="7:7">
      <c r="G2559" s="440" t="s">
        <v>633</v>
      </c>
    </row>
    <row r="2560" spans="7:7">
      <c r="G2560" s="440" t="s">
        <v>633</v>
      </c>
    </row>
    <row r="2561" spans="7:7">
      <c r="G2561" s="440" t="s">
        <v>633</v>
      </c>
    </row>
    <row r="2562" spans="7:7">
      <c r="G2562" s="440" t="s">
        <v>633</v>
      </c>
    </row>
    <row r="2563" spans="7:7">
      <c r="G2563" s="440" t="s">
        <v>633</v>
      </c>
    </row>
    <row r="2564" spans="7:7">
      <c r="G2564" s="440" t="s">
        <v>633</v>
      </c>
    </row>
    <row r="2565" spans="7:7">
      <c r="G2565" s="440" t="s">
        <v>633</v>
      </c>
    </row>
    <row r="2566" spans="7:7">
      <c r="G2566" s="440" t="s">
        <v>634</v>
      </c>
    </row>
    <row r="2567" spans="7:7">
      <c r="G2567" s="440" t="s">
        <v>633</v>
      </c>
    </row>
    <row r="2568" spans="7:7">
      <c r="G2568" s="440" t="s">
        <v>633</v>
      </c>
    </row>
    <row r="2569" spans="7:7">
      <c r="G2569" s="440" t="s">
        <v>633</v>
      </c>
    </row>
    <row r="2570" spans="7:7">
      <c r="G2570" s="440" t="s">
        <v>633</v>
      </c>
    </row>
    <row r="2571" spans="7:7">
      <c r="G2571" s="440" t="s">
        <v>633</v>
      </c>
    </row>
    <row r="2572" spans="7:7">
      <c r="G2572" s="440" t="s">
        <v>633</v>
      </c>
    </row>
    <row r="2573" spans="7:7">
      <c r="G2573" s="440" t="s">
        <v>633</v>
      </c>
    </row>
    <row r="2574" spans="7:7">
      <c r="G2574" s="440" t="s">
        <v>633</v>
      </c>
    </row>
    <row r="2575" spans="7:7">
      <c r="G2575" s="440" t="s">
        <v>633</v>
      </c>
    </row>
    <row r="2576" spans="7:7">
      <c r="G2576" s="440" t="s">
        <v>633</v>
      </c>
    </row>
    <row r="2577" spans="7:7">
      <c r="G2577" s="440" t="s">
        <v>635</v>
      </c>
    </row>
    <row r="2578" spans="7:7">
      <c r="G2578" s="440" t="s">
        <v>635</v>
      </c>
    </row>
    <row r="2579" spans="7:7">
      <c r="G2579" s="440" t="s">
        <v>635</v>
      </c>
    </row>
    <row r="2580" spans="7:7">
      <c r="G2580" s="440" t="s">
        <v>635</v>
      </c>
    </row>
    <row r="2581" spans="7:7">
      <c r="G2581" s="440" t="s">
        <v>635</v>
      </c>
    </row>
    <row r="2582" spans="7:7">
      <c r="G2582" s="440" t="s">
        <v>635</v>
      </c>
    </row>
    <row r="2583" spans="7:7">
      <c r="G2583" s="440" t="s">
        <v>635</v>
      </c>
    </row>
    <row r="2584" spans="7:7">
      <c r="G2584" s="440" t="s">
        <v>635</v>
      </c>
    </row>
    <row r="2585" spans="7:7">
      <c r="G2585" s="440" t="s">
        <v>635</v>
      </c>
    </row>
    <row r="2586" spans="7:7">
      <c r="G2586" s="440" t="s">
        <v>635</v>
      </c>
    </row>
    <row r="2587" spans="7:7">
      <c r="G2587" s="440" t="s">
        <v>635</v>
      </c>
    </row>
    <row r="2588" spans="7:7">
      <c r="G2588" s="440" t="s">
        <v>633</v>
      </c>
    </row>
    <row r="2589" spans="7:7">
      <c r="G2589" s="440" t="s">
        <v>633</v>
      </c>
    </row>
    <row r="2590" spans="7:7">
      <c r="G2590" s="440" t="s">
        <v>633</v>
      </c>
    </row>
    <row r="2591" spans="7:7">
      <c r="G2591" s="440" t="s">
        <v>633</v>
      </c>
    </row>
    <row r="2592" spans="7:7">
      <c r="G2592" s="440" t="s">
        <v>633</v>
      </c>
    </row>
    <row r="2593" spans="7:7">
      <c r="G2593" s="440" t="s">
        <v>633</v>
      </c>
    </row>
    <row r="2594" spans="7:7">
      <c r="G2594" s="440" t="s">
        <v>633</v>
      </c>
    </row>
    <row r="2595" spans="7:7">
      <c r="G2595" s="440" t="s">
        <v>633</v>
      </c>
    </row>
    <row r="2596" spans="7:7">
      <c r="G2596" s="440" t="s">
        <v>633</v>
      </c>
    </row>
    <row r="2597" spans="7:7">
      <c r="G2597" s="440" t="s">
        <v>633</v>
      </c>
    </row>
    <row r="2598" spans="7:7">
      <c r="G2598" s="440" t="s">
        <v>633</v>
      </c>
    </row>
    <row r="2599" spans="7:7">
      <c r="G2599" s="440" t="s">
        <v>633</v>
      </c>
    </row>
    <row r="2600" spans="7:7">
      <c r="G2600" s="440" t="s">
        <v>633</v>
      </c>
    </row>
    <row r="2601" spans="7:7">
      <c r="G2601" s="440" t="s">
        <v>633</v>
      </c>
    </row>
    <row r="2602" spans="7:7">
      <c r="G2602" s="440" t="s">
        <v>633</v>
      </c>
    </row>
    <row r="2603" spans="7:7">
      <c r="G2603" s="440" t="s">
        <v>633</v>
      </c>
    </row>
    <row r="2604" spans="7:7">
      <c r="G2604" s="440" t="s">
        <v>633</v>
      </c>
    </row>
    <row r="2605" spans="7:7">
      <c r="G2605" s="440" t="s">
        <v>633</v>
      </c>
    </row>
    <row r="2606" spans="7:7">
      <c r="G2606" s="440" t="s">
        <v>633</v>
      </c>
    </row>
    <row r="2607" spans="7:7">
      <c r="G2607" s="440" t="s">
        <v>633</v>
      </c>
    </row>
    <row r="2608" spans="7:7">
      <c r="G2608" s="440" t="s">
        <v>633</v>
      </c>
    </row>
    <row r="2609" spans="7:7">
      <c r="G2609" s="440" t="s">
        <v>633</v>
      </c>
    </row>
    <row r="2610" spans="7:7">
      <c r="G2610" s="440" t="s">
        <v>633</v>
      </c>
    </row>
    <row r="2611" spans="7:7">
      <c r="G2611" s="440" t="s">
        <v>634</v>
      </c>
    </row>
    <row r="2612" spans="7:7">
      <c r="G2612" s="440" t="s">
        <v>633</v>
      </c>
    </row>
    <row r="2613" spans="7:7">
      <c r="G2613" s="440" t="s">
        <v>633</v>
      </c>
    </row>
    <row r="2614" spans="7:7">
      <c r="G2614" s="440" t="s">
        <v>633</v>
      </c>
    </row>
    <row r="2615" spans="7:7">
      <c r="G2615" s="440" t="s">
        <v>633</v>
      </c>
    </row>
    <row r="2616" spans="7:7">
      <c r="G2616" s="440" t="s">
        <v>634</v>
      </c>
    </row>
    <row r="2617" spans="7:7">
      <c r="G2617" s="440" t="s">
        <v>633</v>
      </c>
    </row>
    <row r="2618" spans="7:7">
      <c r="G2618" s="440" t="s">
        <v>633</v>
      </c>
    </row>
    <row r="2619" spans="7:7">
      <c r="G2619" s="440" t="s">
        <v>633</v>
      </c>
    </row>
    <row r="2620" spans="7:7">
      <c r="G2620" s="440" t="s">
        <v>633</v>
      </c>
    </row>
    <row r="2621" spans="7:7">
      <c r="G2621" s="440" t="s">
        <v>633</v>
      </c>
    </row>
    <row r="2622" spans="7:7">
      <c r="G2622" s="440" t="s">
        <v>634</v>
      </c>
    </row>
    <row r="2623" spans="7:7">
      <c r="G2623" s="440" t="s">
        <v>633</v>
      </c>
    </row>
    <row r="2624" spans="7:7">
      <c r="G2624" s="440" t="s">
        <v>633</v>
      </c>
    </row>
    <row r="2625" spans="7:7">
      <c r="G2625" s="440" t="s">
        <v>633</v>
      </c>
    </row>
    <row r="2626" spans="7:7">
      <c r="G2626" s="440" t="s">
        <v>633</v>
      </c>
    </row>
    <row r="2627" spans="7:7">
      <c r="G2627" s="440" t="s">
        <v>633</v>
      </c>
    </row>
    <row r="2628" spans="7:7">
      <c r="G2628" s="440" t="s">
        <v>633</v>
      </c>
    </row>
    <row r="2629" spans="7:7">
      <c r="G2629" s="440" t="s">
        <v>634</v>
      </c>
    </row>
    <row r="2630" spans="7:7">
      <c r="G2630" s="440" t="s">
        <v>633</v>
      </c>
    </row>
    <row r="2631" spans="7:7">
      <c r="G2631" s="440" t="s">
        <v>633</v>
      </c>
    </row>
    <row r="2632" spans="7:7">
      <c r="G2632" s="440" t="s">
        <v>633</v>
      </c>
    </row>
    <row r="2633" spans="7:7">
      <c r="G2633" s="440" t="s">
        <v>633</v>
      </c>
    </row>
    <row r="2634" spans="7:7">
      <c r="G2634" s="440" t="s">
        <v>633</v>
      </c>
    </row>
    <row r="2635" spans="7:7">
      <c r="G2635" s="440" t="s">
        <v>633</v>
      </c>
    </row>
    <row r="2636" spans="7:7">
      <c r="G2636" s="440" t="s">
        <v>634</v>
      </c>
    </row>
    <row r="2637" spans="7:7">
      <c r="G2637" s="440" t="s">
        <v>633</v>
      </c>
    </row>
    <row r="2638" spans="7:7">
      <c r="G2638" s="440" t="s">
        <v>633</v>
      </c>
    </row>
    <row r="2639" spans="7:7">
      <c r="G2639" s="440" t="s">
        <v>633</v>
      </c>
    </row>
    <row r="2640" spans="7:7">
      <c r="G2640" s="440" t="s">
        <v>633</v>
      </c>
    </row>
    <row r="2641" spans="7:7">
      <c r="G2641" s="440" t="s">
        <v>633</v>
      </c>
    </row>
    <row r="2642" spans="7:7">
      <c r="G2642" s="440" t="s">
        <v>633</v>
      </c>
    </row>
    <row r="2643" spans="7:7">
      <c r="G2643" s="440" t="s">
        <v>634</v>
      </c>
    </row>
    <row r="2644" spans="7:7">
      <c r="G2644" s="440" t="s">
        <v>633</v>
      </c>
    </row>
    <row r="2645" spans="7:7">
      <c r="G2645" s="440" t="s">
        <v>633</v>
      </c>
    </row>
    <row r="2646" spans="7:7">
      <c r="G2646" s="440" t="s">
        <v>633</v>
      </c>
    </row>
    <row r="2647" spans="7:7">
      <c r="G2647" s="440" t="s">
        <v>633</v>
      </c>
    </row>
    <row r="2648" spans="7:7">
      <c r="G2648" s="440" t="s">
        <v>633</v>
      </c>
    </row>
    <row r="2649" spans="7:7">
      <c r="G2649" s="440" t="s">
        <v>633</v>
      </c>
    </row>
    <row r="2650" spans="7:7">
      <c r="G2650" s="440" t="s">
        <v>633</v>
      </c>
    </row>
    <row r="2651" spans="7:7">
      <c r="G2651" s="440" t="s">
        <v>633</v>
      </c>
    </row>
    <row r="2652" spans="7:7">
      <c r="G2652" s="440" t="s">
        <v>633</v>
      </c>
    </row>
    <row r="2653" spans="7:7">
      <c r="G2653" s="440" t="s">
        <v>633</v>
      </c>
    </row>
    <row r="2654" spans="7:7">
      <c r="G2654" s="440" t="s">
        <v>633</v>
      </c>
    </row>
    <row r="2655" spans="7:7">
      <c r="G2655" s="440" t="s">
        <v>633</v>
      </c>
    </row>
    <row r="2656" spans="7:7">
      <c r="G2656" s="440" t="s">
        <v>633</v>
      </c>
    </row>
    <row r="2657" spans="7:7">
      <c r="G2657" s="440" t="s">
        <v>633</v>
      </c>
    </row>
    <row r="2658" spans="7:7">
      <c r="G2658" s="440" t="s">
        <v>633</v>
      </c>
    </row>
    <row r="2659" spans="7:7">
      <c r="G2659" s="440" t="s">
        <v>633</v>
      </c>
    </row>
    <row r="2660" spans="7:7">
      <c r="G2660" s="440" t="s">
        <v>633</v>
      </c>
    </row>
    <row r="2661" spans="7:7">
      <c r="G2661" s="440" t="s">
        <v>633</v>
      </c>
    </row>
    <row r="2662" spans="7:7">
      <c r="G2662" s="440" t="s">
        <v>633</v>
      </c>
    </row>
    <row r="2663" spans="7:7">
      <c r="G2663" s="440" t="s">
        <v>633</v>
      </c>
    </row>
    <row r="2664" spans="7:7">
      <c r="G2664" s="440" t="s">
        <v>633</v>
      </c>
    </row>
    <row r="2665" spans="7:7">
      <c r="G2665" s="440" t="s">
        <v>633</v>
      </c>
    </row>
    <row r="2666" spans="7:7">
      <c r="G2666" s="440" t="s">
        <v>633</v>
      </c>
    </row>
    <row r="2667" spans="7:7">
      <c r="G2667" s="440" t="s">
        <v>633</v>
      </c>
    </row>
    <row r="2668" spans="7:7">
      <c r="G2668" s="440" t="s">
        <v>633</v>
      </c>
    </row>
    <row r="2669" spans="7:7">
      <c r="G2669" s="440" t="s">
        <v>633</v>
      </c>
    </row>
    <row r="2670" spans="7:7">
      <c r="G2670" s="440" t="s">
        <v>633</v>
      </c>
    </row>
    <row r="2671" spans="7:7">
      <c r="G2671" s="440" t="s">
        <v>633</v>
      </c>
    </row>
    <row r="2672" spans="7:7">
      <c r="G2672" s="440" t="s">
        <v>633</v>
      </c>
    </row>
    <row r="2673" spans="7:7">
      <c r="G2673" s="440" t="s">
        <v>633</v>
      </c>
    </row>
    <row r="2674" spans="7:7">
      <c r="G2674" s="440" t="s">
        <v>633</v>
      </c>
    </row>
    <row r="2675" spans="7:7">
      <c r="G2675" s="440" t="s">
        <v>633</v>
      </c>
    </row>
    <row r="2676" spans="7:7">
      <c r="G2676" s="440" t="s">
        <v>633</v>
      </c>
    </row>
    <row r="2677" spans="7:7">
      <c r="G2677" s="440" t="s">
        <v>633</v>
      </c>
    </row>
    <row r="2678" spans="7:7">
      <c r="G2678" s="440" t="s">
        <v>633</v>
      </c>
    </row>
    <row r="2679" spans="7:7">
      <c r="G2679" s="440" t="s">
        <v>633</v>
      </c>
    </row>
    <row r="2680" spans="7:7">
      <c r="G2680" s="440" t="s">
        <v>633</v>
      </c>
    </row>
    <row r="2681" spans="7:7">
      <c r="G2681" s="440" t="s">
        <v>633</v>
      </c>
    </row>
    <row r="2682" spans="7:7">
      <c r="G2682" s="440" t="s">
        <v>633</v>
      </c>
    </row>
    <row r="2683" spans="7:7">
      <c r="G2683" s="440" t="s">
        <v>633</v>
      </c>
    </row>
    <row r="2684" spans="7:7">
      <c r="G2684" s="440" t="s">
        <v>633</v>
      </c>
    </row>
    <row r="2685" spans="7:7">
      <c r="G2685" s="440" t="s">
        <v>633</v>
      </c>
    </row>
    <row r="2686" spans="7:7">
      <c r="G2686" s="440" t="s">
        <v>633</v>
      </c>
    </row>
    <row r="2687" spans="7:7">
      <c r="G2687" s="440" t="s">
        <v>633</v>
      </c>
    </row>
    <row r="2688" spans="7:7">
      <c r="G2688" s="440" t="s">
        <v>633</v>
      </c>
    </row>
    <row r="2689" spans="7:7">
      <c r="G2689" s="440" t="s">
        <v>633</v>
      </c>
    </row>
    <row r="2690" spans="7:7">
      <c r="G2690" s="440" t="s">
        <v>633</v>
      </c>
    </row>
    <row r="2691" spans="7:7">
      <c r="G2691" s="440" t="s">
        <v>633</v>
      </c>
    </row>
    <row r="2692" spans="7:7">
      <c r="G2692" s="440" t="s">
        <v>633</v>
      </c>
    </row>
    <row r="2693" spans="7:7">
      <c r="G2693" s="440" t="s">
        <v>633</v>
      </c>
    </row>
    <row r="2694" spans="7:7">
      <c r="G2694" s="440" t="s">
        <v>633</v>
      </c>
    </row>
    <row r="2695" spans="7:7">
      <c r="G2695" s="440" t="s">
        <v>633</v>
      </c>
    </row>
    <row r="2696" spans="7:7">
      <c r="G2696" s="440" t="s">
        <v>633</v>
      </c>
    </row>
    <row r="2697" spans="7:7">
      <c r="G2697" s="440" t="s">
        <v>633</v>
      </c>
    </row>
    <row r="2698" spans="7:7">
      <c r="G2698" s="440" t="s">
        <v>633</v>
      </c>
    </row>
    <row r="2699" spans="7:7">
      <c r="G2699" s="440" t="s">
        <v>633</v>
      </c>
    </row>
    <row r="2700" spans="7:7">
      <c r="G2700" s="440" t="s">
        <v>633</v>
      </c>
    </row>
    <row r="2701" spans="7:7">
      <c r="G2701" s="440" t="s">
        <v>633</v>
      </c>
    </row>
    <row r="2702" spans="7:7">
      <c r="G2702" s="440" t="s">
        <v>633</v>
      </c>
    </row>
    <row r="2703" spans="7:7">
      <c r="G2703" s="440" t="s">
        <v>633</v>
      </c>
    </row>
    <row r="2704" spans="7:7">
      <c r="G2704" s="440" t="s">
        <v>633</v>
      </c>
    </row>
    <row r="2705" spans="7:7">
      <c r="G2705" s="440" t="s">
        <v>633</v>
      </c>
    </row>
    <row r="2706" spans="7:7">
      <c r="G2706" s="440" t="s">
        <v>633</v>
      </c>
    </row>
    <row r="2707" spans="7:7">
      <c r="G2707" s="440" t="s">
        <v>633</v>
      </c>
    </row>
    <row r="2708" spans="7:7">
      <c r="G2708" s="440" t="s">
        <v>633</v>
      </c>
    </row>
    <row r="2709" spans="7:7">
      <c r="G2709" s="440" t="s">
        <v>633</v>
      </c>
    </row>
    <row r="2710" spans="7:7">
      <c r="G2710" s="440" t="s">
        <v>633</v>
      </c>
    </row>
    <row r="2711" spans="7:7">
      <c r="G2711" s="440" t="s">
        <v>633</v>
      </c>
    </row>
    <row r="2712" spans="7:7">
      <c r="G2712" s="440" t="s">
        <v>633</v>
      </c>
    </row>
    <row r="2713" spans="7:7">
      <c r="G2713" s="440" t="s">
        <v>633</v>
      </c>
    </row>
    <row r="2714" spans="7:7">
      <c r="G2714" s="440" t="s">
        <v>633</v>
      </c>
    </row>
    <row r="2715" spans="7:7">
      <c r="G2715" s="440" t="s">
        <v>633</v>
      </c>
    </row>
    <row r="2716" spans="7:7">
      <c r="G2716" s="440" t="s">
        <v>633</v>
      </c>
    </row>
    <row r="2717" spans="7:7">
      <c r="G2717" s="440" t="s">
        <v>633</v>
      </c>
    </row>
    <row r="2718" spans="7:7">
      <c r="G2718" s="440" t="s">
        <v>633</v>
      </c>
    </row>
    <row r="2719" spans="7:7">
      <c r="G2719" s="440" t="s">
        <v>633</v>
      </c>
    </row>
    <row r="2720" spans="7:7">
      <c r="G2720" s="440" t="s">
        <v>633</v>
      </c>
    </row>
    <row r="2721" spans="7:7">
      <c r="G2721" s="440" t="s">
        <v>633</v>
      </c>
    </row>
    <row r="2722" spans="7:7">
      <c r="G2722" s="440" t="s">
        <v>633</v>
      </c>
    </row>
    <row r="2723" spans="7:7">
      <c r="G2723" s="440" t="s">
        <v>633</v>
      </c>
    </row>
    <row r="2724" spans="7:7">
      <c r="G2724" s="440" t="s">
        <v>633</v>
      </c>
    </row>
    <row r="2725" spans="7:7">
      <c r="G2725" s="440" t="s">
        <v>633</v>
      </c>
    </row>
    <row r="2726" spans="7:7">
      <c r="G2726" s="440" t="s">
        <v>633</v>
      </c>
    </row>
    <row r="2727" spans="7:7">
      <c r="G2727" s="440" t="s">
        <v>633</v>
      </c>
    </row>
    <row r="2728" spans="7:7">
      <c r="G2728" s="440" t="s">
        <v>633</v>
      </c>
    </row>
    <row r="2729" spans="7:7">
      <c r="G2729" s="440" t="s">
        <v>633</v>
      </c>
    </row>
    <row r="2730" spans="7:7">
      <c r="G2730" s="440" t="s">
        <v>633</v>
      </c>
    </row>
    <row r="2731" spans="7:7">
      <c r="G2731" s="440" t="s">
        <v>633</v>
      </c>
    </row>
    <row r="2732" spans="7:7">
      <c r="G2732" s="440" t="s">
        <v>633</v>
      </c>
    </row>
    <row r="2733" spans="7:7">
      <c r="G2733" s="440" t="s">
        <v>633</v>
      </c>
    </row>
    <row r="2734" spans="7:7">
      <c r="G2734" s="440" t="s">
        <v>633</v>
      </c>
    </row>
    <row r="2735" spans="7:7">
      <c r="G2735" s="440" t="s">
        <v>633</v>
      </c>
    </row>
    <row r="2736" spans="7:7">
      <c r="G2736" s="440" t="s">
        <v>633</v>
      </c>
    </row>
    <row r="2737" spans="7:7">
      <c r="G2737" s="440" t="s">
        <v>633</v>
      </c>
    </row>
    <row r="2738" spans="7:7">
      <c r="G2738" s="440" t="s">
        <v>633</v>
      </c>
    </row>
    <row r="2739" spans="7:7">
      <c r="G2739" s="440" t="s">
        <v>633</v>
      </c>
    </row>
    <row r="2740" spans="7:7">
      <c r="G2740" s="440" t="s">
        <v>633</v>
      </c>
    </row>
    <row r="2741" spans="7:7">
      <c r="G2741" s="440" t="s">
        <v>633</v>
      </c>
    </row>
    <row r="2742" spans="7:7">
      <c r="G2742" s="440" t="s">
        <v>633</v>
      </c>
    </row>
    <row r="2743" spans="7:7">
      <c r="G2743" s="440" t="s">
        <v>633</v>
      </c>
    </row>
    <row r="2744" spans="7:7">
      <c r="G2744" s="440" t="s">
        <v>633</v>
      </c>
    </row>
    <row r="2745" spans="7:7">
      <c r="G2745" s="440" t="s">
        <v>633</v>
      </c>
    </row>
    <row r="2746" spans="7:7">
      <c r="G2746" s="440" t="s">
        <v>633</v>
      </c>
    </row>
    <row r="2747" spans="7:7">
      <c r="G2747" s="440" t="s">
        <v>633</v>
      </c>
    </row>
    <row r="2748" spans="7:7">
      <c r="G2748" s="440" t="s">
        <v>633</v>
      </c>
    </row>
    <row r="2749" spans="7:7">
      <c r="G2749" s="440" t="s">
        <v>633</v>
      </c>
    </row>
    <row r="2750" spans="7:7">
      <c r="G2750" s="440" t="s">
        <v>633</v>
      </c>
    </row>
    <row r="2751" spans="7:7">
      <c r="G2751" s="440" t="s">
        <v>633</v>
      </c>
    </row>
    <row r="2752" spans="7:7">
      <c r="G2752" s="440" t="s">
        <v>633</v>
      </c>
    </row>
    <row r="2753" spans="7:7">
      <c r="G2753" s="440" t="s">
        <v>633</v>
      </c>
    </row>
    <row r="2754" spans="7:7">
      <c r="G2754" s="440" t="s">
        <v>633</v>
      </c>
    </row>
    <row r="2755" spans="7:7">
      <c r="G2755" s="440" t="s">
        <v>633</v>
      </c>
    </row>
    <row r="2756" spans="7:7">
      <c r="G2756" s="440" t="s">
        <v>633</v>
      </c>
    </row>
    <row r="2757" spans="7:7">
      <c r="G2757" s="440" t="s">
        <v>633</v>
      </c>
    </row>
    <row r="2758" spans="7:7">
      <c r="G2758" s="440" t="s">
        <v>633</v>
      </c>
    </row>
    <row r="2759" spans="7:7">
      <c r="G2759" s="440" t="s">
        <v>633</v>
      </c>
    </row>
    <row r="2760" spans="7:7">
      <c r="G2760" s="440" t="s">
        <v>633</v>
      </c>
    </row>
    <row r="2761" spans="7:7">
      <c r="G2761" s="440" t="s">
        <v>633</v>
      </c>
    </row>
    <row r="2762" spans="7:7">
      <c r="G2762" s="440" t="s">
        <v>633</v>
      </c>
    </row>
    <row r="2763" spans="7:7">
      <c r="G2763" s="440" t="s">
        <v>633</v>
      </c>
    </row>
    <row r="2764" spans="7:7">
      <c r="G2764" s="440" t="s">
        <v>633</v>
      </c>
    </row>
    <row r="2765" spans="7:7">
      <c r="G2765" s="440" t="s">
        <v>633</v>
      </c>
    </row>
    <row r="2766" spans="7:7">
      <c r="G2766" s="440" t="s">
        <v>633</v>
      </c>
    </row>
    <row r="2767" spans="7:7">
      <c r="G2767" s="440" t="s">
        <v>633</v>
      </c>
    </row>
    <row r="2768" spans="7:7">
      <c r="G2768" s="440" t="s">
        <v>633</v>
      </c>
    </row>
    <row r="2769" spans="7:7">
      <c r="G2769" s="440" t="s">
        <v>633</v>
      </c>
    </row>
    <row r="2770" spans="7:7">
      <c r="G2770" s="440" t="s">
        <v>633</v>
      </c>
    </row>
    <row r="2771" spans="7:7">
      <c r="G2771" s="440" t="s">
        <v>633</v>
      </c>
    </row>
    <row r="2772" spans="7:7">
      <c r="G2772" s="440" t="s">
        <v>633</v>
      </c>
    </row>
    <row r="2773" spans="7:7">
      <c r="G2773" s="440" t="s">
        <v>633</v>
      </c>
    </row>
    <row r="2774" spans="7:7">
      <c r="G2774" s="440" t="s">
        <v>633</v>
      </c>
    </row>
    <row r="2775" spans="7:7">
      <c r="G2775" s="440" t="s">
        <v>633</v>
      </c>
    </row>
    <row r="2776" spans="7:7">
      <c r="G2776" s="440" t="s">
        <v>633</v>
      </c>
    </row>
    <row r="2777" spans="7:7">
      <c r="G2777" s="440" t="s">
        <v>633</v>
      </c>
    </row>
    <row r="2778" spans="7:7">
      <c r="G2778" s="440" t="s">
        <v>633</v>
      </c>
    </row>
    <row r="2779" spans="7:7">
      <c r="G2779" s="440" t="s">
        <v>633</v>
      </c>
    </row>
    <row r="2780" spans="7:7">
      <c r="G2780" s="440" t="s">
        <v>633</v>
      </c>
    </row>
    <row r="2781" spans="7:7">
      <c r="G2781" s="440" t="s">
        <v>633</v>
      </c>
    </row>
    <row r="2782" spans="7:7">
      <c r="G2782" s="440" t="s">
        <v>633</v>
      </c>
    </row>
    <row r="2783" spans="7:7">
      <c r="G2783" s="440" t="s">
        <v>633</v>
      </c>
    </row>
    <row r="2784" spans="7:7">
      <c r="G2784" s="440" t="s">
        <v>633</v>
      </c>
    </row>
    <row r="2785" spans="7:7">
      <c r="G2785" s="440" t="s">
        <v>633</v>
      </c>
    </row>
    <row r="2786" spans="7:7">
      <c r="G2786" s="440" t="s">
        <v>633</v>
      </c>
    </row>
    <row r="2787" spans="7:7">
      <c r="G2787" s="440" t="s">
        <v>633</v>
      </c>
    </row>
    <row r="2788" spans="7:7">
      <c r="G2788" s="440" t="s">
        <v>633</v>
      </c>
    </row>
    <row r="2789" spans="7:7">
      <c r="G2789" s="440" t="s">
        <v>633</v>
      </c>
    </row>
    <row r="2790" spans="7:7">
      <c r="G2790" s="440" t="s">
        <v>633</v>
      </c>
    </row>
    <row r="2791" spans="7:7">
      <c r="G2791" s="440" t="s">
        <v>633</v>
      </c>
    </row>
    <row r="2792" spans="7:7">
      <c r="G2792" s="440" t="s">
        <v>633</v>
      </c>
    </row>
    <row r="2793" spans="7:7">
      <c r="G2793" s="440" t="s">
        <v>633</v>
      </c>
    </row>
    <row r="2794" spans="7:7">
      <c r="G2794" s="440" t="s">
        <v>633</v>
      </c>
    </row>
    <row r="2795" spans="7:7">
      <c r="G2795" s="440" t="s">
        <v>633</v>
      </c>
    </row>
    <row r="2796" spans="7:7">
      <c r="G2796" s="440" t="s">
        <v>633</v>
      </c>
    </row>
    <row r="2797" spans="7:7">
      <c r="G2797" s="440" t="s">
        <v>633</v>
      </c>
    </row>
    <row r="2798" spans="7:7">
      <c r="G2798" s="440" t="s">
        <v>633</v>
      </c>
    </row>
    <row r="2799" spans="7:7">
      <c r="G2799" s="440" t="s">
        <v>633</v>
      </c>
    </row>
    <row r="2800" spans="7:7">
      <c r="G2800" s="440" t="s">
        <v>633</v>
      </c>
    </row>
    <row r="2801" spans="7:7">
      <c r="G2801" s="440" t="s">
        <v>633</v>
      </c>
    </row>
    <row r="2802" spans="7:7">
      <c r="G2802" s="440" t="s">
        <v>633</v>
      </c>
    </row>
    <row r="2803" spans="7:7">
      <c r="G2803" s="440" t="s">
        <v>633</v>
      </c>
    </row>
    <row r="2804" spans="7:7">
      <c r="G2804" s="440" t="s">
        <v>633</v>
      </c>
    </row>
    <row r="2805" spans="7:7">
      <c r="G2805" s="440" t="s">
        <v>633</v>
      </c>
    </row>
    <row r="2806" spans="7:7">
      <c r="G2806" s="440" t="s">
        <v>633</v>
      </c>
    </row>
    <row r="2807" spans="7:7">
      <c r="G2807" s="440" t="s">
        <v>633</v>
      </c>
    </row>
    <row r="2808" spans="7:7">
      <c r="G2808" s="440" t="s">
        <v>633</v>
      </c>
    </row>
    <row r="2809" spans="7:7">
      <c r="G2809" s="440" t="s">
        <v>633</v>
      </c>
    </row>
    <row r="2810" spans="7:7">
      <c r="G2810" s="440" t="s">
        <v>633</v>
      </c>
    </row>
    <row r="2811" spans="7:7">
      <c r="G2811" s="440" t="s">
        <v>633</v>
      </c>
    </row>
    <row r="2812" spans="7:7">
      <c r="G2812" s="440" t="s">
        <v>633</v>
      </c>
    </row>
    <row r="2813" spans="7:7">
      <c r="G2813" s="440" t="s">
        <v>633</v>
      </c>
    </row>
    <row r="2814" spans="7:7">
      <c r="G2814" s="440" t="s">
        <v>633</v>
      </c>
    </row>
    <row r="2815" spans="7:7">
      <c r="G2815" s="440" t="s">
        <v>633</v>
      </c>
    </row>
    <row r="2816" spans="7:7">
      <c r="G2816" s="440" t="s">
        <v>633</v>
      </c>
    </row>
    <row r="2817" spans="7:7">
      <c r="G2817" s="440" t="s">
        <v>633</v>
      </c>
    </row>
    <row r="2818" spans="7:7">
      <c r="G2818" s="440" t="s">
        <v>633</v>
      </c>
    </row>
    <row r="2819" spans="7:7">
      <c r="G2819" s="440" t="s">
        <v>633</v>
      </c>
    </row>
    <row r="2820" spans="7:7">
      <c r="G2820" s="440" t="s">
        <v>633</v>
      </c>
    </row>
    <row r="2821" spans="7:7">
      <c r="G2821" s="440" t="s">
        <v>633</v>
      </c>
    </row>
    <row r="2822" spans="7:7">
      <c r="G2822" s="440" t="s">
        <v>633</v>
      </c>
    </row>
    <row r="2823" spans="7:7">
      <c r="G2823" s="440" t="s">
        <v>633</v>
      </c>
    </row>
    <row r="2824" spans="7:7">
      <c r="G2824" s="440" t="s">
        <v>633</v>
      </c>
    </row>
    <row r="2825" spans="7:7">
      <c r="G2825" s="440" t="s">
        <v>633</v>
      </c>
    </row>
    <row r="2826" spans="7:7">
      <c r="G2826" s="440" t="s">
        <v>633</v>
      </c>
    </row>
    <row r="2827" spans="7:7">
      <c r="G2827" s="440" t="s">
        <v>633</v>
      </c>
    </row>
    <row r="2828" spans="7:7">
      <c r="G2828" s="440" t="s">
        <v>633</v>
      </c>
    </row>
    <row r="2829" spans="7:7">
      <c r="G2829" s="440" t="s">
        <v>633</v>
      </c>
    </row>
    <row r="2830" spans="7:7">
      <c r="G2830" s="440" t="s">
        <v>633</v>
      </c>
    </row>
    <row r="2831" spans="7:7">
      <c r="G2831" s="440" t="s">
        <v>633</v>
      </c>
    </row>
    <row r="2832" spans="7:7">
      <c r="G2832" s="440" t="s">
        <v>633</v>
      </c>
    </row>
    <row r="2833" spans="7:7">
      <c r="G2833" s="440" t="s">
        <v>633</v>
      </c>
    </row>
    <row r="2834" spans="7:7">
      <c r="G2834" s="440" t="s">
        <v>633</v>
      </c>
    </row>
    <row r="2835" spans="7:7">
      <c r="G2835" s="440" t="s">
        <v>633</v>
      </c>
    </row>
    <row r="2836" spans="7:7">
      <c r="G2836" s="440" t="s">
        <v>633</v>
      </c>
    </row>
    <row r="2837" spans="7:7">
      <c r="G2837" s="440" t="s">
        <v>633</v>
      </c>
    </row>
    <row r="2838" spans="7:7">
      <c r="G2838" s="440" t="s">
        <v>633</v>
      </c>
    </row>
    <row r="2839" spans="7:7">
      <c r="G2839" s="440" t="s">
        <v>633</v>
      </c>
    </row>
    <row r="2840" spans="7:7">
      <c r="G2840" s="440" t="s">
        <v>633</v>
      </c>
    </row>
    <row r="2841" spans="7:7">
      <c r="G2841" s="440" t="s">
        <v>633</v>
      </c>
    </row>
    <row r="2842" spans="7:7">
      <c r="G2842" s="440" t="s">
        <v>633</v>
      </c>
    </row>
    <row r="2843" spans="7:7">
      <c r="G2843" s="440" t="s">
        <v>633</v>
      </c>
    </row>
    <row r="2844" spans="7:7">
      <c r="G2844" s="440" t="s">
        <v>633</v>
      </c>
    </row>
    <row r="2845" spans="7:7">
      <c r="G2845" s="440" t="s">
        <v>633</v>
      </c>
    </row>
    <row r="2846" spans="7:7">
      <c r="G2846" s="440" t="s">
        <v>633</v>
      </c>
    </row>
    <row r="2847" spans="7:7">
      <c r="G2847" s="440" t="s">
        <v>633</v>
      </c>
    </row>
    <row r="2848" spans="7:7">
      <c r="G2848" s="440" t="s">
        <v>633</v>
      </c>
    </row>
    <row r="2849" spans="7:7">
      <c r="G2849" s="440" t="s">
        <v>633</v>
      </c>
    </row>
    <row r="2850" spans="7:7">
      <c r="G2850" s="440" t="s">
        <v>633</v>
      </c>
    </row>
    <row r="2851" spans="7:7">
      <c r="G2851" s="440" t="s">
        <v>633</v>
      </c>
    </row>
    <row r="2852" spans="7:7">
      <c r="G2852" s="440" t="s">
        <v>633</v>
      </c>
    </row>
    <row r="2853" spans="7:7">
      <c r="G2853" s="440" t="s">
        <v>633</v>
      </c>
    </row>
    <row r="2854" spans="7:7">
      <c r="G2854" s="440" t="s">
        <v>633</v>
      </c>
    </row>
    <row r="2855" spans="7:7">
      <c r="G2855" s="440" t="s">
        <v>633</v>
      </c>
    </row>
    <row r="2856" spans="7:7">
      <c r="G2856" s="440" t="s">
        <v>633</v>
      </c>
    </row>
    <row r="2857" spans="7:7">
      <c r="G2857" s="440" t="s">
        <v>633</v>
      </c>
    </row>
    <row r="2858" spans="7:7">
      <c r="G2858" s="440" t="s">
        <v>633</v>
      </c>
    </row>
    <row r="2859" spans="7:7">
      <c r="G2859" s="440" t="s">
        <v>633</v>
      </c>
    </row>
    <row r="2860" spans="7:7">
      <c r="G2860" s="440" t="s">
        <v>633</v>
      </c>
    </row>
    <row r="2861" spans="7:7">
      <c r="G2861" s="440" t="s">
        <v>633</v>
      </c>
    </row>
    <row r="2862" spans="7:7">
      <c r="G2862" s="440" t="s">
        <v>633</v>
      </c>
    </row>
    <row r="2863" spans="7:7">
      <c r="G2863" s="440" t="s">
        <v>633</v>
      </c>
    </row>
    <row r="2864" spans="7:7">
      <c r="G2864" s="440" t="s">
        <v>633</v>
      </c>
    </row>
    <row r="2865" spans="7:7">
      <c r="G2865" s="440" t="s">
        <v>633</v>
      </c>
    </row>
    <row r="2866" spans="7:7">
      <c r="G2866" s="440" t="s">
        <v>633</v>
      </c>
    </row>
    <row r="2867" spans="7:7">
      <c r="G2867" s="440" t="s">
        <v>633</v>
      </c>
    </row>
    <row r="2868" spans="7:7">
      <c r="G2868" s="440" t="s">
        <v>633</v>
      </c>
    </row>
    <row r="2869" spans="7:7">
      <c r="G2869" s="440" t="s">
        <v>633</v>
      </c>
    </row>
    <row r="2870" spans="7:7">
      <c r="G2870" s="440" t="s">
        <v>633</v>
      </c>
    </row>
    <row r="2871" spans="7:7">
      <c r="G2871" s="440" t="s">
        <v>633</v>
      </c>
    </row>
    <row r="2872" spans="7:7">
      <c r="G2872" s="440" t="s">
        <v>633</v>
      </c>
    </row>
    <row r="2873" spans="7:7">
      <c r="G2873" s="440" t="s">
        <v>633</v>
      </c>
    </row>
    <row r="2874" spans="7:7">
      <c r="G2874" s="440" t="s">
        <v>633</v>
      </c>
    </row>
    <row r="2875" spans="7:7">
      <c r="G2875" s="440" t="s">
        <v>633</v>
      </c>
    </row>
    <row r="2876" spans="7:7">
      <c r="G2876" s="440" t="s">
        <v>633</v>
      </c>
    </row>
    <row r="2877" spans="7:7">
      <c r="G2877" s="440" t="s">
        <v>633</v>
      </c>
    </row>
    <row r="2878" spans="7:7">
      <c r="G2878" s="440" t="s">
        <v>633</v>
      </c>
    </row>
    <row r="2879" spans="7:7">
      <c r="G2879" s="440" t="s">
        <v>633</v>
      </c>
    </row>
    <row r="2880" spans="7:7">
      <c r="G2880" s="440" t="s">
        <v>633</v>
      </c>
    </row>
    <row r="2881" spans="7:7">
      <c r="G2881" s="440" t="s">
        <v>633</v>
      </c>
    </row>
    <row r="2882" spans="7:7">
      <c r="G2882" s="440" t="s">
        <v>633</v>
      </c>
    </row>
    <row r="2883" spans="7:7">
      <c r="G2883" s="440" t="s">
        <v>633</v>
      </c>
    </row>
    <row r="2884" spans="7:7">
      <c r="G2884" s="440" t="s">
        <v>633</v>
      </c>
    </row>
    <row r="2885" spans="7:7">
      <c r="G2885" s="440" t="s">
        <v>633</v>
      </c>
    </row>
    <row r="2886" spans="7:7">
      <c r="G2886" s="440" t="s">
        <v>633</v>
      </c>
    </row>
    <row r="2887" spans="7:7">
      <c r="G2887" s="440" t="s">
        <v>633</v>
      </c>
    </row>
    <row r="2888" spans="7:7">
      <c r="G2888" s="440" t="s">
        <v>633</v>
      </c>
    </row>
    <row r="2889" spans="7:7">
      <c r="G2889" s="440" t="s">
        <v>633</v>
      </c>
    </row>
    <row r="2890" spans="7:7">
      <c r="G2890" s="440" t="s">
        <v>633</v>
      </c>
    </row>
    <row r="2891" spans="7:7">
      <c r="G2891" s="440" t="s">
        <v>633</v>
      </c>
    </row>
    <row r="2892" spans="7:7">
      <c r="G2892" s="440" t="s">
        <v>633</v>
      </c>
    </row>
    <row r="2893" spans="7:7">
      <c r="G2893" s="440" t="s">
        <v>633</v>
      </c>
    </row>
    <row r="2894" spans="7:7">
      <c r="G2894" s="440" t="s">
        <v>633</v>
      </c>
    </row>
    <row r="2895" spans="7:7">
      <c r="G2895" s="440" t="s">
        <v>633</v>
      </c>
    </row>
    <row r="2896" spans="7:7">
      <c r="G2896" s="440" t="s">
        <v>633</v>
      </c>
    </row>
    <row r="2897" spans="7:7">
      <c r="G2897" s="440" t="s">
        <v>633</v>
      </c>
    </row>
    <row r="2898" spans="7:7">
      <c r="G2898" s="440" t="s">
        <v>633</v>
      </c>
    </row>
    <row r="2899" spans="7:7">
      <c r="G2899" s="440" t="s">
        <v>633</v>
      </c>
    </row>
    <row r="2900" spans="7:7">
      <c r="G2900" s="440" t="s">
        <v>633</v>
      </c>
    </row>
    <row r="2901" spans="7:7">
      <c r="G2901" s="440" t="s">
        <v>633</v>
      </c>
    </row>
    <row r="2902" spans="7:7">
      <c r="G2902" s="440" t="s">
        <v>633</v>
      </c>
    </row>
    <row r="2903" spans="7:7">
      <c r="G2903" s="440" t="s">
        <v>633</v>
      </c>
    </row>
    <row r="2904" spans="7:7">
      <c r="G2904" s="440" t="s">
        <v>633</v>
      </c>
    </row>
    <row r="2905" spans="7:7">
      <c r="G2905" s="440" t="s">
        <v>633</v>
      </c>
    </row>
    <row r="2906" spans="7:7">
      <c r="G2906" s="440" t="s">
        <v>633</v>
      </c>
    </row>
    <row r="2907" spans="7:7">
      <c r="G2907" s="440" t="s">
        <v>633</v>
      </c>
    </row>
    <row r="2908" spans="7:7">
      <c r="G2908" s="440" t="s">
        <v>633</v>
      </c>
    </row>
    <row r="2909" spans="7:7">
      <c r="G2909" s="440" t="s">
        <v>633</v>
      </c>
    </row>
    <row r="2910" spans="7:7">
      <c r="G2910" s="440" t="s">
        <v>633</v>
      </c>
    </row>
    <row r="2911" spans="7:7">
      <c r="G2911" s="440" t="s">
        <v>633</v>
      </c>
    </row>
    <row r="2912" spans="7:7">
      <c r="G2912" s="440" t="s">
        <v>633</v>
      </c>
    </row>
    <row r="2913" spans="7:7">
      <c r="G2913" s="440" t="s">
        <v>633</v>
      </c>
    </row>
    <row r="2914" spans="7:7">
      <c r="G2914" s="440" t="s">
        <v>633</v>
      </c>
    </row>
    <row r="2915" spans="7:7">
      <c r="G2915" s="440" t="s">
        <v>633</v>
      </c>
    </row>
    <row r="2916" spans="7:7">
      <c r="G2916" s="440" t="s">
        <v>633</v>
      </c>
    </row>
    <row r="2917" spans="7:7">
      <c r="G2917" s="440" t="s">
        <v>633</v>
      </c>
    </row>
    <row r="2918" spans="7:7">
      <c r="G2918" s="440" t="s">
        <v>633</v>
      </c>
    </row>
    <row r="2919" spans="7:7">
      <c r="G2919" s="440" t="s">
        <v>633</v>
      </c>
    </row>
    <row r="2920" spans="7:7">
      <c r="G2920" s="440" t="s">
        <v>633</v>
      </c>
    </row>
    <row r="2921" spans="7:7">
      <c r="G2921" s="440" t="s">
        <v>633</v>
      </c>
    </row>
    <row r="2922" spans="7:7">
      <c r="G2922" s="440" t="s">
        <v>633</v>
      </c>
    </row>
    <row r="2923" spans="7:7">
      <c r="G2923" s="440" t="s">
        <v>633</v>
      </c>
    </row>
    <row r="2924" spans="7:7">
      <c r="G2924" s="440" t="s">
        <v>633</v>
      </c>
    </row>
    <row r="2925" spans="7:7">
      <c r="G2925" s="440" t="s">
        <v>633</v>
      </c>
    </row>
    <row r="2926" spans="7:7">
      <c r="G2926" s="440" t="s">
        <v>633</v>
      </c>
    </row>
    <row r="2927" spans="7:7">
      <c r="G2927" s="440" t="s">
        <v>633</v>
      </c>
    </row>
    <row r="2928" spans="7:7">
      <c r="G2928" s="440" t="s">
        <v>633</v>
      </c>
    </row>
    <row r="2929" spans="7:7">
      <c r="G2929" s="440" t="s">
        <v>633</v>
      </c>
    </row>
    <row r="2930" spans="7:7">
      <c r="G2930" s="440" t="s">
        <v>633</v>
      </c>
    </row>
    <row r="2931" spans="7:7">
      <c r="G2931" s="440" t="s">
        <v>633</v>
      </c>
    </row>
    <row r="2932" spans="7:7">
      <c r="G2932" s="440" t="s">
        <v>633</v>
      </c>
    </row>
    <row r="2933" spans="7:7">
      <c r="G2933" s="440" t="s">
        <v>633</v>
      </c>
    </row>
    <row r="2934" spans="7:7">
      <c r="G2934" s="440" t="s">
        <v>633</v>
      </c>
    </row>
    <row r="2935" spans="7:7">
      <c r="G2935" s="440" t="s">
        <v>633</v>
      </c>
    </row>
    <row r="2936" spans="7:7">
      <c r="G2936" s="440" t="s">
        <v>633</v>
      </c>
    </row>
    <row r="2937" spans="7:7">
      <c r="G2937" s="440" t="s">
        <v>633</v>
      </c>
    </row>
    <row r="2938" spans="7:7">
      <c r="G2938" s="440" t="s">
        <v>633</v>
      </c>
    </row>
    <row r="2939" spans="7:7">
      <c r="G2939" s="440" t="s">
        <v>633</v>
      </c>
    </row>
    <row r="2940" spans="7:7">
      <c r="G2940" s="440" t="s">
        <v>633</v>
      </c>
    </row>
    <row r="2941" spans="7:7">
      <c r="G2941" s="440" t="s">
        <v>633</v>
      </c>
    </row>
    <row r="2942" spans="7:7">
      <c r="G2942" s="440" t="s">
        <v>633</v>
      </c>
    </row>
    <row r="2943" spans="7:7">
      <c r="G2943" s="440" t="s">
        <v>633</v>
      </c>
    </row>
    <row r="2944" spans="7:7">
      <c r="G2944" s="440" t="s">
        <v>633</v>
      </c>
    </row>
    <row r="2945" spans="7:7">
      <c r="G2945" s="440" t="s">
        <v>633</v>
      </c>
    </row>
    <row r="2946" spans="7:7">
      <c r="G2946" s="440" t="s">
        <v>633</v>
      </c>
    </row>
    <row r="2947" spans="7:7">
      <c r="G2947" s="440" t="s">
        <v>633</v>
      </c>
    </row>
    <row r="2948" spans="7:7">
      <c r="G2948" s="440" t="s">
        <v>633</v>
      </c>
    </row>
    <row r="2949" spans="7:7">
      <c r="G2949" s="440" t="s">
        <v>633</v>
      </c>
    </row>
    <row r="2950" spans="7:7">
      <c r="G2950" s="440" t="s">
        <v>633</v>
      </c>
    </row>
    <row r="2951" spans="7:7">
      <c r="G2951" s="440" t="s">
        <v>633</v>
      </c>
    </row>
    <row r="2952" spans="7:7">
      <c r="G2952" s="440" t="s">
        <v>633</v>
      </c>
    </row>
    <row r="2953" spans="7:7">
      <c r="G2953" s="440" t="s">
        <v>633</v>
      </c>
    </row>
    <row r="2954" spans="7:7">
      <c r="G2954" s="440" t="s">
        <v>633</v>
      </c>
    </row>
    <row r="2955" spans="7:7">
      <c r="G2955" s="440" t="s">
        <v>633</v>
      </c>
    </row>
    <row r="2956" spans="7:7">
      <c r="G2956" s="440" t="s">
        <v>633</v>
      </c>
    </row>
    <row r="2957" spans="7:7">
      <c r="G2957" s="440" t="s">
        <v>633</v>
      </c>
    </row>
    <row r="2958" spans="7:7">
      <c r="G2958" s="440" t="s">
        <v>633</v>
      </c>
    </row>
    <row r="2959" spans="7:7">
      <c r="G2959" s="440" t="s">
        <v>633</v>
      </c>
    </row>
    <row r="2960" spans="7:7">
      <c r="G2960" s="440" t="s">
        <v>633</v>
      </c>
    </row>
    <row r="2961" spans="7:7">
      <c r="G2961" s="440" t="s">
        <v>633</v>
      </c>
    </row>
    <row r="2962" spans="7:7">
      <c r="G2962" s="440" t="s">
        <v>633</v>
      </c>
    </row>
    <row r="2963" spans="7:7">
      <c r="G2963" s="440" t="s">
        <v>633</v>
      </c>
    </row>
    <row r="2964" spans="7:7">
      <c r="G2964" s="440" t="s">
        <v>633</v>
      </c>
    </row>
    <row r="2965" spans="7:7">
      <c r="G2965" s="440" t="s">
        <v>633</v>
      </c>
    </row>
    <row r="2966" spans="7:7">
      <c r="G2966" s="440" t="s">
        <v>633</v>
      </c>
    </row>
    <row r="2967" spans="7:7">
      <c r="G2967" s="440" t="s">
        <v>633</v>
      </c>
    </row>
    <row r="2968" spans="7:7">
      <c r="G2968" s="440" t="s">
        <v>633</v>
      </c>
    </row>
    <row r="2969" spans="7:7">
      <c r="G2969" s="440" t="s">
        <v>633</v>
      </c>
    </row>
    <row r="2970" spans="7:7">
      <c r="G2970" s="440" t="s">
        <v>633</v>
      </c>
    </row>
    <row r="2971" spans="7:7">
      <c r="G2971" s="440" t="s">
        <v>633</v>
      </c>
    </row>
    <row r="2972" spans="7:7">
      <c r="G2972" s="440" t="s">
        <v>633</v>
      </c>
    </row>
    <row r="2973" spans="7:7">
      <c r="G2973" s="440" t="s">
        <v>633</v>
      </c>
    </row>
    <row r="2974" spans="7:7">
      <c r="G2974" s="440" t="s">
        <v>633</v>
      </c>
    </row>
    <row r="2975" spans="7:7">
      <c r="G2975" s="440" t="s">
        <v>633</v>
      </c>
    </row>
    <row r="2976" spans="7:7">
      <c r="G2976" s="440" t="s">
        <v>633</v>
      </c>
    </row>
    <row r="2977" spans="7:7">
      <c r="G2977" s="440" t="s">
        <v>633</v>
      </c>
    </row>
    <row r="2978" spans="7:7">
      <c r="G2978" s="440" t="s">
        <v>633</v>
      </c>
    </row>
    <row r="2979" spans="7:7">
      <c r="G2979" s="440" t="s">
        <v>633</v>
      </c>
    </row>
    <row r="2980" spans="7:7">
      <c r="G2980" s="440" t="s">
        <v>633</v>
      </c>
    </row>
    <row r="2981" spans="7:7">
      <c r="G2981" s="440" t="s">
        <v>633</v>
      </c>
    </row>
    <row r="2982" spans="7:7">
      <c r="G2982" s="440" t="s">
        <v>633</v>
      </c>
    </row>
    <row r="2983" spans="7:7">
      <c r="G2983" s="440" t="s">
        <v>633</v>
      </c>
    </row>
    <row r="2984" spans="7:7">
      <c r="G2984" s="440" t="s">
        <v>633</v>
      </c>
    </row>
    <row r="2985" spans="7:7">
      <c r="G2985" s="440" t="s">
        <v>633</v>
      </c>
    </row>
    <row r="2986" spans="7:7">
      <c r="G2986" s="440" t="s">
        <v>633</v>
      </c>
    </row>
    <row r="2987" spans="7:7">
      <c r="G2987" s="440" t="s">
        <v>633</v>
      </c>
    </row>
    <row r="2988" spans="7:7">
      <c r="G2988" s="440" t="s">
        <v>633</v>
      </c>
    </row>
    <row r="2989" spans="7:7">
      <c r="G2989" s="440" t="s">
        <v>633</v>
      </c>
    </row>
    <row r="2990" spans="7:7">
      <c r="G2990" s="440" t="s">
        <v>633</v>
      </c>
    </row>
    <row r="2991" spans="7:7">
      <c r="G2991" s="440" t="s">
        <v>633</v>
      </c>
    </row>
    <row r="2992" spans="7:7">
      <c r="G2992" s="440" t="s">
        <v>633</v>
      </c>
    </row>
    <row r="2993" spans="7:7">
      <c r="G2993" s="440" t="s">
        <v>633</v>
      </c>
    </row>
    <row r="2994" spans="7:7">
      <c r="G2994" s="440" t="s">
        <v>633</v>
      </c>
    </row>
    <row r="2995" spans="7:7">
      <c r="G2995" s="440" t="s">
        <v>633</v>
      </c>
    </row>
    <row r="2996" spans="7:7">
      <c r="G2996" s="440" t="s">
        <v>633</v>
      </c>
    </row>
    <row r="2997" spans="7:7">
      <c r="G2997" s="440" t="s">
        <v>633</v>
      </c>
    </row>
    <row r="2998" spans="7:7">
      <c r="G2998" s="440" t="s">
        <v>633</v>
      </c>
    </row>
    <row r="2999" spans="7:7">
      <c r="G2999" s="440" t="s">
        <v>633</v>
      </c>
    </row>
    <row r="3000" spans="7:7">
      <c r="G3000" s="440" t="s">
        <v>633</v>
      </c>
    </row>
    <row r="3001" spans="7:7">
      <c r="G3001" s="440" t="s">
        <v>633</v>
      </c>
    </row>
    <row r="3002" spans="7:7">
      <c r="G3002" s="440" t="s">
        <v>633</v>
      </c>
    </row>
    <row r="3003" spans="7:7">
      <c r="G3003" s="440" t="s">
        <v>633</v>
      </c>
    </row>
    <row r="3004" spans="7:7">
      <c r="G3004" s="440" t="s">
        <v>633</v>
      </c>
    </row>
    <row r="3005" spans="7:7">
      <c r="G3005" s="440" t="s">
        <v>633</v>
      </c>
    </row>
    <row r="3006" spans="7:7">
      <c r="G3006" s="440" t="s">
        <v>633</v>
      </c>
    </row>
    <row r="3007" spans="7:7">
      <c r="G3007" s="440" t="s">
        <v>633</v>
      </c>
    </row>
    <row r="3008" spans="7:7">
      <c r="G3008" s="440" t="s">
        <v>633</v>
      </c>
    </row>
    <row r="3009" spans="7:7">
      <c r="G3009" s="440" t="s">
        <v>633</v>
      </c>
    </row>
    <row r="3010" spans="7:7">
      <c r="G3010" s="440" t="s">
        <v>633</v>
      </c>
    </row>
    <row r="3011" spans="7:7">
      <c r="G3011" s="440" t="s">
        <v>633</v>
      </c>
    </row>
    <row r="3012" spans="7:7">
      <c r="G3012" s="440" t="s">
        <v>633</v>
      </c>
    </row>
    <row r="3013" spans="7:7">
      <c r="G3013" s="440" t="s">
        <v>633</v>
      </c>
    </row>
    <row r="3014" spans="7:7">
      <c r="G3014" s="440" t="s">
        <v>633</v>
      </c>
    </row>
    <row r="3015" spans="7:7">
      <c r="G3015" s="440" t="s">
        <v>633</v>
      </c>
    </row>
    <row r="3016" spans="7:7">
      <c r="G3016" s="440" t="s">
        <v>633</v>
      </c>
    </row>
    <row r="3017" spans="7:7">
      <c r="G3017" s="440" t="s">
        <v>633</v>
      </c>
    </row>
    <row r="3018" spans="7:7">
      <c r="G3018" s="440" t="s">
        <v>633</v>
      </c>
    </row>
    <row r="3019" spans="7:7">
      <c r="G3019" s="440" t="s">
        <v>633</v>
      </c>
    </row>
    <row r="3020" spans="7:7">
      <c r="G3020" s="440" t="s">
        <v>633</v>
      </c>
    </row>
    <row r="3021" spans="7:7">
      <c r="G3021" s="440" t="s">
        <v>633</v>
      </c>
    </row>
    <row r="3022" spans="7:7">
      <c r="G3022" s="440" t="s">
        <v>633</v>
      </c>
    </row>
    <row r="3023" spans="7:7">
      <c r="G3023" s="440" t="s">
        <v>633</v>
      </c>
    </row>
    <row r="3024" spans="7:7">
      <c r="G3024" s="440" t="s">
        <v>633</v>
      </c>
    </row>
    <row r="3025" spans="7:7">
      <c r="G3025" s="440" t="s">
        <v>633</v>
      </c>
    </row>
    <row r="3026" spans="7:7">
      <c r="G3026" s="440" t="s">
        <v>633</v>
      </c>
    </row>
    <row r="3027" spans="7:7">
      <c r="G3027" s="440" t="s">
        <v>633</v>
      </c>
    </row>
    <row r="3028" spans="7:7">
      <c r="G3028" s="440" t="s">
        <v>633</v>
      </c>
    </row>
    <row r="3029" spans="7:7">
      <c r="G3029" s="440" t="s">
        <v>633</v>
      </c>
    </row>
    <row r="3030" spans="7:7">
      <c r="G3030" s="440" t="s">
        <v>633</v>
      </c>
    </row>
    <row r="3031" spans="7:7">
      <c r="G3031" s="440" t="s">
        <v>633</v>
      </c>
    </row>
    <row r="3032" spans="7:7">
      <c r="G3032" s="440" t="s">
        <v>633</v>
      </c>
    </row>
    <row r="3033" spans="7:7">
      <c r="G3033" s="440" t="s">
        <v>633</v>
      </c>
    </row>
    <row r="3034" spans="7:7">
      <c r="G3034" s="440" t="s">
        <v>633</v>
      </c>
    </row>
    <row r="3035" spans="7:7">
      <c r="G3035" s="440" t="s">
        <v>633</v>
      </c>
    </row>
    <row r="3036" spans="7:7">
      <c r="G3036" s="440" t="s">
        <v>633</v>
      </c>
    </row>
    <row r="3037" spans="7:7">
      <c r="G3037" s="440" t="s">
        <v>633</v>
      </c>
    </row>
    <row r="3038" spans="7:7">
      <c r="G3038" s="440" t="s">
        <v>633</v>
      </c>
    </row>
    <row r="3039" spans="7:7">
      <c r="G3039" s="440" t="s">
        <v>633</v>
      </c>
    </row>
    <row r="3040" spans="7:7">
      <c r="G3040" s="440" t="s">
        <v>633</v>
      </c>
    </row>
    <row r="3041" spans="7:7">
      <c r="G3041" s="440" t="s">
        <v>633</v>
      </c>
    </row>
    <row r="3042" spans="7:7">
      <c r="G3042" s="440" t="s">
        <v>633</v>
      </c>
    </row>
    <row r="3043" spans="7:7">
      <c r="G3043" s="440" t="s">
        <v>633</v>
      </c>
    </row>
    <row r="3044" spans="7:7">
      <c r="G3044" s="440" t="s">
        <v>633</v>
      </c>
    </row>
    <row r="3045" spans="7:7">
      <c r="G3045" s="440" t="s">
        <v>633</v>
      </c>
    </row>
    <row r="3046" spans="7:7">
      <c r="G3046" s="440" t="s">
        <v>633</v>
      </c>
    </row>
    <row r="3047" spans="7:7">
      <c r="G3047" s="440" t="s">
        <v>633</v>
      </c>
    </row>
    <row r="3048" spans="7:7">
      <c r="G3048" s="440" t="s">
        <v>633</v>
      </c>
    </row>
    <row r="3049" spans="7:7">
      <c r="G3049" s="440" t="s">
        <v>633</v>
      </c>
    </row>
    <row r="3050" spans="7:7">
      <c r="G3050" s="440" t="s">
        <v>633</v>
      </c>
    </row>
    <row r="3051" spans="7:7">
      <c r="G3051" s="440" t="s">
        <v>633</v>
      </c>
    </row>
    <row r="3052" spans="7:7">
      <c r="G3052" s="440" t="s">
        <v>633</v>
      </c>
    </row>
    <row r="3053" spans="7:7">
      <c r="G3053" s="440" t="s">
        <v>633</v>
      </c>
    </row>
    <row r="3054" spans="7:7">
      <c r="G3054" s="440" t="s">
        <v>633</v>
      </c>
    </row>
    <row r="3055" spans="7:7">
      <c r="G3055" s="440" t="s">
        <v>633</v>
      </c>
    </row>
    <row r="3056" spans="7:7">
      <c r="G3056" s="440" t="s">
        <v>633</v>
      </c>
    </row>
    <row r="3057" spans="7:7">
      <c r="G3057" s="440" t="s">
        <v>633</v>
      </c>
    </row>
    <row r="3058" spans="7:7">
      <c r="G3058" s="440" t="s">
        <v>633</v>
      </c>
    </row>
    <row r="3059" spans="7:7">
      <c r="G3059" s="440" t="s">
        <v>633</v>
      </c>
    </row>
    <row r="3060" spans="7:7">
      <c r="G3060" s="440" t="s">
        <v>633</v>
      </c>
    </row>
    <row r="3061" spans="7:7">
      <c r="G3061" s="440" t="s">
        <v>633</v>
      </c>
    </row>
    <row r="3062" spans="7:7">
      <c r="G3062" s="440" t="s">
        <v>633</v>
      </c>
    </row>
    <row r="3063" spans="7:7">
      <c r="G3063" s="440" t="s">
        <v>633</v>
      </c>
    </row>
    <row r="3064" spans="7:7">
      <c r="G3064" s="440" t="s">
        <v>633</v>
      </c>
    </row>
    <row r="3065" spans="7:7">
      <c r="G3065" s="440" t="s">
        <v>633</v>
      </c>
    </row>
    <row r="3066" spans="7:7">
      <c r="G3066" s="440" t="s">
        <v>633</v>
      </c>
    </row>
    <row r="3067" spans="7:7">
      <c r="G3067" s="440" t="s">
        <v>633</v>
      </c>
    </row>
    <row r="3068" spans="7:7">
      <c r="G3068" s="440" t="s">
        <v>633</v>
      </c>
    </row>
    <row r="3069" spans="7:7">
      <c r="G3069" s="440" t="s">
        <v>633</v>
      </c>
    </row>
    <row r="3070" spans="7:7">
      <c r="G3070" s="440" t="s">
        <v>633</v>
      </c>
    </row>
    <row r="3071" spans="7:7">
      <c r="G3071" s="440" t="s">
        <v>633</v>
      </c>
    </row>
    <row r="3072" spans="7:7">
      <c r="G3072" s="440" t="s">
        <v>633</v>
      </c>
    </row>
    <row r="3073" spans="7:7">
      <c r="G3073" s="440" t="s">
        <v>633</v>
      </c>
    </row>
    <row r="3074" spans="7:7">
      <c r="G3074" s="440" t="s">
        <v>633</v>
      </c>
    </row>
    <row r="3075" spans="7:7">
      <c r="G3075" s="440" t="s">
        <v>633</v>
      </c>
    </row>
    <row r="3076" spans="7:7">
      <c r="G3076" s="440" t="s">
        <v>633</v>
      </c>
    </row>
    <row r="3077" spans="7:7">
      <c r="G3077" s="440" t="s">
        <v>633</v>
      </c>
    </row>
    <row r="3078" spans="7:7">
      <c r="G3078" s="440" t="s">
        <v>633</v>
      </c>
    </row>
    <row r="3079" spans="7:7">
      <c r="G3079" s="440" t="s">
        <v>633</v>
      </c>
    </row>
    <row r="3080" spans="7:7">
      <c r="G3080" s="440" t="s">
        <v>633</v>
      </c>
    </row>
    <row r="3081" spans="7:7">
      <c r="G3081" s="440" t="s">
        <v>633</v>
      </c>
    </row>
    <row r="3082" spans="7:7">
      <c r="G3082" s="440" t="s">
        <v>633</v>
      </c>
    </row>
    <row r="3083" spans="7:7">
      <c r="G3083" s="440" t="s">
        <v>633</v>
      </c>
    </row>
    <row r="3084" spans="7:7">
      <c r="G3084" s="440" t="s">
        <v>633</v>
      </c>
    </row>
    <row r="3085" spans="7:7">
      <c r="G3085" s="440" t="s">
        <v>633</v>
      </c>
    </row>
    <row r="3086" spans="7:7">
      <c r="G3086" s="440" t="s">
        <v>633</v>
      </c>
    </row>
    <row r="3087" spans="7:7">
      <c r="G3087" s="440" t="s">
        <v>633</v>
      </c>
    </row>
    <row r="3088" spans="7:7">
      <c r="G3088" s="440" t="s">
        <v>633</v>
      </c>
    </row>
    <row r="3089" spans="7:7">
      <c r="G3089" s="440" t="s">
        <v>633</v>
      </c>
    </row>
    <row r="3090" spans="7:7">
      <c r="G3090" s="440" t="s">
        <v>633</v>
      </c>
    </row>
    <row r="3091" spans="7:7">
      <c r="G3091" s="440" t="s">
        <v>633</v>
      </c>
    </row>
    <row r="3092" spans="7:7">
      <c r="G3092" s="440" t="s">
        <v>633</v>
      </c>
    </row>
    <row r="3093" spans="7:7">
      <c r="G3093" s="440" t="s">
        <v>633</v>
      </c>
    </row>
    <row r="3094" spans="7:7">
      <c r="G3094" s="440" t="s">
        <v>633</v>
      </c>
    </row>
    <row r="3095" spans="7:7">
      <c r="G3095" s="440" t="s">
        <v>633</v>
      </c>
    </row>
    <row r="3096" spans="7:7">
      <c r="G3096" s="440" t="s">
        <v>633</v>
      </c>
    </row>
    <row r="3097" spans="7:7">
      <c r="G3097" s="440" t="s">
        <v>633</v>
      </c>
    </row>
    <row r="3098" spans="7:7">
      <c r="G3098" s="440" t="s">
        <v>633</v>
      </c>
    </row>
    <row r="3099" spans="7:7">
      <c r="G3099" s="440" t="s">
        <v>633</v>
      </c>
    </row>
    <row r="3100" spans="7:7">
      <c r="G3100" s="440" t="s">
        <v>633</v>
      </c>
    </row>
    <row r="3101" spans="7:7">
      <c r="G3101" s="440" t="s">
        <v>633</v>
      </c>
    </row>
    <row r="3102" spans="7:7">
      <c r="G3102" s="440" t="s">
        <v>633</v>
      </c>
    </row>
    <row r="3103" spans="7:7">
      <c r="G3103" s="440" t="s">
        <v>633</v>
      </c>
    </row>
    <row r="3104" spans="7:7">
      <c r="G3104" s="440" t="s">
        <v>633</v>
      </c>
    </row>
    <row r="3105" spans="7:7">
      <c r="G3105" s="440" t="s">
        <v>633</v>
      </c>
    </row>
    <row r="3106" spans="7:7">
      <c r="G3106" s="440" t="s">
        <v>633</v>
      </c>
    </row>
    <row r="3107" spans="7:7">
      <c r="G3107" s="440" t="s">
        <v>633</v>
      </c>
    </row>
    <row r="3108" spans="7:7">
      <c r="G3108" s="440" t="s">
        <v>633</v>
      </c>
    </row>
    <row r="3109" spans="7:7">
      <c r="G3109" s="440" t="s">
        <v>633</v>
      </c>
    </row>
    <row r="3110" spans="7:7">
      <c r="G3110" s="440" t="s">
        <v>633</v>
      </c>
    </row>
    <row r="3111" spans="7:7">
      <c r="G3111" s="440" t="s">
        <v>633</v>
      </c>
    </row>
    <row r="3112" spans="7:7">
      <c r="G3112" s="440" t="s">
        <v>633</v>
      </c>
    </row>
    <row r="3113" spans="7:7">
      <c r="G3113" s="440" t="s">
        <v>633</v>
      </c>
    </row>
    <row r="3114" spans="7:7">
      <c r="G3114" s="440" t="s">
        <v>633</v>
      </c>
    </row>
    <row r="3115" spans="7:7">
      <c r="G3115" s="440" t="s">
        <v>633</v>
      </c>
    </row>
    <row r="3116" spans="7:7">
      <c r="G3116" s="440" t="s">
        <v>633</v>
      </c>
    </row>
    <row r="3117" spans="7:7">
      <c r="G3117" s="440" t="s">
        <v>633</v>
      </c>
    </row>
    <row r="3118" spans="7:7">
      <c r="G3118" s="440" t="s">
        <v>633</v>
      </c>
    </row>
    <row r="3119" spans="7:7">
      <c r="G3119" s="440" t="s">
        <v>633</v>
      </c>
    </row>
    <row r="3120" spans="7:7">
      <c r="G3120" s="440" t="s">
        <v>633</v>
      </c>
    </row>
    <row r="3121" spans="7:7">
      <c r="G3121" s="440" t="s">
        <v>633</v>
      </c>
    </row>
    <row r="3122" spans="7:7">
      <c r="G3122" s="440" t="s">
        <v>633</v>
      </c>
    </row>
    <row r="3123" spans="7:7">
      <c r="G3123" s="440" t="s">
        <v>633</v>
      </c>
    </row>
    <row r="3124" spans="7:7">
      <c r="G3124" s="440" t="s">
        <v>633</v>
      </c>
    </row>
    <row r="3125" spans="7:7">
      <c r="G3125" s="440" t="s">
        <v>633</v>
      </c>
    </row>
    <row r="3126" spans="7:7">
      <c r="G3126" s="440" t="s">
        <v>633</v>
      </c>
    </row>
    <row r="3127" spans="7:7">
      <c r="G3127" s="440" t="s">
        <v>633</v>
      </c>
    </row>
    <row r="3128" spans="7:7">
      <c r="G3128" s="440" t="s">
        <v>633</v>
      </c>
    </row>
    <row r="3129" spans="7:7">
      <c r="G3129" s="440" t="s">
        <v>633</v>
      </c>
    </row>
    <row r="3130" spans="7:7">
      <c r="G3130" s="440" t="s">
        <v>633</v>
      </c>
    </row>
    <row r="3131" spans="7:7">
      <c r="G3131" s="440" t="s">
        <v>633</v>
      </c>
    </row>
    <row r="3132" spans="7:7">
      <c r="G3132" s="440" t="s">
        <v>633</v>
      </c>
    </row>
    <row r="3133" spans="7:7">
      <c r="G3133" s="440" t="s">
        <v>633</v>
      </c>
    </row>
    <row r="3134" spans="7:7">
      <c r="G3134" s="440" t="s">
        <v>633</v>
      </c>
    </row>
    <row r="3135" spans="7:7">
      <c r="G3135" s="440" t="s">
        <v>633</v>
      </c>
    </row>
    <row r="3136" spans="7:7">
      <c r="G3136" s="440" t="s">
        <v>633</v>
      </c>
    </row>
    <row r="3137" spans="7:7">
      <c r="G3137" s="440" t="s">
        <v>633</v>
      </c>
    </row>
    <row r="3138" spans="7:7">
      <c r="G3138" s="440" t="s">
        <v>633</v>
      </c>
    </row>
    <row r="3139" spans="7:7">
      <c r="G3139" s="440" t="s">
        <v>633</v>
      </c>
    </row>
    <row r="3140" spans="7:7">
      <c r="G3140" s="440" t="s">
        <v>633</v>
      </c>
    </row>
    <row r="3141" spans="7:7">
      <c r="G3141" s="440" t="s">
        <v>633</v>
      </c>
    </row>
    <row r="3142" spans="7:7">
      <c r="G3142" s="440" t="s">
        <v>633</v>
      </c>
    </row>
    <row r="3143" spans="7:7">
      <c r="G3143" s="440" t="s">
        <v>633</v>
      </c>
    </row>
    <row r="3144" spans="7:7">
      <c r="G3144" s="440" t="s">
        <v>633</v>
      </c>
    </row>
    <row r="3145" spans="7:7">
      <c r="G3145" s="440" t="s">
        <v>633</v>
      </c>
    </row>
    <row r="3146" spans="7:7">
      <c r="G3146" s="440" t="s">
        <v>633</v>
      </c>
    </row>
    <row r="3147" spans="7:7">
      <c r="G3147" s="440" t="s">
        <v>633</v>
      </c>
    </row>
    <row r="3148" spans="7:7">
      <c r="G3148" s="440" t="s">
        <v>633</v>
      </c>
    </row>
    <row r="3149" spans="7:7">
      <c r="G3149" s="440" t="s">
        <v>633</v>
      </c>
    </row>
    <row r="3150" spans="7:7">
      <c r="G3150" s="440" t="s">
        <v>633</v>
      </c>
    </row>
    <row r="3151" spans="7:7">
      <c r="G3151" s="440" t="s">
        <v>633</v>
      </c>
    </row>
    <row r="3152" spans="7:7">
      <c r="G3152" s="440" t="s">
        <v>633</v>
      </c>
    </row>
    <row r="3153" spans="7:7">
      <c r="G3153" s="440" t="s">
        <v>633</v>
      </c>
    </row>
    <row r="3154" spans="7:7">
      <c r="G3154" s="440" t="s">
        <v>633</v>
      </c>
    </row>
    <row r="3155" spans="7:7">
      <c r="G3155" s="440" t="s">
        <v>633</v>
      </c>
    </row>
    <row r="3156" spans="7:7">
      <c r="G3156" s="440" t="s">
        <v>633</v>
      </c>
    </row>
    <row r="3157" spans="7:7">
      <c r="G3157" s="440" t="s">
        <v>633</v>
      </c>
    </row>
    <row r="3158" spans="7:7">
      <c r="G3158" s="440" t="s">
        <v>633</v>
      </c>
    </row>
    <row r="3159" spans="7:7">
      <c r="G3159" s="440" t="s">
        <v>633</v>
      </c>
    </row>
    <row r="3160" spans="7:7">
      <c r="G3160" s="440" t="s">
        <v>633</v>
      </c>
    </row>
    <row r="3161" spans="7:7">
      <c r="G3161" s="440" t="s">
        <v>633</v>
      </c>
    </row>
    <row r="3162" spans="7:7">
      <c r="G3162" s="440" t="s">
        <v>633</v>
      </c>
    </row>
    <row r="3163" spans="7:7">
      <c r="G3163" s="440" t="s">
        <v>633</v>
      </c>
    </row>
    <row r="3164" spans="7:7">
      <c r="G3164" s="440" t="s">
        <v>633</v>
      </c>
    </row>
    <row r="3165" spans="7:7">
      <c r="G3165" s="440" t="s">
        <v>633</v>
      </c>
    </row>
    <row r="3166" spans="7:7">
      <c r="G3166" s="440" t="s">
        <v>633</v>
      </c>
    </row>
    <row r="3167" spans="7:7">
      <c r="G3167" s="440" t="s">
        <v>633</v>
      </c>
    </row>
    <row r="3168" spans="7:7">
      <c r="G3168" s="440" t="s">
        <v>633</v>
      </c>
    </row>
    <row r="3169" spans="7:7">
      <c r="G3169" s="440" t="s">
        <v>633</v>
      </c>
    </row>
    <row r="3170" spans="7:7">
      <c r="G3170" s="440" t="s">
        <v>633</v>
      </c>
    </row>
    <row r="3171" spans="7:7">
      <c r="G3171" s="440" t="s">
        <v>633</v>
      </c>
    </row>
    <row r="3172" spans="7:7">
      <c r="G3172" s="440" t="s">
        <v>633</v>
      </c>
    </row>
    <row r="3173" spans="7:7">
      <c r="G3173" s="440" t="s">
        <v>633</v>
      </c>
    </row>
    <row r="3174" spans="7:7">
      <c r="G3174" s="440" t="s">
        <v>633</v>
      </c>
    </row>
    <row r="3175" spans="7:7">
      <c r="G3175" s="440" t="s">
        <v>633</v>
      </c>
    </row>
    <row r="3176" spans="7:7">
      <c r="G3176" s="440" t="s">
        <v>633</v>
      </c>
    </row>
    <row r="3177" spans="7:7">
      <c r="G3177" s="440" t="s">
        <v>633</v>
      </c>
    </row>
    <row r="3178" spans="7:7">
      <c r="G3178" s="440" t="s">
        <v>633</v>
      </c>
    </row>
    <row r="3179" spans="7:7">
      <c r="G3179" s="440" t="s">
        <v>633</v>
      </c>
    </row>
    <row r="3180" spans="7:7">
      <c r="G3180" s="440" t="s">
        <v>633</v>
      </c>
    </row>
    <row r="3181" spans="7:7">
      <c r="G3181" s="440" t="s">
        <v>633</v>
      </c>
    </row>
    <row r="3182" spans="7:7">
      <c r="G3182" s="440" t="s">
        <v>633</v>
      </c>
    </row>
    <row r="3183" spans="7:7">
      <c r="G3183" s="440" t="s">
        <v>633</v>
      </c>
    </row>
    <row r="3184" spans="7:7">
      <c r="G3184" s="440" t="s">
        <v>633</v>
      </c>
    </row>
    <row r="3185" spans="7:7">
      <c r="G3185" s="440" t="s">
        <v>633</v>
      </c>
    </row>
    <row r="3186" spans="7:7">
      <c r="G3186" s="440" t="s">
        <v>633</v>
      </c>
    </row>
    <row r="3187" spans="7:7">
      <c r="G3187" s="440" t="s">
        <v>633</v>
      </c>
    </row>
    <row r="3188" spans="7:7">
      <c r="G3188" s="440" t="s">
        <v>633</v>
      </c>
    </row>
    <row r="3189" spans="7:7">
      <c r="G3189" s="440" t="s">
        <v>633</v>
      </c>
    </row>
    <row r="3190" spans="7:7">
      <c r="G3190" s="440" t="s">
        <v>633</v>
      </c>
    </row>
    <row r="3191" spans="7:7">
      <c r="G3191" s="440" t="s">
        <v>633</v>
      </c>
    </row>
    <row r="3192" spans="7:7">
      <c r="G3192" s="440" t="s">
        <v>633</v>
      </c>
    </row>
    <row r="3193" spans="7:7">
      <c r="G3193" s="440" t="s">
        <v>633</v>
      </c>
    </row>
    <row r="3194" spans="7:7">
      <c r="G3194" s="440" t="s">
        <v>633</v>
      </c>
    </row>
    <row r="3195" spans="7:7">
      <c r="G3195" s="440" t="s">
        <v>633</v>
      </c>
    </row>
    <row r="3196" spans="7:7">
      <c r="G3196" s="440" t="s">
        <v>633</v>
      </c>
    </row>
    <row r="3197" spans="7:7">
      <c r="G3197" s="440" t="s">
        <v>633</v>
      </c>
    </row>
    <row r="3198" spans="7:7">
      <c r="G3198" s="440" t="s">
        <v>633</v>
      </c>
    </row>
    <row r="3199" spans="7:7">
      <c r="G3199" s="440" t="s">
        <v>633</v>
      </c>
    </row>
    <row r="3200" spans="7:7">
      <c r="G3200" s="440" t="s">
        <v>633</v>
      </c>
    </row>
    <row r="3201" spans="7:7">
      <c r="G3201" s="440" t="s">
        <v>633</v>
      </c>
    </row>
    <row r="3202" spans="7:7">
      <c r="G3202" s="440" t="s">
        <v>633</v>
      </c>
    </row>
    <row r="3203" spans="7:7">
      <c r="G3203" s="440" t="s">
        <v>633</v>
      </c>
    </row>
    <row r="3204" spans="7:7">
      <c r="G3204" s="440" t="s">
        <v>633</v>
      </c>
    </row>
    <row r="3205" spans="7:7">
      <c r="G3205" s="440" t="s">
        <v>633</v>
      </c>
    </row>
    <row r="3206" spans="7:7">
      <c r="G3206" s="440" t="s">
        <v>633</v>
      </c>
    </row>
    <row r="3207" spans="7:7">
      <c r="G3207" s="440" t="s">
        <v>633</v>
      </c>
    </row>
    <row r="3208" spans="7:7">
      <c r="G3208" s="440" t="s">
        <v>633</v>
      </c>
    </row>
    <row r="3209" spans="7:7">
      <c r="G3209" s="440" t="s">
        <v>633</v>
      </c>
    </row>
    <row r="3210" spans="7:7">
      <c r="G3210" s="440" t="s">
        <v>633</v>
      </c>
    </row>
    <row r="3211" spans="7:7">
      <c r="G3211" s="440" t="s">
        <v>633</v>
      </c>
    </row>
    <row r="3212" spans="7:7">
      <c r="G3212" s="440" t="s">
        <v>633</v>
      </c>
    </row>
    <row r="3213" spans="7:7">
      <c r="G3213" s="440" t="s">
        <v>633</v>
      </c>
    </row>
    <row r="3214" spans="7:7">
      <c r="G3214" s="440" t="s">
        <v>633</v>
      </c>
    </row>
    <row r="3215" spans="7:7">
      <c r="G3215" s="440" t="s">
        <v>633</v>
      </c>
    </row>
    <row r="3216" spans="7:7">
      <c r="G3216" s="440" t="s">
        <v>633</v>
      </c>
    </row>
    <row r="3217" spans="7:7">
      <c r="G3217" s="440" t="s">
        <v>633</v>
      </c>
    </row>
    <row r="3218" spans="7:7">
      <c r="G3218" s="440" t="s">
        <v>633</v>
      </c>
    </row>
    <row r="3219" spans="7:7">
      <c r="G3219" s="440" t="s">
        <v>633</v>
      </c>
    </row>
    <row r="3220" spans="7:7">
      <c r="G3220" s="440" t="s">
        <v>633</v>
      </c>
    </row>
    <row r="3221" spans="7:7">
      <c r="G3221" s="440" t="s">
        <v>633</v>
      </c>
    </row>
    <row r="3222" spans="7:7">
      <c r="G3222" s="440" t="s">
        <v>633</v>
      </c>
    </row>
    <row r="3223" spans="7:7">
      <c r="G3223" s="440" t="s">
        <v>633</v>
      </c>
    </row>
    <row r="3224" spans="7:7">
      <c r="G3224" s="440" t="s">
        <v>633</v>
      </c>
    </row>
    <row r="3225" spans="7:7">
      <c r="G3225" s="440" t="s">
        <v>633</v>
      </c>
    </row>
    <row r="3226" spans="7:7">
      <c r="G3226" s="440" t="s">
        <v>633</v>
      </c>
    </row>
    <row r="3227" spans="7:7">
      <c r="G3227" s="440" t="s">
        <v>633</v>
      </c>
    </row>
    <row r="3228" spans="7:7">
      <c r="G3228" s="440" t="s">
        <v>633</v>
      </c>
    </row>
    <row r="3229" spans="7:7">
      <c r="G3229" s="440" t="s">
        <v>633</v>
      </c>
    </row>
    <row r="3230" spans="7:7">
      <c r="G3230" s="440" t="s">
        <v>633</v>
      </c>
    </row>
    <row r="3231" spans="7:7">
      <c r="G3231" s="440" t="s">
        <v>633</v>
      </c>
    </row>
    <row r="3232" spans="7:7">
      <c r="G3232" s="440" t="s">
        <v>633</v>
      </c>
    </row>
    <row r="3233" spans="7:7">
      <c r="G3233" s="440" t="s">
        <v>633</v>
      </c>
    </row>
    <row r="3234" spans="7:7">
      <c r="G3234" s="440" t="s">
        <v>633</v>
      </c>
    </row>
    <row r="3235" spans="7:7">
      <c r="G3235" s="440" t="s">
        <v>633</v>
      </c>
    </row>
    <row r="3236" spans="7:7">
      <c r="G3236" s="440" t="s">
        <v>633</v>
      </c>
    </row>
    <row r="3237" spans="7:7">
      <c r="G3237" s="440" t="s">
        <v>633</v>
      </c>
    </row>
    <row r="3238" spans="7:7">
      <c r="G3238" s="440" t="s">
        <v>633</v>
      </c>
    </row>
    <row r="3239" spans="7:7">
      <c r="G3239" s="440" t="s">
        <v>633</v>
      </c>
    </row>
    <row r="3240" spans="7:7">
      <c r="G3240" s="440" t="s">
        <v>633</v>
      </c>
    </row>
    <row r="3241" spans="7:7">
      <c r="G3241" s="440" t="s">
        <v>633</v>
      </c>
    </row>
    <row r="3242" spans="7:7">
      <c r="G3242" s="440" t="s">
        <v>633</v>
      </c>
    </row>
    <row r="3243" spans="7:7">
      <c r="G3243" s="440" t="s">
        <v>633</v>
      </c>
    </row>
    <row r="3244" spans="7:7">
      <c r="G3244" s="440" t="s">
        <v>633</v>
      </c>
    </row>
    <row r="3245" spans="7:7">
      <c r="G3245" s="440" t="s">
        <v>633</v>
      </c>
    </row>
    <row r="3246" spans="7:7">
      <c r="G3246" s="440" t="s">
        <v>633</v>
      </c>
    </row>
    <row r="3247" spans="7:7">
      <c r="G3247" s="440" t="s">
        <v>633</v>
      </c>
    </row>
    <row r="3248" spans="7:7">
      <c r="G3248" s="440" t="s">
        <v>633</v>
      </c>
    </row>
    <row r="3249" spans="7:7">
      <c r="G3249" s="440" t="s">
        <v>633</v>
      </c>
    </row>
    <row r="3250" spans="7:7">
      <c r="G3250" s="440" t="s">
        <v>633</v>
      </c>
    </row>
    <row r="3251" spans="7:7">
      <c r="G3251" s="440" t="s">
        <v>633</v>
      </c>
    </row>
    <row r="3252" spans="7:7">
      <c r="G3252" s="440" t="s">
        <v>633</v>
      </c>
    </row>
    <row r="3253" spans="7:7">
      <c r="G3253" s="440" t="s">
        <v>633</v>
      </c>
    </row>
    <row r="3254" spans="7:7">
      <c r="G3254" s="440" t="s">
        <v>633</v>
      </c>
    </row>
    <row r="3255" spans="7:7">
      <c r="G3255" s="440" t="s">
        <v>633</v>
      </c>
    </row>
    <row r="3256" spans="7:7">
      <c r="G3256" s="440" t="s">
        <v>633</v>
      </c>
    </row>
    <row r="3257" spans="7:7">
      <c r="G3257" s="440" t="s">
        <v>633</v>
      </c>
    </row>
    <row r="3258" spans="7:7">
      <c r="G3258" s="440" t="s">
        <v>633</v>
      </c>
    </row>
    <row r="3259" spans="7:7">
      <c r="G3259" s="440" t="s">
        <v>633</v>
      </c>
    </row>
    <row r="3260" spans="7:7">
      <c r="G3260" s="440" t="s">
        <v>633</v>
      </c>
    </row>
    <row r="3261" spans="7:7">
      <c r="G3261" s="440" t="s">
        <v>633</v>
      </c>
    </row>
    <row r="3262" spans="7:7">
      <c r="G3262" s="440" t="s">
        <v>633</v>
      </c>
    </row>
    <row r="3263" spans="7:7">
      <c r="G3263" s="440" t="s">
        <v>633</v>
      </c>
    </row>
    <row r="3264" spans="7:7">
      <c r="G3264" s="440" t="s">
        <v>633</v>
      </c>
    </row>
    <row r="3265" spans="7:7">
      <c r="G3265" s="440" t="s">
        <v>633</v>
      </c>
    </row>
    <row r="3266" spans="7:7">
      <c r="G3266" s="440" t="s">
        <v>633</v>
      </c>
    </row>
    <row r="3267" spans="7:7">
      <c r="G3267" s="440" t="s">
        <v>633</v>
      </c>
    </row>
    <row r="3268" spans="7:7">
      <c r="G3268" s="440" t="s">
        <v>633</v>
      </c>
    </row>
    <row r="3269" spans="7:7">
      <c r="G3269" s="440" t="s">
        <v>633</v>
      </c>
    </row>
    <row r="3270" spans="7:7">
      <c r="G3270" s="440" t="s">
        <v>633</v>
      </c>
    </row>
    <row r="3271" spans="7:7">
      <c r="G3271" s="440" t="s">
        <v>633</v>
      </c>
    </row>
    <row r="3272" spans="7:7">
      <c r="G3272" s="440" t="s">
        <v>633</v>
      </c>
    </row>
    <row r="3273" spans="7:7">
      <c r="G3273" s="440" t="s">
        <v>633</v>
      </c>
    </row>
    <row r="3274" spans="7:7">
      <c r="G3274" s="440" t="s">
        <v>633</v>
      </c>
    </row>
    <row r="3275" spans="7:7">
      <c r="G3275" s="440" t="s">
        <v>633</v>
      </c>
    </row>
    <row r="3276" spans="7:7">
      <c r="G3276" s="440" t="s">
        <v>633</v>
      </c>
    </row>
    <row r="3277" spans="7:7">
      <c r="G3277" s="440" t="s">
        <v>633</v>
      </c>
    </row>
    <row r="3278" spans="7:7">
      <c r="G3278" s="440" t="s">
        <v>633</v>
      </c>
    </row>
    <row r="3279" spans="7:7">
      <c r="G3279" s="440" t="s">
        <v>633</v>
      </c>
    </row>
    <row r="3280" spans="7:7">
      <c r="G3280" s="440" t="s">
        <v>633</v>
      </c>
    </row>
    <row r="3281" spans="7:7">
      <c r="G3281" s="440" t="s">
        <v>633</v>
      </c>
    </row>
    <row r="3282" spans="7:7">
      <c r="G3282" s="440" t="s">
        <v>633</v>
      </c>
    </row>
    <row r="3283" spans="7:7">
      <c r="G3283" s="440" t="s">
        <v>633</v>
      </c>
    </row>
    <row r="3284" spans="7:7">
      <c r="G3284" s="440" t="s">
        <v>633</v>
      </c>
    </row>
    <row r="3285" spans="7:7">
      <c r="G3285" s="440" t="s">
        <v>633</v>
      </c>
    </row>
    <row r="3286" spans="7:7">
      <c r="G3286" s="440" t="s">
        <v>633</v>
      </c>
    </row>
    <row r="3287" spans="7:7">
      <c r="G3287" s="440" t="s">
        <v>633</v>
      </c>
    </row>
    <row r="3288" spans="7:7">
      <c r="G3288" s="440" t="s">
        <v>633</v>
      </c>
    </row>
    <row r="3289" spans="7:7">
      <c r="G3289" s="440" t="s">
        <v>633</v>
      </c>
    </row>
    <row r="3290" spans="7:7">
      <c r="G3290" s="440" t="s">
        <v>633</v>
      </c>
    </row>
    <row r="3291" spans="7:7">
      <c r="G3291" s="440" t="s">
        <v>633</v>
      </c>
    </row>
    <row r="3292" spans="7:7">
      <c r="G3292" s="440" t="s">
        <v>633</v>
      </c>
    </row>
    <row r="3293" spans="7:7">
      <c r="G3293" s="440" t="s">
        <v>633</v>
      </c>
    </row>
    <row r="3294" spans="7:7">
      <c r="G3294" s="440" t="s">
        <v>633</v>
      </c>
    </row>
    <row r="3295" spans="7:7">
      <c r="G3295" s="440" t="s">
        <v>633</v>
      </c>
    </row>
    <row r="3296" spans="7:7">
      <c r="G3296" s="440" t="s">
        <v>633</v>
      </c>
    </row>
    <row r="3297" spans="7:7">
      <c r="G3297" s="440" t="s">
        <v>633</v>
      </c>
    </row>
    <row r="3298" spans="7:7">
      <c r="G3298" s="440" t="s">
        <v>633</v>
      </c>
    </row>
    <row r="3299" spans="7:7">
      <c r="G3299" s="440" t="s">
        <v>633</v>
      </c>
    </row>
    <row r="3300" spans="7:7">
      <c r="G3300" s="440" t="s">
        <v>633</v>
      </c>
    </row>
    <row r="3301" spans="7:7">
      <c r="G3301" s="440" t="s">
        <v>633</v>
      </c>
    </row>
    <row r="3302" spans="7:7">
      <c r="G3302" s="440" t="s">
        <v>633</v>
      </c>
    </row>
    <row r="3303" spans="7:7">
      <c r="G3303" s="440" t="s">
        <v>633</v>
      </c>
    </row>
    <row r="3304" spans="7:7">
      <c r="G3304" s="440" t="s">
        <v>633</v>
      </c>
    </row>
    <row r="3305" spans="7:7">
      <c r="G3305" s="440" t="s">
        <v>633</v>
      </c>
    </row>
    <row r="3306" spans="7:7">
      <c r="G3306" s="440" t="s">
        <v>633</v>
      </c>
    </row>
    <row r="3307" spans="7:7">
      <c r="G3307" s="440" t="s">
        <v>633</v>
      </c>
    </row>
    <row r="3308" spans="7:7">
      <c r="G3308" s="440" t="s">
        <v>633</v>
      </c>
    </row>
    <row r="3309" spans="7:7">
      <c r="G3309" s="440" t="s">
        <v>633</v>
      </c>
    </row>
    <row r="3310" spans="7:7">
      <c r="G3310" s="440" t="s">
        <v>633</v>
      </c>
    </row>
    <row r="3311" spans="7:7">
      <c r="G3311" s="440" t="s">
        <v>633</v>
      </c>
    </row>
    <row r="3312" spans="7:7">
      <c r="G3312" s="440" t="s">
        <v>633</v>
      </c>
    </row>
    <row r="3313" spans="7:7">
      <c r="G3313" s="440" t="s">
        <v>633</v>
      </c>
    </row>
    <row r="3314" spans="7:7">
      <c r="G3314" s="440" t="s">
        <v>633</v>
      </c>
    </row>
    <row r="3315" spans="7:7">
      <c r="G3315" s="440" t="s">
        <v>633</v>
      </c>
    </row>
    <row r="3316" spans="7:7">
      <c r="G3316" s="440" t="s">
        <v>633</v>
      </c>
    </row>
    <row r="3317" spans="7:7">
      <c r="G3317" s="440" t="s">
        <v>633</v>
      </c>
    </row>
    <row r="3318" spans="7:7">
      <c r="G3318" s="440" t="s">
        <v>633</v>
      </c>
    </row>
    <row r="3319" spans="7:7">
      <c r="G3319" s="440" t="s">
        <v>633</v>
      </c>
    </row>
    <row r="3320" spans="7:7">
      <c r="G3320" s="440" t="s">
        <v>633</v>
      </c>
    </row>
    <row r="3321" spans="7:7">
      <c r="G3321" s="440" t="s">
        <v>633</v>
      </c>
    </row>
    <row r="3322" spans="7:7">
      <c r="G3322" s="440" t="s">
        <v>633</v>
      </c>
    </row>
    <row r="3323" spans="7:7">
      <c r="G3323" s="440" t="s">
        <v>633</v>
      </c>
    </row>
    <row r="3324" spans="7:7">
      <c r="G3324" s="440" t="s">
        <v>633</v>
      </c>
    </row>
    <row r="3325" spans="7:7">
      <c r="G3325" s="440" t="s">
        <v>633</v>
      </c>
    </row>
    <row r="3326" spans="7:7">
      <c r="G3326" s="440" t="s">
        <v>633</v>
      </c>
    </row>
    <row r="3327" spans="7:7">
      <c r="G3327" s="440" t="s">
        <v>633</v>
      </c>
    </row>
    <row r="3328" spans="7:7">
      <c r="G3328" s="440" t="s">
        <v>633</v>
      </c>
    </row>
    <row r="3329" spans="7:7">
      <c r="G3329" s="440" t="s">
        <v>633</v>
      </c>
    </row>
    <row r="3330" spans="7:7">
      <c r="G3330" s="440" t="s">
        <v>633</v>
      </c>
    </row>
    <row r="3331" spans="7:7">
      <c r="G3331" s="440" t="s">
        <v>633</v>
      </c>
    </row>
    <row r="3332" spans="7:7">
      <c r="G3332" s="440" t="s">
        <v>633</v>
      </c>
    </row>
    <row r="3333" spans="7:7">
      <c r="G3333" s="440" t="s">
        <v>633</v>
      </c>
    </row>
    <row r="3334" spans="7:7">
      <c r="G3334" s="440" t="s">
        <v>633</v>
      </c>
    </row>
    <row r="3335" spans="7:7">
      <c r="G3335" s="440" t="s">
        <v>633</v>
      </c>
    </row>
    <row r="3336" spans="7:7">
      <c r="G3336" s="440" t="s">
        <v>633</v>
      </c>
    </row>
    <row r="3337" spans="7:7">
      <c r="G3337" s="440" t="s">
        <v>633</v>
      </c>
    </row>
    <row r="3338" spans="7:7">
      <c r="G3338" s="440" t="s">
        <v>633</v>
      </c>
    </row>
    <row r="3339" spans="7:7">
      <c r="G3339" s="440" t="s">
        <v>633</v>
      </c>
    </row>
    <row r="3340" spans="7:7">
      <c r="G3340" s="440" t="s">
        <v>633</v>
      </c>
    </row>
    <row r="3341" spans="7:7">
      <c r="G3341" s="440" t="s">
        <v>633</v>
      </c>
    </row>
    <row r="3342" spans="7:7">
      <c r="G3342" s="440" t="s">
        <v>633</v>
      </c>
    </row>
    <row r="3343" spans="7:7">
      <c r="G3343" s="440" t="s">
        <v>633</v>
      </c>
    </row>
    <row r="3344" spans="7:7">
      <c r="G3344" s="440" t="s">
        <v>633</v>
      </c>
    </row>
    <row r="3345" spans="7:7">
      <c r="G3345" s="440" t="s">
        <v>633</v>
      </c>
    </row>
    <row r="3346" spans="7:7">
      <c r="G3346" s="440" t="s">
        <v>633</v>
      </c>
    </row>
    <row r="3347" spans="7:7">
      <c r="G3347" s="440" t="s">
        <v>633</v>
      </c>
    </row>
    <row r="3348" spans="7:7">
      <c r="G3348" s="440" t="s">
        <v>633</v>
      </c>
    </row>
    <row r="3349" spans="7:7">
      <c r="G3349" s="440" t="s">
        <v>633</v>
      </c>
    </row>
    <row r="3350" spans="7:7">
      <c r="G3350" s="440" t="s">
        <v>633</v>
      </c>
    </row>
    <row r="3351" spans="7:7">
      <c r="G3351" s="440" t="s">
        <v>633</v>
      </c>
    </row>
    <row r="3352" spans="7:7">
      <c r="G3352" s="440" t="s">
        <v>633</v>
      </c>
    </row>
    <row r="3353" spans="7:7">
      <c r="G3353" s="440" t="s">
        <v>633</v>
      </c>
    </row>
    <row r="3354" spans="7:7">
      <c r="G3354" s="440" t="s">
        <v>633</v>
      </c>
    </row>
    <row r="3355" spans="7:7">
      <c r="G3355" s="440" t="s">
        <v>633</v>
      </c>
    </row>
    <row r="3356" spans="7:7">
      <c r="G3356" s="440" t="s">
        <v>633</v>
      </c>
    </row>
    <row r="3357" spans="7:7">
      <c r="G3357" s="440" t="s">
        <v>633</v>
      </c>
    </row>
    <row r="3358" spans="7:7">
      <c r="G3358" s="440" t="s">
        <v>633</v>
      </c>
    </row>
    <row r="3359" spans="7:7">
      <c r="G3359" s="440" t="s">
        <v>633</v>
      </c>
    </row>
    <row r="3360" spans="7:7">
      <c r="G3360" s="440" t="s">
        <v>633</v>
      </c>
    </row>
    <row r="3361" spans="7:7">
      <c r="G3361" s="440" t="s">
        <v>633</v>
      </c>
    </row>
    <row r="3362" spans="7:7">
      <c r="G3362" s="440" t="s">
        <v>633</v>
      </c>
    </row>
    <row r="3363" spans="7:7">
      <c r="G3363" s="440" t="s">
        <v>633</v>
      </c>
    </row>
    <row r="3364" spans="7:7">
      <c r="G3364" s="440" t="s">
        <v>633</v>
      </c>
    </row>
    <row r="3365" spans="7:7">
      <c r="G3365" s="440" t="s">
        <v>633</v>
      </c>
    </row>
    <row r="3366" spans="7:7">
      <c r="G3366" s="440" t="s">
        <v>633</v>
      </c>
    </row>
    <row r="3367" spans="7:7">
      <c r="G3367" s="440" t="s">
        <v>633</v>
      </c>
    </row>
    <row r="3368" spans="7:7">
      <c r="G3368" s="440" t="s">
        <v>633</v>
      </c>
    </row>
    <row r="3369" spans="7:7">
      <c r="G3369" s="440" t="s">
        <v>633</v>
      </c>
    </row>
    <row r="3370" spans="7:7">
      <c r="G3370" s="440" t="s">
        <v>633</v>
      </c>
    </row>
    <row r="3371" spans="7:7">
      <c r="G3371" s="440" t="s">
        <v>633</v>
      </c>
    </row>
    <row r="3372" spans="7:7">
      <c r="G3372" s="440" t="s">
        <v>633</v>
      </c>
    </row>
    <row r="3373" spans="7:7">
      <c r="G3373" s="440" t="s">
        <v>633</v>
      </c>
    </row>
    <row r="3374" spans="7:7">
      <c r="G3374" s="440" t="s">
        <v>633</v>
      </c>
    </row>
    <row r="3375" spans="7:7">
      <c r="G3375" s="440" t="s">
        <v>633</v>
      </c>
    </row>
    <row r="3376" spans="7:7">
      <c r="G3376" s="440" t="s">
        <v>633</v>
      </c>
    </row>
    <row r="3377" spans="7:7">
      <c r="G3377" s="440" t="s">
        <v>633</v>
      </c>
    </row>
    <row r="3378" spans="7:7">
      <c r="G3378" s="440" t="s">
        <v>633</v>
      </c>
    </row>
    <row r="3379" spans="7:7">
      <c r="G3379" s="440" t="s">
        <v>633</v>
      </c>
    </row>
    <row r="3380" spans="7:7">
      <c r="G3380" s="440" t="s">
        <v>633</v>
      </c>
    </row>
    <row r="3381" spans="7:7">
      <c r="G3381" s="440" t="s">
        <v>633</v>
      </c>
    </row>
    <row r="3382" spans="7:7">
      <c r="G3382" s="440" t="s">
        <v>633</v>
      </c>
    </row>
    <row r="3383" spans="7:7">
      <c r="G3383" s="440" t="s">
        <v>633</v>
      </c>
    </row>
    <row r="3384" spans="7:7">
      <c r="G3384" s="440" t="s">
        <v>633</v>
      </c>
    </row>
    <row r="3385" spans="7:7">
      <c r="G3385" s="440" t="s">
        <v>633</v>
      </c>
    </row>
    <row r="3386" spans="7:7">
      <c r="G3386" s="440" t="s">
        <v>633</v>
      </c>
    </row>
    <row r="3387" spans="7:7">
      <c r="G3387" s="440" t="s">
        <v>633</v>
      </c>
    </row>
    <row r="3388" spans="7:7">
      <c r="G3388" s="440" t="s">
        <v>633</v>
      </c>
    </row>
    <row r="3389" spans="7:7">
      <c r="G3389" s="440" t="s">
        <v>633</v>
      </c>
    </row>
    <row r="3390" spans="7:7">
      <c r="G3390" s="440" t="s">
        <v>633</v>
      </c>
    </row>
    <row r="3391" spans="7:7">
      <c r="G3391" s="440" t="s">
        <v>633</v>
      </c>
    </row>
    <row r="3392" spans="7:7">
      <c r="G3392" s="440" t="s">
        <v>633</v>
      </c>
    </row>
    <row r="3393" spans="7:7">
      <c r="G3393" s="440" t="s">
        <v>633</v>
      </c>
    </row>
    <row r="3394" spans="7:7">
      <c r="G3394" s="440" t="s">
        <v>633</v>
      </c>
    </row>
    <row r="3395" spans="7:7">
      <c r="G3395" s="440" t="s">
        <v>633</v>
      </c>
    </row>
    <row r="3396" spans="7:7">
      <c r="G3396" s="440" t="s">
        <v>633</v>
      </c>
    </row>
    <row r="3397" spans="7:7">
      <c r="G3397" s="440" t="s">
        <v>633</v>
      </c>
    </row>
    <row r="3398" spans="7:7">
      <c r="G3398" s="440" t="s">
        <v>633</v>
      </c>
    </row>
    <row r="3399" spans="7:7">
      <c r="G3399" s="440" t="s">
        <v>633</v>
      </c>
    </row>
    <row r="3400" spans="7:7">
      <c r="G3400" s="440" t="s">
        <v>633</v>
      </c>
    </row>
    <row r="3401" spans="7:7">
      <c r="G3401" s="440" t="s">
        <v>633</v>
      </c>
    </row>
    <row r="3402" spans="7:7">
      <c r="G3402" s="440" t="s">
        <v>633</v>
      </c>
    </row>
    <row r="3403" spans="7:7">
      <c r="G3403" s="440" t="s">
        <v>633</v>
      </c>
    </row>
    <row r="3404" spans="7:7">
      <c r="G3404" s="440" t="s">
        <v>633</v>
      </c>
    </row>
    <row r="3405" spans="7:7">
      <c r="G3405" s="440" t="s">
        <v>633</v>
      </c>
    </row>
    <row r="3406" spans="7:7">
      <c r="G3406" s="440" t="s">
        <v>633</v>
      </c>
    </row>
    <row r="3407" spans="7:7">
      <c r="G3407" s="440" t="s">
        <v>633</v>
      </c>
    </row>
    <row r="3408" spans="7:7">
      <c r="G3408" s="440" t="s">
        <v>633</v>
      </c>
    </row>
    <row r="3409" spans="7:7">
      <c r="G3409" s="440" t="s">
        <v>633</v>
      </c>
    </row>
    <row r="3410" spans="7:7">
      <c r="G3410" s="440" t="s">
        <v>633</v>
      </c>
    </row>
    <row r="3411" spans="7:7">
      <c r="G3411" s="440" t="s">
        <v>633</v>
      </c>
    </row>
    <row r="3412" spans="7:7">
      <c r="G3412" s="440" t="s">
        <v>633</v>
      </c>
    </row>
    <row r="3413" spans="7:7">
      <c r="G3413" s="440" t="s">
        <v>633</v>
      </c>
    </row>
    <row r="3414" spans="7:7">
      <c r="G3414" s="440" t="s">
        <v>633</v>
      </c>
    </row>
    <row r="3415" spans="7:7">
      <c r="G3415" s="440" t="s">
        <v>633</v>
      </c>
    </row>
    <row r="3416" spans="7:7">
      <c r="G3416" s="440" t="s">
        <v>633</v>
      </c>
    </row>
    <row r="3417" spans="7:7">
      <c r="G3417" s="440" t="s">
        <v>633</v>
      </c>
    </row>
    <row r="3418" spans="7:7">
      <c r="G3418" s="440" t="s">
        <v>633</v>
      </c>
    </row>
    <row r="3419" spans="7:7">
      <c r="G3419" s="440" t="s">
        <v>633</v>
      </c>
    </row>
    <row r="3420" spans="7:7">
      <c r="G3420" s="440" t="s">
        <v>636</v>
      </c>
    </row>
    <row r="3421" spans="7:7">
      <c r="G3421" s="440" t="s">
        <v>633</v>
      </c>
    </row>
    <row r="3422" spans="7:7">
      <c r="G3422" s="440" t="s">
        <v>633</v>
      </c>
    </row>
    <row r="3423" spans="7:7">
      <c r="G3423" s="440" t="s">
        <v>633</v>
      </c>
    </row>
    <row r="3424" spans="7:7">
      <c r="G3424" s="440" t="s">
        <v>633</v>
      </c>
    </row>
    <row r="3425" spans="7:7">
      <c r="G3425" s="440" t="s">
        <v>633</v>
      </c>
    </row>
    <row r="3426" spans="7:7">
      <c r="G3426" s="440" t="s">
        <v>633</v>
      </c>
    </row>
    <row r="3427" spans="7:7">
      <c r="G3427" s="440" t="s">
        <v>633</v>
      </c>
    </row>
    <row r="3428" spans="7:7">
      <c r="G3428" s="440" t="s">
        <v>633</v>
      </c>
    </row>
    <row r="3429" spans="7:7">
      <c r="G3429" s="440" t="s">
        <v>633</v>
      </c>
    </row>
    <row r="3430" spans="7:7">
      <c r="G3430" s="440" t="s">
        <v>633</v>
      </c>
    </row>
    <row r="3431" spans="7:7">
      <c r="G3431" s="440" t="s">
        <v>633</v>
      </c>
    </row>
    <row r="3432" spans="7:7">
      <c r="G3432" s="440" t="s">
        <v>633</v>
      </c>
    </row>
    <row r="3433" spans="7:7">
      <c r="G3433" s="440" t="s">
        <v>633</v>
      </c>
    </row>
    <row r="3434" spans="7:7">
      <c r="G3434" s="440" t="s">
        <v>633</v>
      </c>
    </row>
    <row r="3435" spans="7:7">
      <c r="G3435" s="440" t="s">
        <v>633</v>
      </c>
    </row>
    <row r="3436" spans="7:7">
      <c r="G3436" s="440" t="s">
        <v>633</v>
      </c>
    </row>
    <row r="3437" spans="7:7">
      <c r="G3437" s="440" t="s">
        <v>633</v>
      </c>
    </row>
    <row r="3438" spans="7:7">
      <c r="G3438" s="440" t="s">
        <v>633</v>
      </c>
    </row>
    <row r="3439" spans="7:7">
      <c r="G3439" s="440" t="s">
        <v>633</v>
      </c>
    </row>
    <row r="3440" spans="7:7">
      <c r="G3440" s="440" t="s">
        <v>633</v>
      </c>
    </row>
    <row r="3441" spans="7:7">
      <c r="G3441" s="440" t="s">
        <v>633</v>
      </c>
    </row>
    <row r="3442" spans="7:7">
      <c r="G3442" s="440" t="s">
        <v>633</v>
      </c>
    </row>
    <row r="3443" spans="7:7">
      <c r="G3443" s="440" t="s">
        <v>633</v>
      </c>
    </row>
    <row r="3444" spans="7:7">
      <c r="G3444" s="440" t="s">
        <v>633</v>
      </c>
    </row>
    <row r="3445" spans="7:7">
      <c r="G3445" s="440" t="s">
        <v>633</v>
      </c>
    </row>
    <row r="3446" spans="7:7">
      <c r="G3446" s="440" t="s">
        <v>633</v>
      </c>
    </row>
    <row r="3447" spans="7:7">
      <c r="G3447" s="440" t="s">
        <v>633</v>
      </c>
    </row>
    <row r="3448" spans="7:7">
      <c r="G3448" s="440" t="s">
        <v>633</v>
      </c>
    </row>
    <row r="3449" spans="7:7">
      <c r="G3449" s="440" t="s">
        <v>633</v>
      </c>
    </row>
    <row r="3450" spans="7:7">
      <c r="G3450" s="440" t="s">
        <v>633</v>
      </c>
    </row>
    <row r="3451" spans="7:7">
      <c r="G3451" s="440" t="s">
        <v>633</v>
      </c>
    </row>
    <row r="3452" spans="7:7">
      <c r="G3452" s="440" t="s">
        <v>633</v>
      </c>
    </row>
    <row r="3453" spans="7:7">
      <c r="G3453" s="440" t="s">
        <v>633</v>
      </c>
    </row>
    <row r="3454" spans="7:7">
      <c r="G3454" s="440" t="s">
        <v>633</v>
      </c>
    </row>
    <row r="3455" spans="7:7">
      <c r="G3455" s="440" t="s">
        <v>633</v>
      </c>
    </row>
    <row r="3456" spans="7:7">
      <c r="G3456" s="440" t="s">
        <v>633</v>
      </c>
    </row>
    <row r="3457" spans="7:7">
      <c r="G3457" s="440" t="s">
        <v>633</v>
      </c>
    </row>
    <row r="3458" spans="7:7">
      <c r="G3458" s="440" t="s">
        <v>633</v>
      </c>
    </row>
    <row r="3459" spans="7:7">
      <c r="G3459" s="440" t="s">
        <v>633</v>
      </c>
    </row>
    <row r="3460" spans="7:7">
      <c r="G3460" s="440" t="s">
        <v>633</v>
      </c>
    </row>
    <row r="3461" spans="7:7">
      <c r="G3461" s="440" t="s">
        <v>633</v>
      </c>
    </row>
    <row r="3462" spans="7:7">
      <c r="G3462" s="440" t="s">
        <v>633</v>
      </c>
    </row>
    <row r="3463" spans="7:7">
      <c r="G3463" s="440" t="s">
        <v>633</v>
      </c>
    </row>
    <row r="3464" spans="7:7">
      <c r="G3464" s="440" t="s">
        <v>633</v>
      </c>
    </row>
    <row r="3465" spans="7:7">
      <c r="G3465" s="440" t="s">
        <v>633</v>
      </c>
    </row>
    <row r="3466" spans="7:7">
      <c r="G3466" s="440" t="s">
        <v>633</v>
      </c>
    </row>
    <row r="3467" spans="7:7">
      <c r="G3467" s="440" t="s">
        <v>633</v>
      </c>
    </row>
    <row r="3468" spans="7:7">
      <c r="G3468" s="440" t="s">
        <v>633</v>
      </c>
    </row>
    <row r="3469" spans="7:7">
      <c r="G3469" s="440" t="s">
        <v>633</v>
      </c>
    </row>
    <row r="3470" spans="7:7">
      <c r="G3470" s="440" t="s">
        <v>633</v>
      </c>
    </row>
    <row r="3471" spans="7:7">
      <c r="G3471" s="440" t="s">
        <v>633</v>
      </c>
    </row>
    <row r="3472" spans="7:7">
      <c r="G3472" s="440" t="s">
        <v>633</v>
      </c>
    </row>
    <row r="3473" spans="7:7">
      <c r="G3473" s="440" t="s">
        <v>633</v>
      </c>
    </row>
    <row r="3474" spans="7:7">
      <c r="G3474" s="440" t="s">
        <v>633</v>
      </c>
    </row>
    <row r="3475" spans="7:7">
      <c r="G3475" s="440" t="s">
        <v>633</v>
      </c>
    </row>
    <row r="3476" spans="7:7">
      <c r="G3476" s="440" t="s">
        <v>633</v>
      </c>
    </row>
    <row r="3477" spans="7:7">
      <c r="G3477" s="440" t="s">
        <v>633</v>
      </c>
    </row>
    <row r="3478" spans="7:7">
      <c r="G3478" s="440" t="s">
        <v>633</v>
      </c>
    </row>
    <row r="3479" spans="7:7">
      <c r="G3479" s="440" t="s">
        <v>637</v>
      </c>
    </row>
    <row r="3480" spans="7:7">
      <c r="G3480" s="440" t="s">
        <v>633</v>
      </c>
    </row>
    <row r="3481" spans="7:7">
      <c r="G3481" s="440" t="s">
        <v>633</v>
      </c>
    </row>
    <row r="3482" spans="7:7">
      <c r="G3482" s="440" t="s">
        <v>633</v>
      </c>
    </row>
    <row r="3483" spans="7:7">
      <c r="G3483" s="440" t="s">
        <v>633</v>
      </c>
    </row>
    <row r="3484" spans="7:7">
      <c r="G3484" s="440" t="s">
        <v>633</v>
      </c>
    </row>
    <row r="3485" spans="7:7">
      <c r="G3485" s="440" t="s">
        <v>633</v>
      </c>
    </row>
    <row r="3486" spans="7:7">
      <c r="G3486" s="440" t="s">
        <v>633</v>
      </c>
    </row>
    <row r="3487" spans="7:7">
      <c r="G3487" s="440" t="s">
        <v>633</v>
      </c>
    </row>
    <row r="3488" spans="7:7">
      <c r="G3488" s="440" t="s">
        <v>633</v>
      </c>
    </row>
    <row r="3489" spans="7:7">
      <c r="G3489" s="440" t="s">
        <v>633</v>
      </c>
    </row>
    <row r="3490" spans="7:7">
      <c r="G3490" s="440" t="s">
        <v>633</v>
      </c>
    </row>
    <row r="3491" spans="7:7">
      <c r="G3491" s="440" t="s">
        <v>633</v>
      </c>
    </row>
    <row r="3492" spans="7:7">
      <c r="G3492" s="440" t="s">
        <v>633</v>
      </c>
    </row>
    <row r="3493" spans="7:7">
      <c r="G3493" s="440" t="s">
        <v>638</v>
      </c>
    </row>
    <row r="3494" spans="7:7">
      <c r="G3494" s="440" t="s">
        <v>638</v>
      </c>
    </row>
    <row r="3495" spans="7:7">
      <c r="G3495" s="440" t="s">
        <v>638</v>
      </c>
    </row>
    <row r="3496" spans="7:7">
      <c r="G3496" s="440" t="s">
        <v>637</v>
      </c>
    </row>
    <row r="3497" spans="7:7">
      <c r="G3497" s="440" t="s">
        <v>637</v>
      </c>
    </row>
    <row r="3498" spans="7:7">
      <c r="G3498" s="440" t="s">
        <v>637</v>
      </c>
    </row>
    <row r="3499" spans="7:7">
      <c r="G3499" s="440" t="s">
        <v>637</v>
      </c>
    </row>
    <row r="3500" spans="7:7">
      <c r="G3500" s="440" t="s">
        <v>637</v>
      </c>
    </row>
    <row r="3501" spans="7:7">
      <c r="G3501" s="440" t="s">
        <v>638</v>
      </c>
    </row>
    <row r="3502" spans="7:7">
      <c r="G3502" s="440" t="s">
        <v>637</v>
      </c>
    </row>
    <row r="3503" spans="7:7">
      <c r="G3503" s="440" t="s">
        <v>637</v>
      </c>
    </row>
    <row r="3504" spans="7:7">
      <c r="G3504" s="440" t="s">
        <v>633</v>
      </c>
    </row>
    <row r="3505" spans="7:7">
      <c r="G3505" s="440" t="s">
        <v>633</v>
      </c>
    </row>
    <row r="3506" spans="7:7">
      <c r="G3506" s="440" t="s">
        <v>633</v>
      </c>
    </row>
    <row r="3507" spans="7:7">
      <c r="G3507" s="440" t="s">
        <v>633</v>
      </c>
    </row>
    <row r="3508" spans="7:7">
      <c r="G3508" s="440" t="s">
        <v>633</v>
      </c>
    </row>
    <row r="3509" spans="7:7">
      <c r="G3509" s="440" t="s">
        <v>633</v>
      </c>
    </row>
    <row r="3510" spans="7:7">
      <c r="G3510" s="440" t="s">
        <v>633</v>
      </c>
    </row>
    <row r="3511" spans="7:7">
      <c r="G3511" s="440" t="s">
        <v>633</v>
      </c>
    </row>
    <row r="3512" spans="7:7">
      <c r="G3512" s="440" t="s">
        <v>633</v>
      </c>
    </row>
    <row r="3513" spans="7:7">
      <c r="G3513" s="440" t="s">
        <v>633</v>
      </c>
    </row>
    <row r="3514" spans="7:7">
      <c r="G3514" s="440" t="s">
        <v>633</v>
      </c>
    </row>
    <row r="3515" spans="7:7">
      <c r="G3515" s="440" t="s">
        <v>633</v>
      </c>
    </row>
    <row r="3516" spans="7:7">
      <c r="G3516" s="440" t="s">
        <v>633</v>
      </c>
    </row>
    <row r="3517" spans="7:7">
      <c r="G3517" s="440" t="s">
        <v>637</v>
      </c>
    </row>
    <row r="3518" spans="7:7">
      <c r="G3518" s="440" t="s">
        <v>637</v>
      </c>
    </row>
    <row r="3519" spans="7:7">
      <c r="G3519" s="440" t="s">
        <v>637</v>
      </c>
    </row>
    <row r="3520" spans="7:7">
      <c r="G3520" s="440" t="s">
        <v>637</v>
      </c>
    </row>
    <row r="3521" spans="7:7">
      <c r="G3521" s="440" t="s">
        <v>637</v>
      </c>
    </row>
    <row r="3522" spans="7:7">
      <c r="G3522" s="440" t="s">
        <v>637</v>
      </c>
    </row>
    <row r="3523" spans="7:7">
      <c r="G3523" s="440" t="s">
        <v>637</v>
      </c>
    </row>
    <row r="3524" spans="7:7">
      <c r="G3524" s="440" t="s">
        <v>637</v>
      </c>
    </row>
    <row r="3525" spans="7:7">
      <c r="G3525" s="440" t="s">
        <v>637</v>
      </c>
    </row>
    <row r="3526" spans="7:7">
      <c r="G3526" s="440" t="s">
        <v>637</v>
      </c>
    </row>
    <row r="3527" spans="7:7">
      <c r="G3527" s="440" t="s">
        <v>637</v>
      </c>
    </row>
    <row r="3528" spans="7:7">
      <c r="G3528" s="440" t="s">
        <v>633</v>
      </c>
    </row>
    <row r="3529" spans="7:7">
      <c r="G3529" s="440" t="s">
        <v>639</v>
      </c>
    </row>
    <row r="3530" spans="7:7">
      <c r="G3530" s="440" t="s">
        <v>633</v>
      </c>
    </row>
    <row r="3531" spans="7:7">
      <c r="G3531" s="440" t="s">
        <v>637</v>
      </c>
    </row>
    <row r="3532" spans="7:7">
      <c r="G3532" s="440" t="s">
        <v>637</v>
      </c>
    </row>
    <row r="3533" spans="7:7">
      <c r="G3533" s="440" t="s">
        <v>637</v>
      </c>
    </row>
    <row r="3534" spans="7:7">
      <c r="G3534" s="440" t="s">
        <v>633</v>
      </c>
    </row>
    <row r="3535" spans="7:7">
      <c r="G3535" s="440" t="s">
        <v>637</v>
      </c>
    </row>
    <row r="3536" spans="7:7">
      <c r="G3536" s="440" t="s">
        <v>637</v>
      </c>
    </row>
    <row r="3537" spans="7:7">
      <c r="G3537" s="440" t="s">
        <v>637</v>
      </c>
    </row>
    <row r="3538" spans="7:7">
      <c r="G3538" s="440" t="s">
        <v>637</v>
      </c>
    </row>
    <row r="3539" spans="7:7">
      <c r="G3539" s="440" t="s">
        <v>637</v>
      </c>
    </row>
    <row r="3540" spans="7:7">
      <c r="G3540" s="440" t="s">
        <v>637</v>
      </c>
    </row>
    <row r="3541" spans="7:7">
      <c r="G3541" s="440" t="s">
        <v>633</v>
      </c>
    </row>
    <row r="3542" spans="7:7">
      <c r="G3542" s="440" t="s">
        <v>637</v>
      </c>
    </row>
    <row r="3543" spans="7:7">
      <c r="G3543" s="440" t="s">
        <v>637</v>
      </c>
    </row>
    <row r="3544" spans="7:7">
      <c r="G3544" s="440" t="s">
        <v>633</v>
      </c>
    </row>
    <row r="3545" spans="7:7">
      <c r="G3545" s="440" t="s">
        <v>637</v>
      </c>
    </row>
    <row r="3546" spans="7:7">
      <c r="G3546" s="440" t="s">
        <v>637</v>
      </c>
    </row>
    <row r="3547" spans="7:7">
      <c r="G3547" s="440" t="s">
        <v>637</v>
      </c>
    </row>
    <row r="3548" spans="7:7">
      <c r="G3548" s="440" t="s">
        <v>637</v>
      </c>
    </row>
    <row r="3549" spans="7:7">
      <c r="G3549" s="440" t="s">
        <v>637</v>
      </c>
    </row>
    <row r="3550" spans="7:7">
      <c r="G3550" s="440" t="s">
        <v>637</v>
      </c>
    </row>
    <row r="3551" spans="7:7">
      <c r="G3551" s="440" t="s">
        <v>633</v>
      </c>
    </row>
    <row r="3552" spans="7:7">
      <c r="G3552" s="440" t="s">
        <v>637</v>
      </c>
    </row>
    <row r="3553" spans="7:7">
      <c r="G3553" s="440" t="s">
        <v>637</v>
      </c>
    </row>
    <row r="3554" spans="7:7">
      <c r="G3554" s="440" t="s">
        <v>637</v>
      </c>
    </row>
    <row r="3555" spans="7:7">
      <c r="G3555" s="440" t="s">
        <v>637</v>
      </c>
    </row>
    <row r="3556" spans="7:7">
      <c r="G3556" s="440" t="s">
        <v>633</v>
      </c>
    </row>
    <row r="3557" spans="7:7">
      <c r="G3557" s="440" t="s">
        <v>637</v>
      </c>
    </row>
    <row r="3558" spans="7:7">
      <c r="G3558" s="440" t="s">
        <v>637</v>
      </c>
    </row>
    <row r="3559" spans="7:7">
      <c r="G3559" s="440" t="s">
        <v>637</v>
      </c>
    </row>
    <row r="3560" spans="7:7">
      <c r="G3560" s="440" t="s">
        <v>637</v>
      </c>
    </row>
    <row r="3561" spans="7:7">
      <c r="G3561" s="440" t="s">
        <v>633</v>
      </c>
    </row>
    <row r="3562" spans="7:7">
      <c r="G3562" s="440" t="s">
        <v>637</v>
      </c>
    </row>
    <row r="3563" spans="7:7">
      <c r="G3563" s="440" t="s">
        <v>637</v>
      </c>
    </row>
    <row r="3564" spans="7:7">
      <c r="G3564" s="440" t="s">
        <v>633</v>
      </c>
    </row>
    <row r="3565" spans="7:7">
      <c r="G3565" s="440" t="s">
        <v>637</v>
      </c>
    </row>
    <row r="3566" spans="7:7">
      <c r="G3566" s="440" t="s">
        <v>637</v>
      </c>
    </row>
    <row r="3567" spans="7:7">
      <c r="G3567" s="440" t="s">
        <v>637</v>
      </c>
    </row>
    <row r="3568" spans="7:7">
      <c r="G3568" s="440" t="s">
        <v>637</v>
      </c>
    </row>
    <row r="3569" spans="7:7">
      <c r="G3569" s="440" t="s">
        <v>633</v>
      </c>
    </row>
    <row r="3570" spans="7:7">
      <c r="G3570" s="440" t="s">
        <v>637</v>
      </c>
    </row>
    <row r="3571" spans="7:7">
      <c r="G3571" s="440" t="s">
        <v>637</v>
      </c>
    </row>
    <row r="3572" spans="7:7">
      <c r="G3572" s="440" t="s">
        <v>637</v>
      </c>
    </row>
    <row r="3573" spans="7:7">
      <c r="G3573" s="440" t="s">
        <v>637</v>
      </c>
    </row>
    <row r="3574" spans="7:7">
      <c r="G3574" s="440" t="s">
        <v>637</v>
      </c>
    </row>
    <row r="3575" spans="7:7">
      <c r="G3575" s="440" t="s">
        <v>637</v>
      </c>
    </row>
    <row r="3576" spans="7:7">
      <c r="G3576" s="440" t="s">
        <v>637</v>
      </c>
    </row>
    <row r="3577" spans="7:7">
      <c r="G3577" s="440" t="s">
        <v>633</v>
      </c>
    </row>
    <row r="3578" spans="7:7">
      <c r="G3578" s="440" t="s">
        <v>637</v>
      </c>
    </row>
    <row r="3579" spans="7:7">
      <c r="G3579" s="440" t="s">
        <v>637</v>
      </c>
    </row>
    <row r="3580" spans="7:7">
      <c r="G3580" s="440" t="s">
        <v>637</v>
      </c>
    </row>
    <row r="3581" spans="7:7">
      <c r="G3581" s="440" t="s">
        <v>637</v>
      </c>
    </row>
    <row r="3582" spans="7:7">
      <c r="G3582" s="440" t="s">
        <v>637</v>
      </c>
    </row>
    <row r="3583" spans="7:7">
      <c r="G3583" s="440" t="s">
        <v>637</v>
      </c>
    </row>
    <row r="3584" spans="7:7">
      <c r="G3584" s="440" t="s">
        <v>637</v>
      </c>
    </row>
    <row r="3585" spans="7:7">
      <c r="G3585" s="440" t="s">
        <v>637</v>
      </c>
    </row>
    <row r="3586" spans="7:7">
      <c r="G3586" s="440" t="s">
        <v>637</v>
      </c>
    </row>
    <row r="3587" spans="7:7">
      <c r="G3587" s="440" t="s">
        <v>637</v>
      </c>
    </row>
    <row r="3588" spans="7:7">
      <c r="G3588" s="440" t="s">
        <v>633</v>
      </c>
    </row>
    <row r="3589" spans="7:7">
      <c r="G3589" s="440" t="s">
        <v>637</v>
      </c>
    </row>
    <row r="3590" spans="7:7">
      <c r="G3590" s="440" t="s">
        <v>640</v>
      </c>
    </row>
    <row r="3591" spans="7:7">
      <c r="G3591" s="440" t="s">
        <v>637</v>
      </c>
    </row>
    <row r="3592" spans="7:7">
      <c r="G3592" s="440" t="s">
        <v>633</v>
      </c>
    </row>
    <row r="3593" spans="7:7">
      <c r="G3593" s="440" t="s">
        <v>633</v>
      </c>
    </row>
    <row r="3594" spans="7:7">
      <c r="G3594" s="440" t="s">
        <v>633</v>
      </c>
    </row>
    <row r="3595" spans="7:7">
      <c r="G3595" s="440" t="s">
        <v>633</v>
      </c>
    </row>
    <row r="3596" spans="7:7">
      <c r="G3596" s="440" t="s">
        <v>633</v>
      </c>
    </row>
    <row r="3597" spans="7:7">
      <c r="G3597" s="440" t="s">
        <v>633</v>
      </c>
    </row>
    <row r="3598" spans="7:7">
      <c r="G3598" s="440" t="s">
        <v>633</v>
      </c>
    </row>
    <row r="3599" spans="7:7">
      <c r="G3599" s="440" t="s">
        <v>633</v>
      </c>
    </row>
    <row r="3600" spans="7:7">
      <c r="G3600" s="440" t="s">
        <v>633</v>
      </c>
    </row>
    <row r="3601" spans="7:7">
      <c r="G3601" s="440" t="s">
        <v>633</v>
      </c>
    </row>
    <row r="3602" spans="7:7">
      <c r="G3602" s="440" t="s">
        <v>633</v>
      </c>
    </row>
    <row r="3603" spans="7:7">
      <c r="G3603" s="440" t="s">
        <v>633</v>
      </c>
    </row>
    <row r="3604" spans="7:7">
      <c r="G3604" s="440" t="s">
        <v>633</v>
      </c>
    </row>
    <row r="3605" spans="7:7">
      <c r="G3605" s="440" t="s">
        <v>633</v>
      </c>
    </row>
    <row r="3606" spans="7:7">
      <c r="G3606" s="440" t="s">
        <v>633</v>
      </c>
    </row>
    <row r="3607" spans="7:7">
      <c r="G3607" s="440" t="s">
        <v>633</v>
      </c>
    </row>
    <row r="3608" spans="7:7">
      <c r="G3608" s="440" t="s">
        <v>633</v>
      </c>
    </row>
    <row r="3609" spans="7:7">
      <c r="G3609" s="440" t="s">
        <v>633</v>
      </c>
    </row>
    <row r="3610" spans="7:7">
      <c r="G3610" s="440" t="s">
        <v>633</v>
      </c>
    </row>
    <row r="3611" spans="7:7">
      <c r="G3611" s="440" t="s">
        <v>633</v>
      </c>
    </row>
    <row r="3612" spans="7:7">
      <c r="G3612" s="440" t="s">
        <v>633</v>
      </c>
    </row>
    <row r="3613" spans="7:7">
      <c r="G3613" s="440" t="s">
        <v>633</v>
      </c>
    </row>
    <row r="3614" spans="7:7">
      <c r="G3614" s="440" t="s">
        <v>633</v>
      </c>
    </row>
    <row r="3615" spans="7:7">
      <c r="G3615" s="440" t="s">
        <v>633</v>
      </c>
    </row>
    <row r="3616" spans="7:7">
      <c r="G3616" s="440" t="s">
        <v>633</v>
      </c>
    </row>
    <row r="3617" spans="7:7">
      <c r="G3617" s="440" t="s">
        <v>633</v>
      </c>
    </row>
    <row r="3618" spans="7:7">
      <c r="G3618" s="440" t="s">
        <v>633</v>
      </c>
    </row>
    <row r="3619" spans="7:7">
      <c r="G3619" s="440" t="s">
        <v>633</v>
      </c>
    </row>
    <row r="3620" spans="7:7">
      <c r="G3620" s="440" t="s">
        <v>633</v>
      </c>
    </row>
    <row r="3621" spans="7:7">
      <c r="G3621" s="440" t="s">
        <v>633</v>
      </c>
    </row>
    <row r="3622" spans="7:7">
      <c r="G3622" s="440" t="s">
        <v>633</v>
      </c>
    </row>
    <row r="3623" spans="7:7">
      <c r="G3623" s="440" t="s">
        <v>633</v>
      </c>
    </row>
    <row r="3624" spans="7:7">
      <c r="G3624" s="440" t="s">
        <v>633</v>
      </c>
    </row>
    <row r="3625" spans="7:7">
      <c r="G3625" s="440" t="s">
        <v>633</v>
      </c>
    </row>
    <row r="3626" spans="7:7">
      <c r="G3626" s="440" t="s">
        <v>633</v>
      </c>
    </row>
    <row r="3627" spans="7:7">
      <c r="G3627" s="440" t="s">
        <v>633</v>
      </c>
    </row>
    <row r="3628" spans="7:7">
      <c r="G3628" s="440" t="s">
        <v>633</v>
      </c>
    </row>
    <row r="3629" spans="7:7">
      <c r="G3629" s="440" t="s">
        <v>633</v>
      </c>
    </row>
    <row r="3630" spans="7:7">
      <c r="G3630" s="440" t="s">
        <v>633</v>
      </c>
    </row>
    <row r="3631" spans="7:7">
      <c r="G3631" s="440" t="s">
        <v>633</v>
      </c>
    </row>
    <row r="3632" spans="7:7">
      <c r="G3632" s="440" t="s">
        <v>633</v>
      </c>
    </row>
    <row r="3633" spans="7:7">
      <c r="G3633" s="440" t="s">
        <v>633</v>
      </c>
    </row>
    <row r="3634" spans="7:7">
      <c r="G3634" s="440" t="s">
        <v>633</v>
      </c>
    </row>
    <row r="3635" spans="7:7">
      <c r="G3635" s="440" t="s">
        <v>633</v>
      </c>
    </row>
    <row r="3636" spans="7:7">
      <c r="G3636" s="440" t="s">
        <v>633</v>
      </c>
    </row>
    <row r="3637" spans="7:7">
      <c r="G3637" s="440" t="s">
        <v>633</v>
      </c>
    </row>
    <row r="3638" spans="7:7">
      <c r="G3638" s="440" t="s">
        <v>633</v>
      </c>
    </row>
    <row r="3639" spans="7:7">
      <c r="G3639" s="440" t="s">
        <v>633</v>
      </c>
    </row>
    <row r="3640" spans="7:7">
      <c r="G3640" s="440" t="s">
        <v>633</v>
      </c>
    </row>
    <row r="3641" spans="7:7">
      <c r="G3641" s="440" t="s">
        <v>633</v>
      </c>
    </row>
    <row r="3642" spans="7:7">
      <c r="G3642" s="440" t="s">
        <v>633</v>
      </c>
    </row>
    <row r="3643" spans="7:7">
      <c r="G3643" s="440" t="s">
        <v>633</v>
      </c>
    </row>
    <row r="3644" spans="7:7">
      <c r="G3644" s="440" t="s">
        <v>633</v>
      </c>
    </row>
    <row r="3645" spans="7:7">
      <c r="G3645" s="440" t="s">
        <v>633</v>
      </c>
    </row>
    <row r="3646" spans="7:7">
      <c r="G3646" s="440" t="s">
        <v>633</v>
      </c>
    </row>
    <row r="3647" spans="7:7">
      <c r="G3647" s="440" t="s">
        <v>633</v>
      </c>
    </row>
    <row r="3648" spans="7:7">
      <c r="G3648" s="440" t="s">
        <v>633</v>
      </c>
    </row>
    <row r="3649" spans="7:7">
      <c r="G3649" s="440" t="s">
        <v>633</v>
      </c>
    </row>
    <row r="3650" spans="7:7">
      <c r="G3650" s="440" t="s">
        <v>633</v>
      </c>
    </row>
    <row r="3651" spans="7:7">
      <c r="G3651" s="440" t="s">
        <v>633</v>
      </c>
    </row>
    <row r="3652" spans="7:7">
      <c r="G3652" s="440" t="s">
        <v>633</v>
      </c>
    </row>
    <row r="3653" spans="7:7">
      <c r="G3653" s="440" t="s">
        <v>633</v>
      </c>
    </row>
    <row r="3654" spans="7:7">
      <c r="G3654" s="440" t="s">
        <v>633</v>
      </c>
    </row>
    <row r="3655" spans="7:7">
      <c r="G3655" s="440" t="s">
        <v>633</v>
      </c>
    </row>
    <row r="3656" spans="7:7">
      <c r="G3656" s="440" t="s">
        <v>633</v>
      </c>
    </row>
    <row r="3657" spans="7:7">
      <c r="G3657" s="440" t="s">
        <v>633</v>
      </c>
    </row>
    <row r="3658" spans="7:7">
      <c r="G3658" s="440" t="s">
        <v>633</v>
      </c>
    </row>
    <row r="3659" spans="7:7">
      <c r="G3659" s="440" t="s">
        <v>633</v>
      </c>
    </row>
    <row r="3660" spans="7:7">
      <c r="G3660" s="440" t="s">
        <v>633</v>
      </c>
    </row>
    <row r="3661" spans="7:7">
      <c r="G3661" s="440" t="s">
        <v>633</v>
      </c>
    </row>
    <row r="3662" spans="7:7">
      <c r="G3662" s="440" t="s">
        <v>633</v>
      </c>
    </row>
    <row r="3663" spans="7:7">
      <c r="G3663" s="440" t="s">
        <v>633</v>
      </c>
    </row>
    <row r="3664" spans="7:7">
      <c r="G3664" s="440" t="s">
        <v>633</v>
      </c>
    </row>
    <row r="3665" spans="7:7">
      <c r="G3665" s="440" t="s">
        <v>633</v>
      </c>
    </row>
    <row r="3666" spans="7:7">
      <c r="G3666" s="440" t="s">
        <v>633</v>
      </c>
    </row>
    <row r="3667" spans="7:7">
      <c r="G3667" s="440" t="s">
        <v>633</v>
      </c>
    </row>
    <row r="3668" spans="7:7">
      <c r="G3668" s="440" t="s">
        <v>633</v>
      </c>
    </row>
    <row r="3669" spans="7:7">
      <c r="G3669" s="440" t="s">
        <v>633</v>
      </c>
    </row>
    <row r="3670" spans="7:7">
      <c r="G3670" s="440" t="s">
        <v>633</v>
      </c>
    </row>
    <row r="3671" spans="7:7">
      <c r="G3671" s="440" t="s">
        <v>633</v>
      </c>
    </row>
    <row r="3672" spans="7:7">
      <c r="G3672" s="440" t="s">
        <v>633</v>
      </c>
    </row>
    <row r="3673" spans="7:7">
      <c r="G3673" s="440" t="s">
        <v>633</v>
      </c>
    </row>
    <row r="3674" spans="7:7">
      <c r="G3674" s="440" t="s">
        <v>633</v>
      </c>
    </row>
    <row r="3675" spans="7:7">
      <c r="G3675" s="440" t="s">
        <v>633</v>
      </c>
    </row>
    <row r="3676" spans="7:7">
      <c r="G3676" s="440" t="s">
        <v>633</v>
      </c>
    </row>
    <row r="3677" spans="7:7">
      <c r="G3677" s="440" t="s">
        <v>633</v>
      </c>
    </row>
    <row r="3678" spans="7:7">
      <c r="G3678" s="440" t="s">
        <v>633</v>
      </c>
    </row>
    <row r="3679" spans="7:7">
      <c r="G3679" s="440" t="s">
        <v>633</v>
      </c>
    </row>
    <row r="3680" spans="7:7">
      <c r="G3680" s="440" t="s">
        <v>633</v>
      </c>
    </row>
    <row r="3681" spans="7:7">
      <c r="G3681" s="440" t="s">
        <v>633</v>
      </c>
    </row>
    <row r="3682" spans="7:7">
      <c r="G3682" s="440" t="s">
        <v>633</v>
      </c>
    </row>
    <row r="3683" spans="7:7">
      <c r="G3683" s="440" t="s">
        <v>633</v>
      </c>
    </row>
    <row r="3684" spans="7:7">
      <c r="G3684" s="440" t="s">
        <v>633</v>
      </c>
    </row>
    <row r="3685" spans="7:7">
      <c r="G3685" s="440" t="s">
        <v>633</v>
      </c>
    </row>
    <row r="3686" spans="7:7">
      <c r="G3686" s="440" t="s">
        <v>633</v>
      </c>
    </row>
    <row r="3687" spans="7:7">
      <c r="G3687" s="440" t="s">
        <v>633</v>
      </c>
    </row>
    <row r="3688" spans="7:7">
      <c r="G3688" s="440" t="s">
        <v>633</v>
      </c>
    </row>
    <row r="3689" spans="7:7">
      <c r="G3689" s="440" t="s">
        <v>633</v>
      </c>
    </row>
    <row r="3690" spans="7:7">
      <c r="G3690" s="440" t="s">
        <v>633</v>
      </c>
    </row>
    <row r="3691" spans="7:7">
      <c r="G3691" s="440" t="s">
        <v>633</v>
      </c>
    </row>
    <row r="3692" spans="7:7">
      <c r="G3692" s="440" t="s">
        <v>633</v>
      </c>
    </row>
    <row r="3693" spans="7:7">
      <c r="G3693" s="440" t="s">
        <v>633</v>
      </c>
    </row>
    <row r="3694" spans="7:7">
      <c r="G3694" s="440" t="s">
        <v>633</v>
      </c>
    </row>
    <row r="3695" spans="7:7">
      <c r="G3695" s="440" t="s">
        <v>633</v>
      </c>
    </row>
    <row r="3696" spans="7:7">
      <c r="G3696" s="440" t="s">
        <v>633</v>
      </c>
    </row>
    <row r="3697" spans="7:7">
      <c r="G3697" s="440" t="s">
        <v>633</v>
      </c>
    </row>
    <row r="3698" spans="7:7">
      <c r="G3698" s="440" t="s">
        <v>633</v>
      </c>
    </row>
    <row r="3699" spans="7:7">
      <c r="G3699" s="440" t="s">
        <v>633</v>
      </c>
    </row>
    <row r="3700" spans="7:7">
      <c r="G3700" s="440"/>
    </row>
    <row r="3701" spans="7:7">
      <c r="G3701" s="440"/>
    </row>
    <row r="3702" spans="7:7">
      <c r="G3702" s="440"/>
    </row>
    <row r="3703" spans="7:7">
      <c r="G3703" s="440"/>
    </row>
    <row r="3704" spans="7:7">
      <c r="G3704" s="440"/>
    </row>
    <row r="3705" spans="7:7">
      <c r="G3705" s="440"/>
    </row>
    <row r="3706" spans="7:7">
      <c r="G3706" s="440"/>
    </row>
    <row r="3707" spans="7:7">
      <c r="G3707" s="440"/>
    </row>
    <row r="3708" spans="7:7">
      <c r="G3708" s="440"/>
    </row>
    <row r="3709" spans="7:7">
      <c r="G3709" s="440"/>
    </row>
    <row r="3710" spans="7:7">
      <c r="G3710" s="440"/>
    </row>
    <row r="3711" spans="7:7">
      <c r="G3711" s="440"/>
    </row>
    <row r="3712" spans="7:7">
      <c r="G3712" s="440"/>
    </row>
    <row r="3713" spans="7:7">
      <c r="G3713" s="440"/>
    </row>
    <row r="3714" spans="7:7">
      <c r="G3714" s="440"/>
    </row>
    <row r="3715" spans="7:7">
      <c r="G3715" s="440"/>
    </row>
    <row r="3716" spans="7:7">
      <c r="G3716" s="440"/>
    </row>
    <row r="3717" spans="7:7">
      <c r="G3717" s="440"/>
    </row>
    <row r="3718" spans="7:7">
      <c r="G3718" s="440"/>
    </row>
    <row r="3719" spans="7:7">
      <c r="G3719" s="440"/>
    </row>
    <row r="3720" spans="7:7">
      <c r="G3720" s="440"/>
    </row>
    <row r="3721" spans="7:7">
      <c r="G3721" s="440"/>
    </row>
    <row r="3722" spans="7:7">
      <c r="G3722" s="440"/>
    </row>
    <row r="3723" spans="7:7">
      <c r="G3723" s="440"/>
    </row>
    <row r="3724" spans="7:7">
      <c r="G3724" s="440"/>
    </row>
    <row r="3725" spans="7:7">
      <c r="G3725" s="440"/>
    </row>
    <row r="3726" spans="7:7">
      <c r="G3726" s="440"/>
    </row>
    <row r="3727" spans="7:7">
      <c r="G3727" s="440"/>
    </row>
    <row r="3728" spans="7:7">
      <c r="G3728" s="440"/>
    </row>
    <row r="3729" spans="7:7">
      <c r="G3729" s="440"/>
    </row>
    <row r="3730" spans="7:7">
      <c r="G3730" s="440"/>
    </row>
    <row r="3731" spans="7:7">
      <c r="G3731" s="440"/>
    </row>
    <row r="3732" spans="7:7">
      <c r="G3732" s="440"/>
    </row>
    <row r="3733" spans="7:7">
      <c r="G3733" s="440"/>
    </row>
    <row r="3734" spans="7:7">
      <c r="G3734" s="440"/>
    </row>
    <row r="3735" spans="7:7">
      <c r="G3735" s="440"/>
    </row>
    <row r="3736" spans="7:7">
      <c r="G3736" s="440"/>
    </row>
    <row r="3737" spans="7:7">
      <c r="G3737" s="440"/>
    </row>
    <row r="3738" spans="7:7">
      <c r="G3738" s="440"/>
    </row>
    <row r="3739" spans="7:7">
      <c r="G3739" s="440"/>
    </row>
    <row r="3740" spans="7:7">
      <c r="G3740" s="440"/>
    </row>
    <row r="3741" spans="7:7">
      <c r="G3741" s="440"/>
    </row>
    <row r="3742" spans="7:7">
      <c r="G3742" s="440"/>
    </row>
    <row r="3743" spans="7:7">
      <c r="G3743" s="440"/>
    </row>
    <row r="3744" spans="7:7">
      <c r="G3744" s="440"/>
    </row>
    <row r="3745" spans="7:7">
      <c r="G3745" s="440"/>
    </row>
    <row r="3746" spans="7:7">
      <c r="G3746" s="440"/>
    </row>
    <row r="3747" spans="7:7">
      <c r="G3747" s="440"/>
    </row>
    <row r="3748" spans="7:7">
      <c r="G3748" s="440"/>
    </row>
    <row r="3749" spans="7:7">
      <c r="G3749" s="440"/>
    </row>
    <row r="3750" spans="7:7">
      <c r="G3750" s="440"/>
    </row>
    <row r="3751" spans="7:7">
      <c r="G3751" s="440"/>
    </row>
    <row r="3752" spans="7:7">
      <c r="G3752" s="440"/>
    </row>
    <row r="3753" spans="7:7">
      <c r="G3753" s="440"/>
    </row>
    <row r="3754" spans="7:7">
      <c r="G3754" s="440"/>
    </row>
    <row r="3755" spans="7:7">
      <c r="G3755" s="440"/>
    </row>
    <row r="3756" spans="7:7">
      <c r="G3756" s="440"/>
    </row>
    <row r="3757" spans="7:7">
      <c r="G3757" s="440"/>
    </row>
    <row r="3758" spans="7:7">
      <c r="G3758" s="440"/>
    </row>
    <row r="3759" spans="7:7">
      <c r="G3759" s="440"/>
    </row>
    <row r="3760" spans="7:7">
      <c r="G3760" s="440"/>
    </row>
    <row r="3761" spans="7:7">
      <c r="G3761" s="440"/>
    </row>
    <row r="3762" spans="7:7">
      <c r="G3762" s="440"/>
    </row>
    <row r="3763" spans="7:7">
      <c r="G3763" s="440"/>
    </row>
    <row r="3764" spans="7:7">
      <c r="G3764" s="440"/>
    </row>
    <row r="3765" spans="7:7">
      <c r="G3765" s="440"/>
    </row>
    <row r="3766" spans="7:7">
      <c r="G3766" s="440"/>
    </row>
    <row r="3767" spans="7:7">
      <c r="G3767" s="440"/>
    </row>
    <row r="3768" spans="7:7">
      <c r="G3768" s="440"/>
    </row>
    <row r="3769" spans="7:7">
      <c r="G3769" s="440"/>
    </row>
    <row r="3770" spans="7:7">
      <c r="G3770" s="440"/>
    </row>
    <row r="3771" spans="7:7">
      <c r="G3771" s="440"/>
    </row>
    <row r="3772" spans="7:7">
      <c r="G3772" s="440"/>
    </row>
    <row r="3773" spans="7:7">
      <c r="G3773" s="440"/>
    </row>
    <row r="3774" spans="7:7">
      <c r="G3774" s="440"/>
    </row>
    <row r="3775" spans="7:7">
      <c r="G3775" s="440"/>
    </row>
    <row r="3776" spans="7:7">
      <c r="G3776" s="440"/>
    </row>
    <row r="3777" spans="7:7">
      <c r="G3777" s="440"/>
    </row>
    <row r="3778" spans="7:7">
      <c r="G3778" s="440"/>
    </row>
    <row r="3779" spans="7:7">
      <c r="G3779" s="440"/>
    </row>
    <row r="3780" spans="7:7">
      <c r="G3780" s="440"/>
    </row>
    <row r="3781" spans="7:7">
      <c r="G3781" s="440"/>
    </row>
    <row r="3782" spans="7:7">
      <c r="G3782" s="440"/>
    </row>
    <row r="3783" spans="7:7">
      <c r="G3783" s="440"/>
    </row>
    <row r="3784" spans="7:7">
      <c r="G3784" s="440"/>
    </row>
    <row r="3785" spans="7:7">
      <c r="G3785" s="440"/>
    </row>
    <row r="3786" spans="7:7">
      <c r="G3786" s="440"/>
    </row>
    <row r="3787" spans="7:7">
      <c r="G3787" s="440"/>
    </row>
    <row r="3788" spans="7:7">
      <c r="G3788" s="440"/>
    </row>
    <row r="3789" spans="7:7">
      <c r="G3789" s="440"/>
    </row>
    <row r="3790" spans="7:7">
      <c r="G3790" s="440"/>
    </row>
    <row r="3791" spans="7:7">
      <c r="G3791" s="440"/>
    </row>
    <row r="3792" spans="7:7">
      <c r="G3792" s="440"/>
    </row>
    <row r="3793" spans="7:7">
      <c r="G3793" s="440"/>
    </row>
    <row r="3794" spans="7:7">
      <c r="G3794" s="440"/>
    </row>
    <row r="3795" spans="7:7">
      <c r="G3795" s="440"/>
    </row>
    <row r="3796" spans="7:7">
      <c r="G3796" s="440"/>
    </row>
    <row r="3797" spans="7:7">
      <c r="G3797" s="440"/>
    </row>
    <row r="3798" spans="7:7">
      <c r="G3798" s="440"/>
    </row>
    <row r="3799" spans="7:7">
      <c r="G3799" s="440"/>
    </row>
    <row r="3800" spans="7:7">
      <c r="G3800" s="440"/>
    </row>
    <row r="3801" spans="7:7">
      <c r="G3801" s="440"/>
    </row>
    <row r="3802" spans="7:7">
      <c r="G3802" s="440"/>
    </row>
    <row r="3803" spans="7:7">
      <c r="G3803" s="440"/>
    </row>
    <row r="3804" spans="7:7">
      <c r="G3804" s="440"/>
    </row>
    <row r="3805" spans="7:7">
      <c r="G3805" s="440"/>
    </row>
    <row r="3806" spans="7:7">
      <c r="G3806" s="440"/>
    </row>
    <row r="3807" spans="7:7">
      <c r="G3807" s="440"/>
    </row>
    <row r="3808" spans="7:7">
      <c r="G3808" s="440"/>
    </row>
    <row r="3809" spans="7:7">
      <c r="G3809" s="440"/>
    </row>
    <row r="3810" spans="7:7">
      <c r="G3810" s="440"/>
    </row>
    <row r="3811" spans="7:7">
      <c r="G3811" s="440"/>
    </row>
    <row r="3812" spans="7:7">
      <c r="G3812" s="440"/>
    </row>
    <row r="3813" spans="7:7">
      <c r="G3813" s="440"/>
    </row>
    <row r="3814" spans="7:7">
      <c r="G3814" s="440"/>
    </row>
    <row r="3815" spans="7:7">
      <c r="G3815" s="440"/>
    </row>
    <row r="3816" spans="7:7">
      <c r="G3816" s="440"/>
    </row>
    <row r="3817" spans="7:7">
      <c r="G3817" s="440"/>
    </row>
    <row r="3818" spans="7:7">
      <c r="G3818" s="440"/>
    </row>
    <row r="3819" spans="7:7">
      <c r="G3819" s="440"/>
    </row>
    <row r="3820" spans="7:7">
      <c r="G3820" s="440"/>
    </row>
    <row r="3821" spans="7:7">
      <c r="G3821" s="440"/>
    </row>
    <row r="3822" spans="7:7">
      <c r="G3822" s="440"/>
    </row>
    <row r="3823" spans="7:7">
      <c r="G3823" s="440"/>
    </row>
    <row r="3824" spans="7:7">
      <c r="G3824" s="440"/>
    </row>
    <row r="3825" spans="7:7">
      <c r="G3825" s="440"/>
    </row>
    <row r="3826" spans="7:7">
      <c r="G3826" s="440"/>
    </row>
    <row r="3827" spans="7:7">
      <c r="G3827" s="440"/>
    </row>
    <row r="3828" spans="7:7">
      <c r="G3828" s="440"/>
    </row>
    <row r="3829" spans="7:7">
      <c r="G3829" s="440"/>
    </row>
    <row r="3830" spans="7:7">
      <c r="G3830" s="440"/>
    </row>
    <row r="3831" spans="7:7">
      <c r="G3831" s="440"/>
    </row>
    <row r="3832" spans="7:7">
      <c r="G3832" s="440"/>
    </row>
    <row r="3833" spans="7:7">
      <c r="G3833" s="440"/>
    </row>
    <row r="3834" spans="7:7">
      <c r="G3834" s="440"/>
    </row>
    <row r="3835" spans="7:7">
      <c r="G3835" s="440"/>
    </row>
    <row r="3836" spans="7:7">
      <c r="G3836" s="440"/>
    </row>
    <row r="3837" spans="7:7">
      <c r="G3837" s="440"/>
    </row>
    <row r="3838" spans="7:7">
      <c r="G3838" s="440"/>
    </row>
    <row r="3839" spans="7:7">
      <c r="G3839" s="440"/>
    </row>
    <row r="3840" spans="7:7">
      <c r="G3840" s="440"/>
    </row>
    <row r="3841" spans="7:7">
      <c r="G3841" s="440"/>
    </row>
    <row r="3842" spans="7:7">
      <c r="G3842" s="440"/>
    </row>
    <row r="3843" spans="7:7">
      <c r="G3843" s="440"/>
    </row>
    <row r="3844" spans="7:7">
      <c r="G3844" s="440"/>
    </row>
    <row r="3845" spans="7:7">
      <c r="G3845" s="440"/>
    </row>
    <row r="3846" spans="7:7">
      <c r="G3846" s="440"/>
    </row>
    <row r="3847" spans="7:7">
      <c r="G3847" s="440"/>
    </row>
    <row r="3848" spans="7:7">
      <c r="G3848" s="440"/>
    </row>
    <row r="3849" spans="7:7">
      <c r="G3849" s="440"/>
    </row>
    <row r="3850" spans="7:7">
      <c r="G3850" s="440"/>
    </row>
    <row r="3851" spans="7:7">
      <c r="G3851" s="440"/>
    </row>
    <row r="3852" spans="7:7">
      <c r="G3852" s="440"/>
    </row>
    <row r="3853" spans="7:7">
      <c r="G3853" s="440"/>
    </row>
    <row r="3854" spans="7:7">
      <c r="G3854" s="440"/>
    </row>
    <row r="3855" spans="7:7">
      <c r="G3855" s="440"/>
    </row>
    <row r="3856" spans="7:7">
      <c r="G3856" s="440"/>
    </row>
    <row r="3857" spans="7:7">
      <c r="G3857" s="440"/>
    </row>
    <row r="3858" spans="7:7">
      <c r="G3858" s="440"/>
    </row>
    <row r="3859" spans="7:7">
      <c r="G3859" s="440"/>
    </row>
    <row r="3860" spans="7:7">
      <c r="G3860" s="440"/>
    </row>
    <row r="3861" spans="7:7">
      <c r="G3861" s="440"/>
    </row>
    <row r="3862" spans="7:7">
      <c r="G3862" s="440"/>
    </row>
    <row r="3863" spans="7:7">
      <c r="G3863" s="440"/>
    </row>
  </sheetData>
  <mergeCells count="4">
    <mergeCell ref="A5:G5"/>
    <mergeCell ref="U8:AB11"/>
    <mergeCell ref="U12:AB13"/>
    <mergeCell ref="U14:AB17"/>
  </mergeCells>
  <phoneticPr fontId="30" type="noConversion"/>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V17"/>
  <sheetViews>
    <sheetView showGridLines="0" topLeftCell="D1" workbookViewId="0">
      <pane ySplit="7" topLeftCell="A8" activePane="bottomLeft" state="frozen"/>
      <selection pane="bottomLeft" activeCell="K12" sqref="K12"/>
    </sheetView>
  </sheetViews>
  <sheetFormatPr baseColWidth="10" defaultRowHeight="15"/>
  <cols>
    <col min="1" max="1" width="54.85546875" style="147" customWidth="1"/>
    <col min="2" max="2" width="54.28515625" style="147" bestFit="1" customWidth="1"/>
    <col min="3" max="12" width="14.7109375" style="150" customWidth="1"/>
    <col min="13" max="13" width="14.28515625" style="147" customWidth="1"/>
    <col min="14" max="14" width="11.42578125" style="147"/>
    <col min="15" max="15" width="9.5703125" style="147" customWidth="1"/>
    <col min="16" max="16" width="7.42578125" style="147" customWidth="1"/>
    <col min="17" max="17" width="11.42578125" style="147"/>
    <col min="18" max="18" width="5.7109375" style="147" customWidth="1"/>
    <col min="19" max="19" width="11.42578125" style="147"/>
    <col min="20" max="20" width="5.140625" style="147" customWidth="1"/>
    <col min="21" max="21" width="11.42578125" style="147" hidden="1" customWidth="1"/>
    <col min="22" max="16384" width="11.42578125" style="147"/>
  </cols>
  <sheetData>
    <row r="1" spans="1:22">
      <c r="D1" s="436" t="s">
        <v>436</v>
      </c>
    </row>
    <row r="2" spans="1:22">
      <c r="D2" s="199">
        <v>2025</v>
      </c>
      <c r="E2" s="199">
        <v>2026</v>
      </c>
      <c r="F2" s="199">
        <v>2027</v>
      </c>
      <c r="G2" s="199">
        <v>2028</v>
      </c>
      <c r="H2" s="199">
        <v>2029</v>
      </c>
      <c r="I2" s="199">
        <v>2030</v>
      </c>
      <c r="J2" s="199">
        <v>2031</v>
      </c>
      <c r="K2" s="199">
        <v>2032</v>
      </c>
      <c r="L2" s="199">
        <v>2033</v>
      </c>
    </row>
    <row r="3" spans="1:22">
      <c r="A3" s="449"/>
      <c r="B3" s="449"/>
      <c r="C3" s="449"/>
      <c r="D3" s="429">
        <f>+'IPC - CAFÉ'!E24</f>
        <v>0.06</v>
      </c>
      <c r="E3" s="429">
        <f>+'IPC - CAFÉ'!F24</f>
        <v>4.5975144331782153E-2</v>
      </c>
      <c r="F3" s="429">
        <f>+'IPC - CAFÉ'!G24</f>
        <v>4.7225144331782154E-2</v>
      </c>
      <c r="G3" s="429">
        <f>+'IPC - CAFÉ'!H24</f>
        <v>4.8475144331782155E-2</v>
      </c>
      <c r="H3" s="429">
        <f>+'IPC - CAFÉ'!I24</f>
        <v>4.9725144331782156E-2</v>
      </c>
      <c r="I3" s="429">
        <f>+'IPC - CAFÉ'!J24</f>
        <v>5.0975144331782157E-2</v>
      </c>
      <c r="J3" s="429">
        <f>+'IPC - CAFÉ'!K24</f>
        <v>5.2225144331782158E-2</v>
      </c>
      <c r="K3" s="429">
        <f>+'IPC - CAFÉ'!L24</f>
        <v>5.347514433178216E-2</v>
      </c>
      <c r="L3" s="429">
        <f>+'IPC - CAFÉ'!M24</f>
        <v>5.4725144331782161E-2</v>
      </c>
    </row>
    <row r="4" spans="1:22" ht="20.100000000000001" customHeight="1">
      <c r="A4" s="449"/>
      <c r="B4" s="449"/>
      <c r="C4" s="449"/>
      <c r="D4" s="449"/>
      <c r="E4" s="449"/>
      <c r="F4" s="449"/>
      <c r="G4" s="449"/>
      <c r="H4" s="449"/>
      <c r="I4" s="449"/>
      <c r="J4" s="449"/>
      <c r="K4" s="449"/>
      <c r="L4" s="449"/>
    </row>
    <row r="5" spans="1:22" ht="20.100000000000001" customHeight="1">
      <c r="A5" s="449"/>
      <c r="B5" s="449"/>
      <c r="C5" s="449"/>
      <c r="D5" s="449"/>
      <c r="E5" s="449"/>
      <c r="F5" s="449"/>
      <c r="G5" s="449"/>
      <c r="H5" s="449"/>
      <c r="I5" s="449"/>
      <c r="J5" s="449"/>
      <c r="K5" s="449"/>
      <c r="L5" s="449"/>
    </row>
    <row r="6" spans="1:22" ht="16.149999999999999" customHeight="1">
      <c r="C6" s="450" t="s">
        <v>652</v>
      </c>
    </row>
    <row r="7" spans="1:22">
      <c r="A7" s="290" t="s">
        <v>647</v>
      </c>
      <c r="B7" s="290" t="s">
        <v>505</v>
      </c>
      <c r="C7" s="451" t="s">
        <v>226</v>
      </c>
      <c r="D7" s="451" t="s">
        <v>227</v>
      </c>
      <c r="E7" s="451" t="s">
        <v>228</v>
      </c>
      <c r="F7" s="451" t="s">
        <v>229</v>
      </c>
      <c r="G7" s="451" t="s">
        <v>230</v>
      </c>
      <c r="H7" s="451" t="s">
        <v>231</v>
      </c>
      <c r="I7" s="451" t="s">
        <v>232</v>
      </c>
      <c r="J7" s="451" t="s">
        <v>233</v>
      </c>
      <c r="K7" s="451" t="s">
        <v>3010</v>
      </c>
      <c r="L7" s="451" t="s">
        <v>3011</v>
      </c>
      <c r="O7" s="376" t="s">
        <v>439</v>
      </c>
      <c r="P7" s="149"/>
      <c r="Q7" s="149"/>
      <c r="R7" s="149"/>
      <c r="S7" s="149"/>
      <c r="T7" s="149"/>
      <c r="U7" s="149"/>
      <c r="V7" s="149"/>
    </row>
    <row r="8" spans="1:22">
      <c r="A8" s="452" t="s">
        <v>648</v>
      </c>
      <c r="B8" s="452" t="s">
        <v>649</v>
      </c>
      <c r="C8" s="453">
        <v>9600000</v>
      </c>
      <c r="D8" s="453">
        <f>C8*(1+$D$3)</f>
        <v>10176000</v>
      </c>
      <c r="E8" s="453">
        <f>D8*(1+$E$3)</f>
        <v>10643843.068720216</v>
      </c>
      <c r="F8" s="453">
        <f>E8*(1+F3)</f>
        <v>11146500.093885368</v>
      </c>
      <c r="G8" s="453">
        <f t="shared" ref="G8:L8" si="0">F8*(1+G3)</f>
        <v>11686828.294730684</v>
      </c>
      <c r="H8" s="453">
        <f t="shared" si="0"/>
        <v>12267957.518466922</v>
      </c>
      <c r="I8" s="453">
        <f t="shared" si="0"/>
        <v>12893318.423626944</v>
      </c>
      <c r="J8" s="453">
        <f t="shared" si="0"/>
        <v>13566673.839216486</v>
      </c>
      <c r="K8" s="453">
        <f t="shared" si="0"/>
        <v>14292153.680870801</v>
      </c>
      <c r="L8" s="453">
        <f t="shared" si="0"/>
        <v>15074293.853868468</v>
      </c>
      <c r="O8" s="962" t="s">
        <v>653</v>
      </c>
      <c r="P8" s="963"/>
      <c r="Q8" s="963"/>
      <c r="R8" s="963"/>
      <c r="S8" s="963"/>
      <c r="T8" s="963"/>
      <c r="U8" s="963"/>
      <c r="V8" s="964"/>
    </row>
    <row r="9" spans="1:22" ht="30">
      <c r="A9" s="454" t="s">
        <v>650</v>
      </c>
      <c r="B9" s="454" t="s">
        <v>651</v>
      </c>
      <c r="C9" s="455">
        <v>4200000</v>
      </c>
      <c r="D9" s="455">
        <f>C9*(1+$D$3)</f>
        <v>4452000</v>
      </c>
      <c r="E9" s="455">
        <f>D9*(1+$E$3)</f>
        <v>4656681.3425650941</v>
      </c>
      <c r="F9" s="455">
        <f>E9*(1+F3)</f>
        <v>4876593.7910748478</v>
      </c>
      <c r="G9" s="455">
        <f t="shared" ref="G9:L9" si="1">F9*(1+G3)</f>
        <v>5112987.3789446736</v>
      </c>
      <c r="H9" s="455">
        <f t="shared" si="1"/>
        <v>5367231.4143292774</v>
      </c>
      <c r="I9" s="455">
        <f t="shared" si="1"/>
        <v>5640826.8103367873</v>
      </c>
      <c r="J9" s="455">
        <f t="shared" si="1"/>
        <v>5935419.8046572115</v>
      </c>
      <c r="K9" s="455">
        <f t="shared" si="1"/>
        <v>6252817.2353809746</v>
      </c>
      <c r="L9" s="455">
        <f t="shared" si="1"/>
        <v>6595003.5610674536</v>
      </c>
      <c r="M9" s="449"/>
      <c r="O9" s="965"/>
      <c r="P9" s="966"/>
      <c r="Q9" s="966"/>
      <c r="R9" s="966"/>
      <c r="S9" s="966"/>
      <c r="T9" s="966"/>
      <c r="U9" s="966"/>
      <c r="V9" s="967"/>
    </row>
    <row r="10" spans="1:22">
      <c r="A10" s="984" t="s">
        <v>396</v>
      </c>
      <c r="B10" s="984"/>
      <c r="C10" s="295">
        <f>SUM(C8:C9)</f>
        <v>13800000</v>
      </c>
      <c r="D10" s="295">
        <f t="shared" ref="D10:G10" si="2">SUM(D8:D9)</f>
        <v>14628000</v>
      </c>
      <c r="E10" s="295">
        <f t="shared" si="2"/>
        <v>15300524.411285311</v>
      </c>
      <c r="F10" s="295">
        <f t="shared" si="2"/>
        <v>16023093.884960216</v>
      </c>
      <c r="G10" s="295">
        <f t="shared" si="2"/>
        <v>16799815.673675358</v>
      </c>
      <c r="H10" s="295">
        <f t="shared" ref="H10:L10" si="3">SUM(H8:H9)</f>
        <v>17635188.932796199</v>
      </c>
      <c r="I10" s="295">
        <f t="shared" si="3"/>
        <v>18534145.233963732</v>
      </c>
      <c r="J10" s="295">
        <f t="shared" si="3"/>
        <v>19502093.643873699</v>
      </c>
      <c r="K10" s="295">
        <f t="shared" si="3"/>
        <v>20544970.916251775</v>
      </c>
      <c r="L10" s="295">
        <f t="shared" si="3"/>
        <v>21669297.41493592</v>
      </c>
      <c r="O10" s="965"/>
      <c r="P10" s="966"/>
      <c r="Q10" s="966"/>
      <c r="R10" s="966"/>
      <c r="S10" s="966"/>
      <c r="T10" s="966"/>
      <c r="U10" s="966"/>
      <c r="V10" s="967"/>
    </row>
    <row r="11" spans="1:22">
      <c r="O11" s="965"/>
      <c r="P11" s="966"/>
      <c r="Q11" s="966"/>
      <c r="R11" s="966"/>
      <c r="S11" s="966"/>
      <c r="T11" s="966"/>
      <c r="U11" s="966"/>
      <c r="V11" s="967"/>
    </row>
    <row r="12" spans="1:22">
      <c r="O12" s="965"/>
      <c r="P12" s="966"/>
      <c r="Q12" s="966"/>
      <c r="R12" s="966"/>
      <c r="S12" s="966"/>
      <c r="T12" s="966"/>
      <c r="U12" s="966"/>
      <c r="V12" s="967"/>
    </row>
    <row r="13" spans="1:22">
      <c r="O13" s="965"/>
      <c r="P13" s="966"/>
      <c r="Q13" s="966"/>
      <c r="R13" s="966"/>
      <c r="S13" s="966"/>
      <c r="T13" s="966"/>
      <c r="U13" s="966"/>
      <c r="V13" s="967"/>
    </row>
    <row r="14" spans="1:22">
      <c r="O14" s="965"/>
      <c r="P14" s="966"/>
      <c r="Q14" s="966"/>
      <c r="R14" s="966"/>
      <c r="S14" s="966"/>
      <c r="T14" s="966"/>
      <c r="U14" s="966"/>
      <c r="V14" s="967"/>
    </row>
    <row r="15" spans="1:22">
      <c r="O15" s="965"/>
      <c r="P15" s="966"/>
      <c r="Q15" s="966"/>
      <c r="R15" s="966"/>
      <c r="S15" s="966"/>
      <c r="T15" s="966"/>
      <c r="U15" s="966"/>
      <c r="V15" s="967"/>
    </row>
    <row r="16" spans="1:22">
      <c r="O16" s="965"/>
      <c r="P16" s="966"/>
      <c r="Q16" s="966"/>
      <c r="R16" s="966"/>
      <c r="S16" s="966"/>
      <c r="T16" s="966"/>
      <c r="U16" s="966"/>
      <c r="V16" s="967"/>
    </row>
    <row r="17" spans="15:22">
      <c r="O17" s="968"/>
      <c r="P17" s="969"/>
      <c r="Q17" s="969"/>
      <c r="R17" s="969"/>
      <c r="S17" s="969"/>
      <c r="T17" s="969"/>
      <c r="U17" s="969"/>
      <c r="V17" s="970"/>
    </row>
  </sheetData>
  <autoFilter ref="A7:G9" xr:uid="{00000000-0009-0000-0000-00001B000000}"/>
  <mergeCells count="4">
    <mergeCell ref="A10:B10"/>
    <mergeCell ref="O8:V11"/>
    <mergeCell ref="O12:V13"/>
    <mergeCell ref="O14:V17"/>
  </mergeCells>
  <phoneticPr fontId="30" type="noConversion"/>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heetPr>
  <dimension ref="A1:AA365"/>
  <sheetViews>
    <sheetView showGridLines="0" topLeftCell="K1" workbookViewId="0">
      <selection activeCell="S5" sqref="S5:X10"/>
    </sheetView>
  </sheetViews>
  <sheetFormatPr baseColWidth="10" defaultColWidth="12.140625" defaultRowHeight="15" outlineLevelRow="1"/>
  <cols>
    <col min="1" max="2" width="12.140625" style="147"/>
    <col min="3" max="3" width="13.85546875" style="147" customWidth="1"/>
    <col min="4" max="4" width="12.140625" style="147"/>
    <col min="5" max="5" width="15.85546875" style="147" customWidth="1"/>
    <col min="6" max="6" width="18.42578125" style="147" customWidth="1"/>
    <col min="7" max="7" width="18.28515625" style="147" customWidth="1"/>
    <col min="8" max="8" width="12.140625" style="147"/>
    <col min="9" max="9" width="8.5703125" style="147" customWidth="1"/>
    <col min="10" max="10" width="12.7109375" style="147" bestFit="1" customWidth="1"/>
    <col min="11" max="11" width="11.7109375" style="147" bestFit="1" customWidth="1"/>
    <col min="12" max="12" width="13.7109375" style="147" customWidth="1"/>
    <col min="13" max="13" width="12.42578125" style="147" customWidth="1"/>
    <col min="14" max="14" width="12.140625" style="147"/>
    <col min="15" max="19" width="11.5703125" style="147" bestFit="1" customWidth="1"/>
    <col min="20" max="24" width="11.5703125" style="147" customWidth="1"/>
    <col min="25" max="25" width="4.7109375" style="147" customWidth="1"/>
    <col min="26" max="26" width="6.28515625" style="147" customWidth="1"/>
    <col min="27" max="27" width="6.42578125" style="147" customWidth="1"/>
    <col min="28" max="16384" width="12.140625" style="147"/>
  </cols>
  <sheetData>
    <row r="1" spans="1:24" ht="18.75" customHeight="1" collapsed="1">
      <c r="A1" s="456"/>
      <c r="B1" s="456"/>
      <c r="C1" s="456"/>
      <c r="D1" s="456"/>
      <c r="E1" s="456"/>
      <c r="F1" s="456"/>
      <c r="G1" s="456"/>
      <c r="H1" s="456"/>
      <c r="I1" s="456"/>
      <c r="J1" s="456"/>
      <c r="K1" s="456"/>
      <c r="L1" s="456"/>
      <c r="M1" s="456"/>
    </row>
    <row r="2" spans="1:24" ht="30" customHeight="1" collapsed="1">
      <c r="A2" s="456"/>
      <c r="B2" s="456"/>
      <c r="C2" s="456"/>
      <c r="D2" s="456"/>
      <c r="E2" s="456"/>
      <c r="F2" s="456"/>
      <c r="G2" s="456"/>
      <c r="H2" s="456"/>
      <c r="I2" s="456"/>
      <c r="J2" s="456"/>
      <c r="K2" s="456"/>
      <c r="L2" s="456"/>
      <c r="M2" s="456"/>
    </row>
    <row r="3" spans="1:24" ht="18.75" customHeight="1" collapsed="1">
      <c r="A3" s="456"/>
      <c r="B3" s="456"/>
      <c r="C3" s="456"/>
      <c r="D3" s="456"/>
      <c r="E3" s="456"/>
      <c r="F3" s="456"/>
      <c r="G3" s="456"/>
      <c r="H3" s="456"/>
      <c r="I3" s="456"/>
      <c r="J3" s="456"/>
      <c r="K3" s="456"/>
      <c r="L3" s="456"/>
      <c r="M3" s="456"/>
      <c r="O3" s="436"/>
      <c r="P3" s="436"/>
      <c r="Q3" s="436"/>
      <c r="R3" s="436"/>
      <c r="S3" s="436"/>
      <c r="T3" s="436"/>
      <c r="U3" s="436"/>
      <c r="V3" s="436"/>
      <c r="W3" s="436"/>
      <c r="X3" s="436"/>
    </row>
    <row r="4" spans="1:24" ht="15" customHeight="1" collapsed="1">
      <c r="A4" s="456"/>
      <c r="B4" s="456"/>
      <c r="C4" s="456"/>
      <c r="D4" s="456"/>
      <c r="E4" s="456"/>
      <c r="F4" s="456"/>
      <c r="G4" s="456"/>
      <c r="H4" s="456"/>
      <c r="I4" s="456"/>
      <c r="J4" s="456"/>
      <c r="K4" s="456"/>
      <c r="L4" s="456"/>
      <c r="M4" s="456"/>
      <c r="O4" s="436" t="s">
        <v>436</v>
      </c>
      <c r="P4" s="436"/>
      <c r="Q4" s="436"/>
      <c r="R4" s="436"/>
      <c r="S4" s="436"/>
      <c r="T4" s="436"/>
      <c r="U4" s="436"/>
      <c r="V4" s="436"/>
      <c r="W4" s="436"/>
      <c r="X4" s="436"/>
    </row>
    <row r="5" spans="1:24" ht="18.75" customHeight="1" collapsed="1">
      <c r="A5" s="985" t="s">
        <v>654</v>
      </c>
      <c r="B5" s="986"/>
      <c r="C5" s="986"/>
      <c r="D5" s="986"/>
      <c r="E5" s="986"/>
      <c r="F5" s="986"/>
      <c r="G5" s="986"/>
      <c r="H5" s="986"/>
      <c r="I5" s="986"/>
      <c r="J5" s="986"/>
      <c r="K5" s="986"/>
      <c r="L5" s="986"/>
      <c r="M5" s="986"/>
      <c r="O5" s="294">
        <v>2024</v>
      </c>
      <c r="P5" s="294">
        <v>2025</v>
      </c>
      <c r="Q5" s="294">
        <v>2026</v>
      </c>
      <c r="R5" s="294">
        <v>2027</v>
      </c>
      <c r="S5" s="294">
        <v>2028</v>
      </c>
      <c r="T5" s="294">
        <v>2029</v>
      </c>
      <c r="U5" s="294">
        <v>2030</v>
      </c>
      <c r="V5" s="294">
        <v>2031</v>
      </c>
      <c r="W5" s="294">
        <v>2032</v>
      </c>
      <c r="X5" s="294">
        <v>2033</v>
      </c>
    </row>
    <row r="6" spans="1:24" ht="18.75" customHeight="1" collapsed="1">
      <c r="A6" s="457" t="s">
        <v>655</v>
      </c>
      <c r="B6" s="456"/>
      <c r="C6" s="456"/>
      <c r="D6" s="456"/>
      <c r="E6" s="456"/>
      <c r="F6" s="456"/>
      <c r="G6" s="456"/>
      <c r="H6" s="456"/>
      <c r="I6" s="456"/>
      <c r="J6" s="456"/>
      <c r="K6" s="456"/>
      <c r="L6" s="456"/>
      <c r="M6" s="456"/>
      <c r="O6" s="390">
        <v>0</v>
      </c>
      <c r="P6" s="390">
        <f>+'IPC - CAFÉ'!E24</f>
        <v>0.06</v>
      </c>
      <c r="Q6" s="390">
        <f>+'IPC - CAFÉ'!F24</f>
        <v>4.5975144331782153E-2</v>
      </c>
      <c r="R6" s="390">
        <f>+'IPC - CAFÉ'!G24</f>
        <v>4.7225144331782154E-2</v>
      </c>
      <c r="S6" s="390">
        <f>+'IPC - CAFÉ'!H24</f>
        <v>4.8475144331782155E-2</v>
      </c>
      <c r="T6" s="390">
        <f>+'IPC - CAFÉ'!I24</f>
        <v>4.9725144331782156E-2</v>
      </c>
      <c r="U6" s="390">
        <f>+'IPC - CAFÉ'!J24</f>
        <v>5.0975144331782157E-2</v>
      </c>
      <c r="V6" s="390">
        <f>+'IPC - CAFÉ'!K24</f>
        <v>5.2225144331782158E-2</v>
      </c>
      <c r="W6" s="390">
        <f>+'IPC - CAFÉ'!L24</f>
        <v>5.347514433178216E-2</v>
      </c>
      <c r="X6" s="390">
        <f>+'IPC - CAFÉ'!M24</f>
        <v>5.4725144331782161E-2</v>
      </c>
    </row>
    <row r="7" spans="1:24" ht="15" customHeight="1" collapsed="1">
      <c r="A7" s="458"/>
      <c r="B7" s="458"/>
      <c r="C7" s="458"/>
      <c r="D7" s="458"/>
      <c r="E7" s="458"/>
      <c r="F7" s="458"/>
      <c r="G7" s="458"/>
      <c r="H7" s="458"/>
      <c r="I7" s="458"/>
      <c r="J7" s="458"/>
      <c r="K7" s="458"/>
      <c r="L7" s="458"/>
      <c r="M7" s="458"/>
    </row>
    <row r="8" spans="1:24" ht="15" customHeight="1">
      <c r="A8" s="456"/>
      <c r="B8" s="456"/>
      <c r="C8" s="456"/>
      <c r="D8" s="456"/>
      <c r="E8" s="456"/>
      <c r="F8" s="456"/>
      <c r="G8" s="456"/>
      <c r="H8" s="456"/>
      <c r="I8" s="456"/>
      <c r="J8" s="456"/>
      <c r="K8" s="456"/>
      <c r="L8" s="456"/>
      <c r="M8" s="456"/>
      <c r="O8" s="467" t="s">
        <v>1241</v>
      </c>
    </row>
    <row r="9" spans="1:24" s="153" customFormat="1" ht="30" collapsed="1">
      <c r="A9" s="459" t="s">
        <v>656</v>
      </c>
      <c r="B9" s="459" t="s">
        <v>657</v>
      </c>
      <c r="C9" s="459" t="s">
        <v>658</v>
      </c>
      <c r="D9" s="459" t="s">
        <v>659</v>
      </c>
      <c r="E9" s="459" t="s">
        <v>515</v>
      </c>
      <c r="F9" s="459" t="s">
        <v>660</v>
      </c>
      <c r="G9" s="459" t="s">
        <v>138</v>
      </c>
      <c r="H9" s="459" t="s">
        <v>661</v>
      </c>
      <c r="I9" s="459" t="s">
        <v>662</v>
      </c>
      <c r="J9" s="459" t="s">
        <v>663</v>
      </c>
      <c r="K9" s="459" t="s">
        <v>664</v>
      </c>
      <c r="L9" s="459" t="s">
        <v>665</v>
      </c>
      <c r="M9" s="459" t="s">
        <v>666</v>
      </c>
      <c r="O9" s="460" t="s">
        <v>226</v>
      </c>
      <c r="P9" s="460" t="s">
        <v>227</v>
      </c>
      <c r="Q9" s="460" t="s">
        <v>228</v>
      </c>
      <c r="R9" s="460" t="s">
        <v>229</v>
      </c>
      <c r="S9" s="460" t="s">
        <v>230</v>
      </c>
      <c r="T9" s="460" t="s">
        <v>231</v>
      </c>
      <c r="U9" s="460" t="s">
        <v>232</v>
      </c>
      <c r="V9" s="460" t="s">
        <v>233</v>
      </c>
      <c r="W9" s="460" t="s">
        <v>3010</v>
      </c>
      <c r="X9" s="460" t="s">
        <v>3011</v>
      </c>
    </row>
    <row r="10" spans="1:24" collapsed="1">
      <c r="A10" s="461" t="s">
        <v>667</v>
      </c>
      <c r="B10" s="461"/>
      <c r="C10" s="461"/>
      <c r="D10" s="461"/>
      <c r="E10" s="461"/>
      <c r="F10" s="461"/>
      <c r="G10" s="461"/>
      <c r="H10" s="461"/>
      <c r="I10" s="462">
        <v>0</v>
      </c>
      <c r="J10" s="462">
        <v>13129733.57</v>
      </c>
      <c r="K10" s="462">
        <v>934595</v>
      </c>
      <c r="L10" s="461"/>
      <c r="M10" s="462">
        <v>12195138.57</v>
      </c>
      <c r="O10" s="380">
        <f>+J354</f>
        <v>37084403.370000012</v>
      </c>
      <c r="P10" s="380">
        <f>+O10*(1+O6)</f>
        <v>37084403.370000012</v>
      </c>
      <c r="Q10" s="380">
        <f t="shared" ref="Q10:S10" si="0">+P10*(1+P6)</f>
        <v>39309467.572200015</v>
      </c>
      <c r="R10" s="380">
        <f t="shared" si="0"/>
        <v>41116726.017437421</v>
      </c>
      <c r="S10" s="380">
        <f t="shared" si="0"/>
        <v>43058469.338061243</v>
      </c>
      <c r="T10" s="380">
        <f t="shared" ref="T10" si="1">+S10*(1+S6)</f>
        <v>45145734.853929378</v>
      </c>
      <c r="U10" s="380">
        <f t="shared" ref="U10" si="2">+T10*(1+T6)</f>
        <v>47390613.035505384</v>
      </c>
      <c r="V10" s="380">
        <f t="shared" ref="V10" si="3">+U10*(1+U6)</f>
        <v>49806356.374961905</v>
      </c>
      <c r="W10" s="380">
        <f t="shared" ref="W10" si="4">+V10*(1+V6)</f>
        <v>52407500.525284462</v>
      </c>
      <c r="X10" s="380">
        <f t="shared" ref="X10" si="5">+W10*(1+W6)</f>
        <v>55209999.179942004</v>
      </c>
    </row>
    <row r="11" spans="1:24" hidden="1" outlineLevel="1">
      <c r="A11" s="367" t="s">
        <v>668</v>
      </c>
      <c r="B11" s="367" t="s">
        <v>669</v>
      </c>
      <c r="C11" s="367" t="s">
        <v>670</v>
      </c>
      <c r="D11" s="463" t="s">
        <v>671</v>
      </c>
      <c r="E11" s="367" t="s">
        <v>672</v>
      </c>
      <c r="F11" s="367" t="s">
        <v>673</v>
      </c>
      <c r="G11" s="367" t="s">
        <v>674</v>
      </c>
      <c r="H11" s="367" t="s">
        <v>669</v>
      </c>
      <c r="I11" s="464"/>
      <c r="J11" s="464">
        <v>458595</v>
      </c>
      <c r="K11" s="464">
        <v>0</v>
      </c>
      <c r="L11" s="464">
        <v>458595</v>
      </c>
      <c r="M11" s="464"/>
    </row>
    <row r="12" spans="1:24" hidden="1" outlineLevel="1">
      <c r="A12" s="367" t="s">
        <v>668</v>
      </c>
      <c r="B12" s="367" t="s">
        <v>669</v>
      </c>
      <c r="C12" s="367" t="s">
        <v>675</v>
      </c>
      <c r="D12" s="463" t="s">
        <v>676</v>
      </c>
      <c r="E12" s="367" t="s">
        <v>677</v>
      </c>
      <c r="F12" s="367" t="s">
        <v>678</v>
      </c>
      <c r="G12" s="367" t="s">
        <v>679</v>
      </c>
      <c r="H12" s="367" t="s">
        <v>669</v>
      </c>
      <c r="I12" s="464"/>
      <c r="J12" s="464">
        <v>289100</v>
      </c>
      <c r="K12" s="464">
        <v>0</v>
      </c>
      <c r="L12" s="464">
        <v>747695</v>
      </c>
      <c r="M12" s="464"/>
    </row>
    <row r="13" spans="1:24" hidden="1" outlineLevel="1">
      <c r="A13" s="367" t="s">
        <v>668</v>
      </c>
      <c r="B13" s="367" t="s">
        <v>669</v>
      </c>
      <c r="C13" s="367" t="s">
        <v>680</v>
      </c>
      <c r="D13" s="463" t="s">
        <v>676</v>
      </c>
      <c r="E13" s="367" t="s">
        <v>672</v>
      </c>
      <c r="F13" s="367" t="s">
        <v>673</v>
      </c>
      <c r="G13" s="367" t="s">
        <v>674</v>
      </c>
      <c r="H13" s="367" t="s">
        <v>669</v>
      </c>
      <c r="I13" s="464"/>
      <c r="J13" s="464">
        <v>0</v>
      </c>
      <c r="K13" s="464">
        <v>458595</v>
      </c>
      <c r="L13" s="464">
        <v>289100</v>
      </c>
      <c r="M13" s="464"/>
    </row>
    <row r="14" spans="1:24" hidden="1" outlineLevel="1">
      <c r="A14" s="367" t="s">
        <v>668</v>
      </c>
      <c r="B14" s="367" t="s">
        <v>669</v>
      </c>
      <c r="C14" s="367" t="s">
        <v>675</v>
      </c>
      <c r="D14" s="463" t="s">
        <v>676</v>
      </c>
      <c r="E14" s="367" t="s">
        <v>677</v>
      </c>
      <c r="F14" s="367" t="s">
        <v>678</v>
      </c>
      <c r="G14" s="367" t="s">
        <v>669</v>
      </c>
      <c r="H14" s="367" t="s">
        <v>669</v>
      </c>
      <c r="I14" s="464"/>
      <c r="J14" s="464">
        <v>20000</v>
      </c>
      <c r="K14" s="464">
        <v>0</v>
      </c>
      <c r="L14" s="464">
        <v>309100</v>
      </c>
      <c r="M14" s="464"/>
    </row>
    <row r="15" spans="1:24" hidden="1" outlineLevel="1">
      <c r="A15" s="367" t="s">
        <v>668</v>
      </c>
      <c r="B15" s="367" t="s">
        <v>669</v>
      </c>
      <c r="C15" s="367" t="s">
        <v>681</v>
      </c>
      <c r="D15" s="463" t="s">
        <v>682</v>
      </c>
      <c r="E15" s="367" t="s">
        <v>672</v>
      </c>
      <c r="F15" s="367" t="s">
        <v>673</v>
      </c>
      <c r="G15" s="367" t="s">
        <v>674</v>
      </c>
      <c r="H15" s="367" t="s">
        <v>669</v>
      </c>
      <c r="I15" s="464"/>
      <c r="J15" s="464">
        <v>447409</v>
      </c>
      <c r="K15" s="464">
        <v>0</v>
      </c>
      <c r="L15" s="464">
        <v>756509</v>
      </c>
      <c r="M15" s="464"/>
    </row>
    <row r="16" spans="1:24" hidden="1" outlineLevel="1">
      <c r="A16" s="367" t="s">
        <v>668</v>
      </c>
      <c r="B16" s="367" t="s">
        <v>669</v>
      </c>
      <c r="C16" s="367" t="s">
        <v>683</v>
      </c>
      <c r="D16" s="463" t="s">
        <v>684</v>
      </c>
      <c r="E16" s="367" t="s">
        <v>685</v>
      </c>
      <c r="F16" s="367" t="s">
        <v>686</v>
      </c>
      <c r="G16" s="367" t="s">
        <v>687</v>
      </c>
      <c r="H16" s="367" t="s">
        <v>669</v>
      </c>
      <c r="I16" s="464"/>
      <c r="J16" s="464">
        <v>151261</v>
      </c>
      <c r="K16" s="464">
        <v>0</v>
      </c>
      <c r="L16" s="464">
        <v>907770</v>
      </c>
      <c r="M16" s="464"/>
    </row>
    <row r="17" spans="1:13" hidden="1" outlineLevel="1">
      <c r="A17" s="367" t="s">
        <v>668</v>
      </c>
      <c r="B17" s="367" t="s">
        <v>669</v>
      </c>
      <c r="C17" s="367" t="s">
        <v>688</v>
      </c>
      <c r="D17" s="463" t="s">
        <v>689</v>
      </c>
      <c r="E17" s="367" t="s">
        <v>690</v>
      </c>
      <c r="F17" s="367" t="s">
        <v>691</v>
      </c>
      <c r="G17" s="367" t="s">
        <v>692</v>
      </c>
      <c r="H17" s="367"/>
      <c r="I17" s="464"/>
      <c r="J17" s="464">
        <v>80000</v>
      </c>
      <c r="K17" s="464">
        <v>0</v>
      </c>
      <c r="L17" s="464">
        <v>987770</v>
      </c>
      <c r="M17" s="464"/>
    </row>
    <row r="18" spans="1:13" hidden="1" outlineLevel="1">
      <c r="A18" s="367" t="s">
        <v>668</v>
      </c>
      <c r="B18" s="367" t="s">
        <v>669</v>
      </c>
      <c r="C18" s="367" t="s">
        <v>693</v>
      </c>
      <c r="D18" s="463" t="s">
        <v>689</v>
      </c>
      <c r="E18" s="367" t="s">
        <v>694</v>
      </c>
      <c r="F18" s="367" t="s">
        <v>695</v>
      </c>
      <c r="G18" s="367" t="s">
        <v>696</v>
      </c>
      <c r="H18" s="367" t="s">
        <v>669</v>
      </c>
      <c r="I18" s="464"/>
      <c r="J18" s="464">
        <v>268000</v>
      </c>
      <c r="K18" s="464">
        <v>0</v>
      </c>
      <c r="L18" s="464">
        <v>1255770</v>
      </c>
      <c r="M18" s="464"/>
    </row>
    <row r="19" spans="1:13" hidden="1" outlineLevel="1">
      <c r="A19" s="367" t="s">
        <v>668</v>
      </c>
      <c r="B19" s="367" t="s">
        <v>669</v>
      </c>
      <c r="C19" s="367" t="s">
        <v>688</v>
      </c>
      <c r="D19" s="463" t="s">
        <v>689</v>
      </c>
      <c r="E19" s="367" t="s">
        <v>690</v>
      </c>
      <c r="F19" s="367" t="s">
        <v>691</v>
      </c>
      <c r="G19" s="367" t="s">
        <v>669</v>
      </c>
      <c r="H19" s="367"/>
      <c r="I19" s="464"/>
      <c r="J19" s="464">
        <v>120000</v>
      </c>
      <c r="K19" s="464">
        <v>0</v>
      </c>
      <c r="L19" s="464">
        <v>1375770</v>
      </c>
      <c r="M19" s="464"/>
    </row>
    <row r="20" spans="1:13" hidden="1" outlineLevel="1">
      <c r="A20" s="367" t="s">
        <v>668</v>
      </c>
      <c r="B20" s="367" t="s">
        <v>669</v>
      </c>
      <c r="C20" s="367" t="s">
        <v>688</v>
      </c>
      <c r="D20" s="463" t="s">
        <v>689</v>
      </c>
      <c r="E20" s="367" t="s">
        <v>690</v>
      </c>
      <c r="F20" s="367" t="s">
        <v>691</v>
      </c>
      <c r="G20" s="367" t="s">
        <v>669</v>
      </c>
      <c r="H20" s="367"/>
      <c r="I20" s="464"/>
      <c r="J20" s="464">
        <v>115000</v>
      </c>
      <c r="K20" s="464">
        <v>0</v>
      </c>
      <c r="L20" s="464">
        <v>1490770</v>
      </c>
      <c r="M20" s="464"/>
    </row>
    <row r="21" spans="1:13" hidden="1" outlineLevel="1">
      <c r="A21" s="367" t="s">
        <v>668</v>
      </c>
      <c r="B21" s="367" t="s">
        <v>669</v>
      </c>
      <c r="C21" s="367" t="s">
        <v>688</v>
      </c>
      <c r="D21" s="463" t="s">
        <v>689</v>
      </c>
      <c r="E21" s="367" t="s">
        <v>690</v>
      </c>
      <c r="F21" s="367" t="s">
        <v>691</v>
      </c>
      <c r="G21" s="367" t="s">
        <v>669</v>
      </c>
      <c r="H21" s="367"/>
      <c r="I21" s="464"/>
      <c r="J21" s="464">
        <v>119000</v>
      </c>
      <c r="K21" s="464">
        <v>0</v>
      </c>
      <c r="L21" s="464">
        <v>1609770</v>
      </c>
      <c r="M21" s="464"/>
    </row>
    <row r="22" spans="1:13" hidden="1" outlineLevel="1">
      <c r="A22" s="367" t="s">
        <v>668</v>
      </c>
      <c r="B22" s="367" t="s">
        <v>669</v>
      </c>
      <c r="C22" s="367" t="s">
        <v>688</v>
      </c>
      <c r="D22" s="463" t="s">
        <v>689</v>
      </c>
      <c r="E22" s="367" t="s">
        <v>690</v>
      </c>
      <c r="F22" s="367" t="s">
        <v>691</v>
      </c>
      <c r="G22" s="367" t="s">
        <v>669</v>
      </c>
      <c r="H22" s="367"/>
      <c r="I22" s="464"/>
      <c r="J22" s="464">
        <v>92000</v>
      </c>
      <c r="K22" s="464">
        <v>0</v>
      </c>
      <c r="L22" s="464">
        <v>1701770</v>
      </c>
      <c r="M22" s="464"/>
    </row>
    <row r="23" spans="1:13" hidden="1" outlineLevel="1">
      <c r="A23" s="367" t="s">
        <v>668</v>
      </c>
      <c r="B23" s="367" t="s">
        <v>669</v>
      </c>
      <c r="C23" s="367" t="s">
        <v>697</v>
      </c>
      <c r="D23" s="463" t="s">
        <v>689</v>
      </c>
      <c r="E23" s="367" t="s">
        <v>520</v>
      </c>
      <c r="F23" s="367" t="s">
        <v>521</v>
      </c>
      <c r="G23" s="367" t="s">
        <v>692</v>
      </c>
      <c r="H23" s="367"/>
      <c r="I23" s="464"/>
      <c r="J23" s="464">
        <v>408500</v>
      </c>
      <c r="K23" s="464">
        <v>0</v>
      </c>
      <c r="L23" s="464">
        <v>2110270</v>
      </c>
      <c r="M23" s="464"/>
    </row>
    <row r="24" spans="1:13" hidden="1" outlineLevel="1">
      <c r="A24" s="367" t="s">
        <v>668</v>
      </c>
      <c r="B24" s="367" t="s">
        <v>669</v>
      </c>
      <c r="C24" s="367" t="s">
        <v>698</v>
      </c>
      <c r="D24" s="463" t="s">
        <v>689</v>
      </c>
      <c r="E24" s="367" t="s">
        <v>524</v>
      </c>
      <c r="F24" s="367" t="s">
        <v>525</v>
      </c>
      <c r="G24" s="367" t="s">
        <v>692</v>
      </c>
      <c r="H24" s="367"/>
      <c r="I24" s="464"/>
      <c r="J24" s="464">
        <v>184606</v>
      </c>
      <c r="K24" s="464">
        <v>0</v>
      </c>
      <c r="L24" s="464">
        <v>2294876</v>
      </c>
      <c r="M24" s="464"/>
    </row>
    <row r="25" spans="1:13" hidden="1" outlineLevel="1">
      <c r="A25" s="367" t="s">
        <v>668</v>
      </c>
      <c r="B25" s="367" t="s">
        <v>669</v>
      </c>
      <c r="C25" s="367" t="s">
        <v>699</v>
      </c>
      <c r="D25" s="463" t="s">
        <v>700</v>
      </c>
      <c r="E25" s="367" t="s">
        <v>701</v>
      </c>
      <c r="F25" s="367" t="s">
        <v>702</v>
      </c>
      <c r="G25" s="367" t="s">
        <v>703</v>
      </c>
      <c r="H25" s="367" t="s">
        <v>669</v>
      </c>
      <c r="I25" s="464"/>
      <c r="J25" s="464">
        <v>1339403</v>
      </c>
      <c r="K25" s="464">
        <v>0</v>
      </c>
      <c r="L25" s="464">
        <v>3634279</v>
      </c>
      <c r="M25" s="464"/>
    </row>
    <row r="26" spans="1:13" hidden="1" outlineLevel="1">
      <c r="A26" s="367" t="s">
        <v>668</v>
      </c>
      <c r="B26" s="367" t="s">
        <v>669</v>
      </c>
      <c r="C26" s="367" t="s">
        <v>704</v>
      </c>
      <c r="D26" s="463" t="s">
        <v>705</v>
      </c>
      <c r="E26" s="367" t="s">
        <v>685</v>
      </c>
      <c r="F26" s="367" t="s">
        <v>686</v>
      </c>
      <c r="G26" s="367" t="s">
        <v>706</v>
      </c>
      <c r="H26" s="367" t="s">
        <v>669</v>
      </c>
      <c r="I26" s="464"/>
      <c r="J26" s="464">
        <v>134454</v>
      </c>
      <c r="K26" s="464">
        <v>0</v>
      </c>
      <c r="L26" s="464">
        <v>3768733</v>
      </c>
      <c r="M26" s="464"/>
    </row>
    <row r="27" spans="1:13" hidden="1" outlineLevel="1">
      <c r="A27" s="367" t="s">
        <v>668</v>
      </c>
      <c r="B27" s="367" t="s">
        <v>669</v>
      </c>
      <c r="C27" s="367" t="s">
        <v>707</v>
      </c>
      <c r="D27" s="463" t="s">
        <v>705</v>
      </c>
      <c r="E27" s="367" t="s">
        <v>708</v>
      </c>
      <c r="F27" s="367" t="s">
        <v>709</v>
      </c>
      <c r="G27" s="367" t="s">
        <v>710</v>
      </c>
      <c r="H27" s="367" t="s">
        <v>669</v>
      </c>
      <c r="I27" s="464"/>
      <c r="J27" s="464">
        <v>22500</v>
      </c>
      <c r="K27" s="464">
        <v>0</v>
      </c>
      <c r="L27" s="464">
        <v>3791233</v>
      </c>
      <c r="M27" s="464"/>
    </row>
    <row r="28" spans="1:13" hidden="1" outlineLevel="1">
      <c r="A28" s="367" t="s">
        <v>668</v>
      </c>
      <c r="B28" s="367" t="s">
        <v>669</v>
      </c>
      <c r="C28" s="367" t="s">
        <v>711</v>
      </c>
      <c r="D28" s="463" t="s">
        <v>705</v>
      </c>
      <c r="E28" s="367" t="s">
        <v>712</v>
      </c>
      <c r="F28" s="367" t="s">
        <v>713</v>
      </c>
      <c r="G28" s="367" t="s">
        <v>714</v>
      </c>
      <c r="H28" s="367" t="s">
        <v>669</v>
      </c>
      <c r="I28" s="464"/>
      <c r="J28" s="464">
        <v>24000</v>
      </c>
      <c r="K28" s="464">
        <v>0</v>
      </c>
      <c r="L28" s="464">
        <v>3815233</v>
      </c>
      <c r="M28" s="464"/>
    </row>
    <row r="29" spans="1:13" hidden="1" outlineLevel="1">
      <c r="A29" s="367" t="s">
        <v>668</v>
      </c>
      <c r="B29" s="367" t="s">
        <v>669</v>
      </c>
      <c r="C29" s="367" t="s">
        <v>715</v>
      </c>
      <c r="D29" s="463" t="s">
        <v>716</v>
      </c>
      <c r="E29" s="367" t="s">
        <v>717</v>
      </c>
      <c r="F29" s="367" t="s">
        <v>718</v>
      </c>
      <c r="G29" s="367" t="s">
        <v>692</v>
      </c>
      <c r="H29" s="367" t="s">
        <v>669</v>
      </c>
      <c r="I29" s="464"/>
      <c r="J29" s="464">
        <v>556265</v>
      </c>
      <c r="K29" s="464">
        <v>0</v>
      </c>
      <c r="L29" s="464">
        <v>4371498</v>
      </c>
      <c r="M29" s="464"/>
    </row>
    <row r="30" spans="1:13" hidden="1" outlineLevel="1">
      <c r="A30" s="367" t="s">
        <v>668</v>
      </c>
      <c r="B30" s="367" t="s">
        <v>669</v>
      </c>
      <c r="C30" s="367" t="s">
        <v>719</v>
      </c>
      <c r="D30" s="463" t="s">
        <v>716</v>
      </c>
      <c r="E30" s="367" t="s">
        <v>720</v>
      </c>
      <c r="F30" s="367" t="s">
        <v>721</v>
      </c>
      <c r="G30" s="367" t="s">
        <v>722</v>
      </c>
      <c r="H30" s="367" t="s">
        <v>669</v>
      </c>
      <c r="I30" s="464"/>
      <c r="J30" s="464">
        <v>208000</v>
      </c>
      <c r="K30" s="464">
        <v>0</v>
      </c>
      <c r="L30" s="464">
        <v>4579498</v>
      </c>
      <c r="M30" s="464"/>
    </row>
    <row r="31" spans="1:13" hidden="1" outlineLevel="1">
      <c r="A31" s="367" t="s">
        <v>668</v>
      </c>
      <c r="B31" s="367" t="s">
        <v>669</v>
      </c>
      <c r="C31" s="367" t="s">
        <v>723</v>
      </c>
      <c r="D31" s="463" t="s">
        <v>716</v>
      </c>
      <c r="E31" s="367" t="s">
        <v>724</v>
      </c>
      <c r="F31" s="367" t="s">
        <v>725</v>
      </c>
      <c r="G31" s="367" t="s">
        <v>726</v>
      </c>
      <c r="H31" s="367" t="s">
        <v>669</v>
      </c>
      <c r="I31" s="464"/>
      <c r="J31" s="464">
        <v>114900</v>
      </c>
      <c r="K31" s="464">
        <v>0</v>
      </c>
      <c r="L31" s="464">
        <v>4694398</v>
      </c>
      <c r="M31" s="464"/>
    </row>
    <row r="32" spans="1:13" hidden="1" outlineLevel="1">
      <c r="A32" s="367" t="s">
        <v>668</v>
      </c>
      <c r="B32" s="367" t="s">
        <v>669</v>
      </c>
      <c r="C32" s="367" t="s">
        <v>727</v>
      </c>
      <c r="D32" s="463" t="s">
        <v>716</v>
      </c>
      <c r="E32" s="367" t="s">
        <v>717</v>
      </c>
      <c r="F32" s="367" t="s">
        <v>718</v>
      </c>
      <c r="G32" s="367" t="s">
        <v>728</v>
      </c>
      <c r="H32" s="367" t="s">
        <v>669</v>
      </c>
      <c r="I32" s="464"/>
      <c r="J32" s="464">
        <v>67000</v>
      </c>
      <c r="K32" s="464">
        <v>0</v>
      </c>
      <c r="L32" s="464">
        <v>4761398</v>
      </c>
      <c r="M32" s="464"/>
    </row>
    <row r="33" spans="1:13" hidden="1" outlineLevel="1">
      <c r="A33" s="367" t="s">
        <v>668</v>
      </c>
      <c r="B33" s="367" t="s">
        <v>669</v>
      </c>
      <c r="C33" s="367" t="s">
        <v>715</v>
      </c>
      <c r="D33" s="463" t="s">
        <v>716</v>
      </c>
      <c r="E33" s="367" t="s">
        <v>717</v>
      </c>
      <c r="F33" s="367" t="s">
        <v>718</v>
      </c>
      <c r="G33" s="367" t="s">
        <v>669</v>
      </c>
      <c r="H33" s="367" t="s">
        <v>669</v>
      </c>
      <c r="I33" s="464"/>
      <c r="J33" s="464">
        <v>55000</v>
      </c>
      <c r="K33" s="464">
        <v>0</v>
      </c>
      <c r="L33" s="464">
        <v>4816398</v>
      </c>
      <c r="M33" s="464"/>
    </row>
    <row r="34" spans="1:13" hidden="1" outlineLevel="1">
      <c r="A34" s="367" t="s">
        <v>668</v>
      </c>
      <c r="B34" s="367" t="s">
        <v>669</v>
      </c>
      <c r="C34" s="367" t="s">
        <v>729</v>
      </c>
      <c r="D34" s="463" t="s">
        <v>730</v>
      </c>
      <c r="E34" s="367" t="s">
        <v>708</v>
      </c>
      <c r="F34" s="367" t="s">
        <v>709</v>
      </c>
      <c r="G34" s="367" t="s">
        <v>731</v>
      </c>
      <c r="H34" s="367" t="s">
        <v>669</v>
      </c>
      <c r="I34" s="464"/>
      <c r="J34" s="464">
        <v>23000</v>
      </c>
      <c r="K34" s="464">
        <v>0</v>
      </c>
      <c r="L34" s="464">
        <v>4839398</v>
      </c>
      <c r="M34" s="464"/>
    </row>
    <row r="35" spans="1:13" hidden="1" outlineLevel="1">
      <c r="A35" s="367" t="s">
        <v>668</v>
      </c>
      <c r="B35" s="367" t="s">
        <v>669</v>
      </c>
      <c r="C35" s="367" t="s">
        <v>732</v>
      </c>
      <c r="D35" s="463" t="s">
        <v>730</v>
      </c>
      <c r="E35" s="367" t="s">
        <v>685</v>
      </c>
      <c r="F35" s="367" t="s">
        <v>686</v>
      </c>
      <c r="G35" s="367" t="s">
        <v>692</v>
      </c>
      <c r="H35" s="367" t="s">
        <v>669</v>
      </c>
      <c r="I35" s="464"/>
      <c r="J35" s="464">
        <v>82352.94</v>
      </c>
      <c r="K35" s="464">
        <v>0</v>
      </c>
      <c r="L35" s="464">
        <v>4921750.9400000004</v>
      </c>
      <c r="M35" s="464"/>
    </row>
    <row r="36" spans="1:13" hidden="1" outlineLevel="1">
      <c r="A36" s="367" t="s">
        <v>668</v>
      </c>
      <c r="B36" s="367" t="s">
        <v>669</v>
      </c>
      <c r="C36" s="367" t="s">
        <v>729</v>
      </c>
      <c r="D36" s="463" t="s">
        <v>730</v>
      </c>
      <c r="E36" s="367" t="s">
        <v>708</v>
      </c>
      <c r="F36" s="367" t="s">
        <v>709</v>
      </c>
      <c r="G36" s="367" t="s">
        <v>731</v>
      </c>
      <c r="H36" s="367" t="s">
        <v>669</v>
      </c>
      <c r="I36" s="464"/>
      <c r="J36" s="464">
        <v>11500</v>
      </c>
      <c r="K36" s="464">
        <v>0</v>
      </c>
      <c r="L36" s="464">
        <v>4933250.9400000004</v>
      </c>
      <c r="M36" s="464"/>
    </row>
    <row r="37" spans="1:13" hidden="1" outlineLevel="1">
      <c r="A37" s="367" t="s">
        <v>668</v>
      </c>
      <c r="B37" s="367" t="s">
        <v>669</v>
      </c>
      <c r="C37" s="367" t="s">
        <v>733</v>
      </c>
      <c r="D37" s="463" t="s">
        <v>734</v>
      </c>
      <c r="E37" s="367" t="s">
        <v>735</v>
      </c>
      <c r="F37" s="367" t="s">
        <v>736</v>
      </c>
      <c r="G37" s="367" t="s">
        <v>669</v>
      </c>
      <c r="H37" s="367" t="s">
        <v>669</v>
      </c>
      <c r="I37" s="464"/>
      <c r="J37" s="464">
        <v>107620</v>
      </c>
      <c r="K37" s="464">
        <v>0</v>
      </c>
      <c r="L37" s="464">
        <v>5040870.9400000004</v>
      </c>
      <c r="M37" s="464"/>
    </row>
    <row r="38" spans="1:13" hidden="1" outlineLevel="1">
      <c r="A38" s="367" t="s">
        <v>668</v>
      </c>
      <c r="B38" s="367" t="s">
        <v>669</v>
      </c>
      <c r="C38" s="367" t="s">
        <v>737</v>
      </c>
      <c r="D38" s="463" t="s">
        <v>734</v>
      </c>
      <c r="E38" s="367" t="s">
        <v>738</v>
      </c>
      <c r="F38" s="367" t="s">
        <v>739</v>
      </c>
      <c r="G38" s="367" t="s">
        <v>669</v>
      </c>
      <c r="H38" s="367" t="s">
        <v>669</v>
      </c>
      <c r="I38" s="464"/>
      <c r="J38" s="464">
        <v>136650</v>
      </c>
      <c r="K38" s="464">
        <v>0</v>
      </c>
      <c r="L38" s="464">
        <v>5177520.9400000004</v>
      </c>
      <c r="M38" s="464"/>
    </row>
    <row r="39" spans="1:13" hidden="1" outlineLevel="1">
      <c r="A39" s="367" t="s">
        <v>668</v>
      </c>
      <c r="B39" s="367" t="s">
        <v>669</v>
      </c>
      <c r="C39" s="367" t="s">
        <v>740</v>
      </c>
      <c r="D39" s="463" t="s">
        <v>741</v>
      </c>
      <c r="E39" s="367" t="s">
        <v>701</v>
      </c>
      <c r="F39" s="367" t="s">
        <v>702</v>
      </c>
      <c r="G39" s="367" t="s">
        <v>669</v>
      </c>
      <c r="H39" s="367" t="s">
        <v>669</v>
      </c>
      <c r="I39" s="464"/>
      <c r="J39" s="464">
        <v>214800</v>
      </c>
      <c r="K39" s="464">
        <v>0</v>
      </c>
      <c r="L39" s="464">
        <v>5392320.9400000004</v>
      </c>
      <c r="M39" s="464"/>
    </row>
    <row r="40" spans="1:13" hidden="1" outlineLevel="1">
      <c r="A40" s="367" t="s">
        <v>668</v>
      </c>
      <c r="B40" s="367" t="s">
        <v>669</v>
      </c>
      <c r="C40" s="367" t="s">
        <v>742</v>
      </c>
      <c r="D40" s="463" t="s">
        <v>743</v>
      </c>
      <c r="E40" s="367" t="s">
        <v>701</v>
      </c>
      <c r="F40" s="367" t="s">
        <v>702</v>
      </c>
      <c r="G40" s="367" t="s">
        <v>744</v>
      </c>
      <c r="H40" s="367" t="s">
        <v>669</v>
      </c>
      <c r="I40" s="464"/>
      <c r="J40" s="464">
        <v>230000</v>
      </c>
      <c r="K40" s="464">
        <v>0</v>
      </c>
      <c r="L40" s="464">
        <v>5622320.9400000004</v>
      </c>
      <c r="M40" s="464"/>
    </row>
    <row r="41" spans="1:13" hidden="1" outlineLevel="1">
      <c r="A41" s="367" t="s">
        <v>668</v>
      </c>
      <c r="B41" s="367" t="s">
        <v>669</v>
      </c>
      <c r="C41" s="367" t="s">
        <v>745</v>
      </c>
      <c r="D41" s="463" t="s">
        <v>746</v>
      </c>
      <c r="E41" s="367" t="s">
        <v>677</v>
      </c>
      <c r="F41" s="367" t="s">
        <v>678</v>
      </c>
      <c r="G41" s="367" t="s">
        <v>669</v>
      </c>
      <c r="H41" s="367"/>
      <c r="I41" s="464"/>
      <c r="J41" s="464">
        <v>283500</v>
      </c>
      <c r="K41" s="464">
        <v>0</v>
      </c>
      <c r="L41" s="464">
        <v>5905820.9400000004</v>
      </c>
      <c r="M41" s="464"/>
    </row>
    <row r="42" spans="1:13" hidden="1" outlineLevel="1">
      <c r="A42" s="367" t="s">
        <v>668</v>
      </c>
      <c r="B42" s="367" t="s">
        <v>669</v>
      </c>
      <c r="C42" s="367" t="s">
        <v>745</v>
      </c>
      <c r="D42" s="463" t="s">
        <v>746</v>
      </c>
      <c r="E42" s="367" t="s">
        <v>708</v>
      </c>
      <c r="F42" s="367" t="s">
        <v>709</v>
      </c>
      <c r="G42" s="367" t="s">
        <v>669</v>
      </c>
      <c r="H42" s="367"/>
      <c r="I42" s="464"/>
      <c r="J42" s="464">
        <v>44000</v>
      </c>
      <c r="K42" s="464">
        <v>0</v>
      </c>
      <c r="L42" s="464">
        <v>5949820.9400000004</v>
      </c>
      <c r="M42" s="464"/>
    </row>
    <row r="43" spans="1:13" hidden="1" outlineLevel="1">
      <c r="A43" s="367" t="s">
        <v>668</v>
      </c>
      <c r="B43" s="367" t="s">
        <v>669</v>
      </c>
      <c r="C43" s="367" t="s">
        <v>747</v>
      </c>
      <c r="D43" s="463" t="s">
        <v>748</v>
      </c>
      <c r="E43" s="367" t="s">
        <v>685</v>
      </c>
      <c r="F43" s="367" t="s">
        <v>686</v>
      </c>
      <c r="G43" s="367" t="s">
        <v>669</v>
      </c>
      <c r="H43" s="367" t="s">
        <v>669</v>
      </c>
      <c r="I43" s="464"/>
      <c r="J43" s="464">
        <v>100834.34</v>
      </c>
      <c r="K43" s="464">
        <v>0</v>
      </c>
      <c r="L43" s="464">
        <v>6050655.2800000003</v>
      </c>
      <c r="M43" s="464"/>
    </row>
    <row r="44" spans="1:13" hidden="1" outlineLevel="1">
      <c r="A44" s="367" t="s">
        <v>668</v>
      </c>
      <c r="B44" s="367" t="s">
        <v>669</v>
      </c>
      <c r="C44" s="367" t="s">
        <v>749</v>
      </c>
      <c r="D44" s="463" t="s">
        <v>748</v>
      </c>
      <c r="E44" s="367" t="s">
        <v>690</v>
      </c>
      <c r="F44" s="367" t="s">
        <v>691</v>
      </c>
      <c r="G44" s="367" t="s">
        <v>669</v>
      </c>
      <c r="H44" s="367"/>
      <c r="I44" s="464"/>
      <c r="J44" s="464">
        <v>80000</v>
      </c>
      <c r="K44" s="464">
        <v>0</v>
      </c>
      <c r="L44" s="464">
        <v>6130655.2800000003</v>
      </c>
      <c r="M44" s="464"/>
    </row>
    <row r="45" spans="1:13" hidden="1" outlineLevel="1">
      <c r="A45" s="367" t="s">
        <v>668</v>
      </c>
      <c r="B45" s="367" t="s">
        <v>669</v>
      </c>
      <c r="C45" s="367" t="s">
        <v>750</v>
      </c>
      <c r="D45" s="463" t="s">
        <v>751</v>
      </c>
      <c r="E45" s="367" t="s">
        <v>694</v>
      </c>
      <c r="F45" s="367" t="s">
        <v>695</v>
      </c>
      <c r="G45" s="367" t="s">
        <v>669</v>
      </c>
      <c r="H45" s="367" t="s">
        <v>669</v>
      </c>
      <c r="I45" s="464"/>
      <c r="J45" s="464">
        <v>268000</v>
      </c>
      <c r="K45" s="464">
        <v>0</v>
      </c>
      <c r="L45" s="464">
        <v>6398655.2800000003</v>
      </c>
      <c r="M45" s="464"/>
    </row>
    <row r="46" spans="1:13" hidden="1" outlineLevel="1">
      <c r="A46" s="367" t="s">
        <v>668</v>
      </c>
      <c r="B46" s="367" t="s">
        <v>669</v>
      </c>
      <c r="C46" s="367" t="s">
        <v>752</v>
      </c>
      <c r="D46" s="463" t="s">
        <v>751</v>
      </c>
      <c r="E46" s="367" t="s">
        <v>720</v>
      </c>
      <c r="F46" s="367" t="s">
        <v>721</v>
      </c>
      <c r="G46" s="367" t="s">
        <v>669</v>
      </c>
      <c r="H46" s="367" t="s">
        <v>669</v>
      </c>
      <c r="I46" s="464"/>
      <c r="J46" s="464">
        <v>208000</v>
      </c>
      <c r="K46" s="464">
        <v>0</v>
      </c>
      <c r="L46" s="464">
        <v>6606655.2800000003</v>
      </c>
      <c r="M46" s="464"/>
    </row>
    <row r="47" spans="1:13" hidden="1" outlineLevel="1">
      <c r="A47" s="367" t="s">
        <v>668</v>
      </c>
      <c r="B47" s="367" t="s">
        <v>669</v>
      </c>
      <c r="C47" s="367" t="s">
        <v>753</v>
      </c>
      <c r="D47" s="463" t="s">
        <v>751</v>
      </c>
      <c r="E47" s="367" t="s">
        <v>694</v>
      </c>
      <c r="F47" s="367" t="s">
        <v>695</v>
      </c>
      <c r="G47" s="367" t="s">
        <v>696</v>
      </c>
      <c r="H47" s="367" t="s">
        <v>669</v>
      </c>
      <c r="I47" s="464"/>
      <c r="J47" s="464">
        <v>0</v>
      </c>
      <c r="K47" s="464">
        <v>268000</v>
      </c>
      <c r="L47" s="464">
        <v>6338655.2800000003</v>
      </c>
      <c r="M47" s="464"/>
    </row>
    <row r="48" spans="1:13" hidden="1" outlineLevel="1">
      <c r="A48" s="367" t="s">
        <v>668</v>
      </c>
      <c r="B48" s="367" t="s">
        <v>669</v>
      </c>
      <c r="C48" s="367" t="s">
        <v>754</v>
      </c>
      <c r="D48" s="463" t="s">
        <v>751</v>
      </c>
      <c r="E48" s="367" t="s">
        <v>720</v>
      </c>
      <c r="F48" s="367" t="s">
        <v>721</v>
      </c>
      <c r="G48" s="367" t="s">
        <v>722</v>
      </c>
      <c r="H48" s="367" t="s">
        <v>669</v>
      </c>
      <c r="I48" s="464"/>
      <c r="J48" s="464">
        <v>0</v>
      </c>
      <c r="K48" s="464">
        <v>208000</v>
      </c>
      <c r="L48" s="464">
        <v>6130655.2800000003</v>
      </c>
      <c r="M48" s="464"/>
    </row>
    <row r="49" spans="1:13" hidden="1" outlineLevel="1">
      <c r="A49" s="367" t="s">
        <v>668</v>
      </c>
      <c r="B49" s="367" t="s">
        <v>669</v>
      </c>
      <c r="C49" s="367" t="s">
        <v>755</v>
      </c>
      <c r="D49" s="463" t="s">
        <v>756</v>
      </c>
      <c r="E49" s="367" t="s">
        <v>685</v>
      </c>
      <c r="F49" s="367" t="s">
        <v>686</v>
      </c>
      <c r="G49" s="367" t="s">
        <v>669</v>
      </c>
      <c r="H49" s="367" t="s">
        <v>669</v>
      </c>
      <c r="I49" s="464"/>
      <c r="J49" s="464">
        <v>82352.94</v>
      </c>
      <c r="K49" s="464">
        <v>0</v>
      </c>
      <c r="L49" s="464">
        <v>6213008.2199999997</v>
      </c>
      <c r="M49" s="464"/>
    </row>
    <row r="50" spans="1:13" hidden="1" outlineLevel="1">
      <c r="A50" s="367" t="s">
        <v>668</v>
      </c>
      <c r="B50" s="367" t="s">
        <v>669</v>
      </c>
      <c r="C50" s="367" t="s">
        <v>757</v>
      </c>
      <c r="D50" s="463" t="s">
        <v>758</v>
      </c>
      <c r="E50" s="367" t="s">
        <v>759</v>
      </c>
      <c r="F50" s="367" t="s">
        <v>760</v>
      </c>
      <c r="G50" s="367" t="s">
        <v>761</v>
      </c>
      <c r="H50" s="367" t="s">
        <v>669</v>
      </c>
      <c r="I50" s="464"/>
      <c r="J50" s="464">
        <v>120000</v>
      </c>
      <c r="K50" s="464">
        <v>0</v>
      </c>
      <c r="L50" s="464">
        <v>6333008.2199999997</v>
      </c>
      <c r="M50" s="464"/>
    </row>
    <row r="51" spans="1:13" hidden="1" outlineLevel="1">
      <c r="A51" s="367" t="s">
        <v>668</v>
      </c>
      <c r="B51" s="367" t="s">
        <v>669</v>
      </c>
      <c r="C51" s="367" t="s">
        <v>762</v>
      </c>
      <c r="D51" s="463" t="s">
        <v>763</v>
      </c>
      <c r="E51" s="367" t="s">
        <v>685</v>
      </c>
      <c r="F51" s="367" t="s">
        <v>686</v>
      </c>
      <c r="G51" s="367" t="s">
        <v>669</v>
      </c>
      <c r="H51" s="367" t="s">
        <v>669</v>
      </c>
      <c r="I51" s="464"/>
      <c r="J51" s="464">
        <v>82352.94</v>
      </c>
      <c r="K51" s="464">
        <v>0</v>
      </c>
      <c r="L51" s="464">
        <v>6415361.1600000001</v>
      </c>
      <c r="M51" s="464"/>
    </row>
    <row r="52" spans="1:13" hidden="1" outlineLevel="1">
      <c r="A52" s="367" t="s">
        <v>668</v>
      </c>
      <c r="B52" s="367" t="s">
        <v>669</v>
      </c>
      <c r="C52" s="367" t="s">
        <v>764</v>
      </c>
      <c r="D52" s="463" t="s">
        <v>765</v>
      </c>
      <c r="E52" s="367" t="s">
        <v>766</v>
      </c>
      <c r="F52" s="367" t="s">
        <v>767</v>
      </c>
      <c r="G52" s="367" t="s">
        <v>768</v>
      </c>
      <c r="H52" s="367" t="s">
        <v>669</v>
      </c>
      <c r="I52" s="464"/>
      <c r="J52" s="464">
        <v>240000</v>
      </c>
      <c r="K52" s="464">
        <v>0</v>
      </c>
      <c r="L52" s="464">
        <v>6655361.1600000001</v>
      </c>
      <c r="M52" s="464"/>
    </row>
    <row r="53" spans="1:13" hidden="1" outlineLevel="1">
      <c r="A53" s="367" t="s">
        <v>668</v>
      </c>
      <c r="B53" s="367" t="s">
        <v>669</v>
      </c>
      <c r="C53" s="367" t="s">
        <v>769</v>
      </c>
      <c r="D53" s="463" t="s">
        <v>765</v>
      </c>
      <c r="E53" s="367" t="s">
        <v>770</v>
      </c>
      <c r="F53" s="367" t="s">
        <v>771</v>
      </c>
      <c r="G53" s="367" t="s">
        <v>772</v>
      </c>
      <c r="H53" s="367" t="s">
        <v>669</v>
      </c>
      <c r="I53" s="464"/>
      <c r="J53" s="464">
        <v>468700</v>
      </c>
      <c r="K53" s="464">
        <v>0</v>
      </c>
      <c r="L53" s="464">
        <v>7124061.1600000001</v>
      </c>
      <c r="M53" s="464"/>
    </row>
    <row r="54" spans="1:13" hidden="1" outlineLevel="1">
      <c r="A54" s="367" t="s">
        <v>668</v>
      </c>
      <c r="B54" s="367" t="s">
        <v>669</v>
      </c>
      <c r="C54" s="367" t="s">
        <v>773</v>
      </c>
      <c r="D54" s="463" t="s">
        <v>774</v>
      </c>
      <c r="E54" s="367" t="s">
        <v>685</v>
      </c>
      <c r="F54" s="367" t="s">
        <v>686</v>
      </c>
      <c r="G54" s="367" t="s">
        <v>669</v>
      </c>
      <c r="H54" s="367" t="s">
        <v>669</v>
      </c>
      <c r="I54" s="464"/>
      <c r="J54" s="464">
        <v>100840.34</v>
      </c>
      <c r="K54" s="464">
        <v>0</v>
      </c>
      <c r="L54" s="464">
        <v>7224901.5</v>
      </c>
      <c r="M54" s="464"/>
    </row>
    <row r="55" spans="1:13" hidden="1" outlineLevel="1">
      <c r="A55" s="367" t="s">
        <v>668</v>
      </c>
      <c r="B55" s="367" t="s">
        <v>669</v>
      </c>
      <c r="C55" s="367" t="s">
        <v>775</v>
      </c>
      <c r="D55" s="463" t="s">
        <v>776</v>
      </c>
      <c r="E55" s="367" t="s">
        <v>685</v>
      </c>
      <c r="F55" s="367" t="s">
        <v>686</v>
      </c>
      <c r="G55" s="367" t="s">
        <v>669</v>
      </c>
      <c r="H55" s="367" t="s">
        <v>669</v>
      </c>
      <c r="I55" s="464"/>
      <c r="J55" s="464">
        <v>120168.07</v>
      </c>
      <c r="K55" s="464">
        <v>0</v>
      </c>
      <c r="L55" s="464">
        <v>7345069.5700000003</v>
      </c>
      <c r="M55" s="464"/>
    </row>
    <row r="56" spans="1:13" hidden="1" outlineLevel="1">
      <c r="A56" s="367" t="s">
        <v>668</v>
      </c>
      <c r="B56" s="367" t="s">
        <v>669</v>
      </c>
      <c r="C56" s="367" t="s">
        <v>777</v>
      </c>
      <c r="D56" s="463" t="s">
        <v>778</v>
      </c>
      <c r="E56" s="367" t="s">
        <v>779</v>
      </c>
      <c r="F56" s="367" t="s">
        <v>780</v>
      </c>
      <c r="G56" s="367" t="s">
        <v>781</v>
      </c>
      <c r="H56" s="367" t="s">
        <v>669</v>
      </c>
      <c r="I56" s="464"/>
      <c r="J56" s="464">
        <v>77311</v>
      </c>
      <c r="K56" s="464">
        <v>0</v>
      </c>
      <c r="L56" s="464">
        <v>7422380.5700000003</v>
      </c>
      <c r="M56" s="464"/>
    </row>
    <row r="57" spans="1:13" hidden="1" outlineLevel="1">
      <c r="A57" s="367" t="s">
        <v>668</v>
      </c>
      <c r="B57" s="367" t="s">
        <v>669</v>
      </c>
      <c r="C57" s="367" t="s">
        <v>782</v>
      </c>
      <c r="D57" s="463" t="s">
        <v>783</v>
      </c>
      <c r="E57" s="367" t="s">
        <v>784</v>
      </c>
      <c r="F57" s="367" t="s">
        <v>785</v>
      </c>
      <c r="G57" s="367" t="s">
        <v>786</v>
      </c>
      <c r="H57" s="367" t="s">
        <v>669</v>
      </c>
      <c r="I57" s="464"/>
      <c r="J57" s="464">
        <v>540000</v>
      </c>
      <c r="K57" s="464">
        <v>0</v>
      </c>
      <c r="L57" s="464">
        <v>7962380.5700000003</v>
      </c>
      <c r="M57" s="464"/>
    </row>
    <row r="58" spans="1:13" hidden="1" outlineLevel="1">
      <c r="A58" s="367" t="s">
        <v>668</v>
      </c>
      <c r="B58" s="367" t="s">
        <v>669</v>
      </c>
      <c r="C58" s="367" t="s">
        <v>787</v>
      </c>
      <c r="D58" s="463" t="s">
        <v>783</v>
      </c>
      <c r="E58" s="367" t="s">
        <v>717</v>
      </c>
      <c r="F58" s="367" t="s">
        <v>718</v>
      </c>
      <c r="G58" s="367" t="s">
        <v>788</v>
      </c>
      <c r="H58" s="367" t="s">
        <v>669</v>
      </c>
      <c r="I58" s="464"/>
      <c r="J58" s="464">
        <v>566717</v>
      </c>
      <c r="K58" s="464">
        <v>0</v>
      </c>
      <c r="L58" s="464">
        <v>8529097.5700000003</v>
      </c>
      <c r="M58" s="464"/>
    </row>
    <row r="59" spans="1:13" hidden="1" outlineLevel="1">
      <c r="A59" s="367" t="s">
        <v>668</v>
      </c>
      <c r="B59" s="367" t="s">
        <v>669</v>
      </c>
      <c r="C59" s="367" t="s">
        <v>789</v>
      </c>
      <c r="D59" s="463" t="s">
        <v>790</v>
      </c>
      <c r="E59" s="367" t="s">
        <v>538</v>
      </c>
      <c r="F59" s="367" t="s">
        <v>539</v>
      </c>
      <c r="G59" s="367" t="s">
        <v>791</v>
      </c>
      <c r="H59" s="367" t="s">
        <v>669</v>
      </c>
      <c r="I59" s="464"/>
      <c r="J59" s="464">
        <v>228871</v>
      </c>
      <c r="K59" s="464">
        <v>0</v>
      </c>
      <c r="L59" s="464">
        <v>8757968.5700000003</v>
      </c>
      <c r="M59" s="464"/>
    </row>
    <row r="60" spans="1:13" hidden="1" outlineLevel="1">
      <c r="A60" s="367" t="s">
        <v>668</v>
      </c>
      <c r="B60" s="367" t="s">
        <v>669</v>
      </c>
      <c r="C60" s="367" t="s">
        <v>792</v>
      </c>
      <c r="D60" s="463" t="s">
        <v>790</v>
      </c>
      <c r="E60" s="367" t="s">
        <v>544</v>
      </c>
      <c r="F60" s="367" t="s">
        <v>545</v>
      </c>
      <c r="G60" s="367" t="s">
        <v>793</v>
      </c>
      <c r="H60" s="367" t="s">
        <v>669</v>
      </c>
      <c r="I60" s="464"/>
      <c r="J60" s="464">
        <v>226100</v>
      </c>
      <c r="K60" s="464">
        <v>0</v>
      </c>
      <c r="L60" s="464">
        <v>8984068.5700000003</v>
      </c>
      <c r="M60" s="464"/>
    </row>
    <row r="61" spans="1:13" hidden="1" outlineLevel="1">
      <c r="A61" s="367" t="s">
        <v>668</v>
      </c>
      <c r="B61" s="367" t="s">
        <v>669</v>
      </c>
      <c r="C61" s="367" t="s">
        <v>794</v>
      </c>
      <c r="D61" s="463" t="s">
        <v>795</v>
      </c>
      <c r="E61" s="367" t="s">
        <v>685</v>
      </c>
      <c r="F61" s="367" t="s">
        <v>686</v>
      </c>
      <c r="G61" s="367" t="s">
        <v>796</v>
      </c>
      <c r="H61" s="367" t="s">
        <v>669</v>
      </c>
      <c r="I61" s="464"/>
      <c r="J61" s="464">
        <v>151261</v>
      </c>
      <c r="K61" s="464">
        <v>0</v>
      </c>
      <c r="L61" s="464">
        <v>9135329.5700000003</v>
      </c>
      <c r="M61" s="464"/>
    </row>
    <row r="62" spans="1:13" hidden="1" outlineLevel="1">
      <c r="A62" s="367" t="s">
        <v>668</v>
      </c>
      <c r="B62" s="367" t="s">
        <v>669</v>
      </c>
      <c r="C62" s="367" t="s">
        <v>797</v>
      </c>
      <c r="D62" s="463" t="s">
        <v>798</v>
      </c>
      <c r="E62" s="367" t="s">
        <v>540</v>
      </c>
      <c r="F62" s="367" t="s">
        <v>541</v>
      </c>
      <c r="G62" s="367" t="s">
        <v>799</v>
      </c>
      <c r="H62" s="367" t="s">
        <v>669</v>
      </c>
      <c r="I62" s="464"/>
      <c r="J62" s="464">
        <v>1707550</v>
      </c>
      <c r="K62" s="464">
        <v>0</v>
      </c>
      <c r="L62" s="464">
        <v>10842879.57</v>
      </c>
      <c r="M62" s="464"/>
    </row>
    <row r="63" spans="1:13" hidden="1" outlineLevel="1">
      <c r="A63" s="367" t="s">
        <v>668</v>
      </c>
      <c r="B63" s="367" t="s">
        <v>669</v>
      </c>
      <c r="C63" s="367" t="s">
        <v>800</v>
      </c>
      <c r="D63" s="463" t="s">
        <v>798</v>
      </c>
      <c r="E63" s="367" t="s">
        <v>540</v>
      </c>
      <c r="F63" s="367" t="s">
        <v>541</v>
      </c>
      <c r="G63" s="367" t="s">
        <v>801</v>
      </c>
      <c r="H63" s="367" t="s">
        <v>669</v>
      </c>
      <c r="I63" s="464"/>
      <c r="J63" s="464">
        <v>1205200</v>
      </c>
      <c r="K63" s="464">
        <v>0</v>
      </c>
      <c r="L63" s="464">
        <v>12048079.57</v>
      </c>
      <c r="M63" s="464"/>
    </row>
    <row r="64" spans="1:13" hidden="1" outlineLevel="1">
      <c r="A64" s="367" t="s">
        <v>668</v>
      </c>
      <c r="B64" s="367" t="s">
        <v>669</v>
      </c>
      <c r="C64" s="367" t="s">
        <v>802</v>
      </c>
      <c r="D64" s="463" t="s">
        <v>798</v>
      </c>
      <c r="E64" s="367" t="s">
        <v>685</v>
      </c>
      <c r="F64" s="367" t="s">
        <v>686</v>
      </c>
      <c r="G64" s="367" t="s">
        <v>803</v>
      </c>
      <c r="H64" s="367" t="s">
        <v>669</v>
      </c>
      <c r="I64" s="464"/>
      <c r="J64" s="464">
        <v>147059</v>
      </c>
      <c r="K64" s="464">
        <v>0</v>
      </c>
      <c r="L64" s="464">
        <v>12195138.57</v>
      </c>
      <c r="M64" s="464"/>
    </row>
    <row r="65" spans="1:13" collapsed="1">
      <c r="A65" s="461" t="s">
        <v>804</v>
      </c>
      <c r="B65" s="461"/>
      <c r="C65" s="461"/>
      <c r="D65" s="461"/>
      <c r="E65" s="461"/>
      <c r="F65" s="461"/>
      <c r="G65" s="461"/>
      <c r="H65" s="461"/>
      <c r="I65" s="462">
        <v>0</v>
      </c>
      <c r="J65" s="462">
        <v>15228375.52</v>
      </c>
      <c r="K65" s="462">
        <v>0</v>
      </c>
      <c r="L65" s="461"/>
      <c r="M65" s="462">
        <v>15228375.52</v>
      </c>
    </row>
    <row r="66" spans="1:13" hidden="1" outlineLevel="1">
      <c r="A66" s="367" t="s">
        <v>805</v>
      </c>
      <c r="B66" s="367" t="s">
        <v>806</v>
      </c>
      <c r="C66" s="367" t="s">
        <v>807</v>
      </c>
      <c r="D66" s="463" t="s">
        <v>808</v>
      </c>
      <c r="E66" s="367" t="s">
        <v>809</v>
      </c>
      <c r="F66" s="367" t="s">
        <v>810</v>
      </c>
      <c r="G66" s="367" t="s">
        <v>811</v>
      </c>
      <c r="H66" s="367" t="s">
        <v>806</v>
      </c>
      <c r="I66" s="464"/>
      <c r="J66" s="464">
        <v>366800</v>
      </c>
      <c r="K66" s="464">
        <v>0</v>
      </c>
      <c r="L66" s="464">
        <v>366800</v>
      </c>
      <c r="M66" s="464"/>
    </row>
    <row r="67" spans="1:13" hidden="1" outlineLevel="1">
      <c r="A67" s="367" t="s">
        <v>805</v>
      </c>
      <c r="B67" s="367" t="s">
        <v>806</v>
      </c>
      <c r="C67" s="367" t="s">
        <v>807</v>
      </c>
      <c r="D67" s="463" t="s">
        <v>808</v>
      </c>
      <c r="E67" s="367" t="s">
        <v>809</v>
      </c>
      <c r="F67" s="367" t="s">
        <v>810</v>
      </c>
      <c r="G67" s="367" t="s">
        <v>811</v>
      </c>
      <c r="H67" s="367" t="s">
        <v>806</v>
      </c>
      <c r="I67" s="464"/>
      <c r="J67" s="464">
        <v>14873.95</v>
      </c>
      <c r="K67" s="464">
        <v>0</v>
      </c>
      <c r="L67" s="464">
        <v>381673.95</v>
      </c>
      <c r="M67" s="464"/>
    </row>
    <row r="68" spans="1:13" hidden="1" outlineLevel="1">
      <c r="A68" s="367" t="s">
        <v>805</v>
      </c>
      <c r="B68" s="367" t="s">
        <v>806</v>
      </c>
      <c r="C68" s="367" t="s">
        <v>807</v>
      </c>
      <c r="D68" s="463" t="s">
        <v>808</v>
      </c>
      <c r="E68" s="367" t="s">
        <v>809</v>
      </c>
      <c r="F68" s="367" t="s">
        <v>810</v>
      </c>
      <c r="G68" s="367" t="s">
        <v>811</v>
      </c>
      <c r="H68" s="367" t="s">
        <v>806</v>
      </c>
      <c r="I68" s="464"/>
      <c r="J68" s="464">
        <v>45000</v>
      </c>
      <c r="K68" s="464">
        <v>0</v>
      </c>
      <c r="L68" s="464">
        <v>426673.95</v>
      </c>
      <c r="M68" s="464"/>
    </row>
    <row r="69" spans="1:13" hidden="1" outlineLevel="1">
      <c r="A69" s="367" t="s">
        <v>805</v>
      </c>
      <c r="B69" s="367" t="s">
        <v>806</v>
      </c>
      <c r="C69" s="367" t="s">
        <v>812</v>
      </c>
      <c r="D69" s="463" t="s">
        <v>813</v>
      </c>
      <c r="E69" s="367" t="s">
        <v>690</v>
      </c>
      <c r="F69" s="367" t="s">
        <v>691</v>
      </c>
      <c r="G69" s="367" t="s">
        <v>814</v>
      </c>
      <c r="H69" s="367" t="s">
        <v>806</v>
      </c>
      <c r="I69" s="464"/>
      <c r="J69" s="464">
        <v>813190</v>
      </c>
      <c r="K69" s="464">
        <v>0</v>
      </c>
      <c r="L69" s="464">
        <v>1239863.95</v>
      </c>
      <c r="M69" s="464"/>
    </row>
    <row r="70" spans="1:13" hidden="1" outlineLevel="1">
      <c r="A70" s="367" t="s">
        <v>805</v>
      </c>
      <c r="B70" s="367" t="s">
        <v>806</v>
      </c>
      <c r="C70" s="367" t="s">
        <v>815</v>
      </c>
      <c r="D70" s="463" t="s">
        <v>813</v>
      </c>
      <c r="E70" s="367" t="s">
        <v>816</v>
      </c>
      <c r="F70" s="367" t="s">
        <v>817</v>
      </c>
      <c r="G70" s="367" t="s">
        <v>818</v>
      </c>
      <c r="H70" s="367" t="s">
        <v>806</v>
      </c>
      <c r="I70" s="464"/>
      <c r="J70" s="464">
        <v>567816</v>
      </c>
      <c r="K70" s="464">
        <v>0</v>
      </c>
      <c r="L70" s="464">
        <v>1807679.95</v>
      </c>
      <c r="M70" s="464"/>
    </row>
    <row r="71" spans="1:13" hidden="1" outlineLevel="1">
      <c r="A71" s="367" t="s">
        <v>805</v>
      </c>
      <c r="B71" s="367" t="s">
        <v>806</v>
      </c>
      <c r="C71" s="367" t="s">
        <v>819</v>
      </c>
      <c r="D71" s="463" t="s">
        <v>689</v>
      </c>
      <c r="E71" s="367" t="s">
        <v>809</v>
      </c>
      <c r="F71" s="367" t="s">
        <v>810</v>
      </c>
      <c r="G71" s="367" t="s">
        <v>806</v>
      </c>
      <c r="H71" s="367" t="s">
        <v>806</v>
      </c>
      <c r="I71" s="464"/>
      <c r="J71" s="464">
        <v>265322.69</v>
      </c>
      <c r="K71" s="464">
        <v>0</v>
      </c>
      <c r="L71" s="464">
        <v>2073002.64</v>
      </c>
      <c r="M71" s="464"/>
    </row>
    <row r="72" spans="1:13" hidden="1" outlineLevel="1">
      <c r="A72" s="367" t="s">
        <v>805</v>
      </c>
      <c r="B72" s="367" t="s">
        <v>806</v>
      </c>
      <c r="C72" s="367" t="s">
        <v>820</v>
      </c>
      <c r="D72" s="463" t="s">
        <v>689</v>
      </c>
      <c r="E72" s="367" t="s">
        <v>821</v>
      </c>
      <c r="F72" s="367" t="s">
        <v>822</v>
      </c>
      <c r="G72" s="367" t="s">
        <v>823</v>
      </c>
      <c r="H72" s="367" t="s">
        <v>806</v>
      </c>
      <c r="I72" s="464"/>
      <c r="J72" s="464">
        <v>277300</v>
      </c>
      <c r="K72" s="464">
        <v>0</v>
      </c>
      <c r="L72" s="464">
        <v>2350302.64</v>
      </c>
      <c r="M72" s="464"/>
    </row>
    <row r="73" spans="1:13" hidden="1" outlineLevel="1">
      <c r="A73" s="367" t="s">
        <v>805</v>
      </c>
      <c r="B73" s="367" t="s">
        <v>806</v>
      </c>
      <c r="C73" s="367" t="s">
        <v>824</v>
      </c>
      <c r="D73" s="463" t="s">
        <v>689</v>
      </c>
      <c r="E73" s="367" t="s">
        <v>821</v>
      </c>
      <c r="F73" s="367" t="s">
        <v>822</v>
      </c>
      <c r="G73" s="367" t="s">
        <v>825</v>
      </c>
      <c r="H73" s="367" t="s">
        <v>806</v>
      </c>
      <c r="I73" s="464"/>
      <c r="J73" s="464">
        <v>762870</v>
      </c>
      <c r="K73" s="464">
        <v>0</v>
      </c>
      <c r="L73" s="464">
        <v>3113172.64</v>
      </c>
      <c r="M73" s="464"/>
    </row>
    <row r="74" spans="1:13" hidden="1" outlineLevel="1">
      <c r="A74" s="367" t="s">
        <v>805</v>
      </c>
      <c r="B74" s="367" t="s">
        <v>806</v>
      </c>
      <c r="C74" s="367" t="s">
        <v>826</v>
      </c>
      <c r="D74" s="463" t="s">
        <v>689</v>
      </c>
      <c r="E74" s="367" t="s">
        <v>809</v>
      </c>
      <c r="F74" s="367" t="s">
        <v>810</v>
      </c>
      <c r="G74" s="367" t="s">
        <v>827</v>
      </c>
      <c r="H74" s="367" t="s">
        <v>806</v>
      </c>
      <c r="I74" s="464"/>
      <c r="J74" s="464">
        <v>335301.68</v>
      </c>
      <c r="K74" s="464">
        <v>0</v>
      </c>
      <c r="L74" s="464">
        <v>3448474.32</v>
      </c>
      <c r="M74" s="464"/>
    </row>
    <row r="75" spans="1:13" hidden="1" outlineLevel="1">
      <c r="A75" s="367" t="s">
        <v>805</v>
      </c>
      <c r="B75" s="367" t="s">
        <v>806</v>
      </c>
      <c r="C75" s="367" t="s">
        <v>828</v>
      </c>
      <c r="D75" s="463" t="s">
        <v>689</v>
      </c>
      <c r="E75" s="367" t="s">
        <v>809</v>
      </c>
      <c r="F75" s="367" t="s">
        <v>810</v>
      </c>
      <c r="G75" s="367" t="s">
        <v>806</v>
      </c>
      <c r="H75" s="367" t="s">
        <v>806</v>
      </c>
      <c r="I75" s="464"/>
      <c r="J75" s="464">
        <v>217301.68</v>
      </c>
      <c r="K75" s="464">
        <v>0</v>
      </c>
      <c r="L75" s="464">
        <v>3665776</v>
      </c>
      <c r="M75" s="464"/>
    </row>
    <row r="76" spans="1:13" hidden="1" outlineLevel="1">
      <c r="A76" s="367" t="s">
        <v>805</v>
      </c>
      <c r="B76" s="367" t="s">
        <v>806</v>
      </c>
      <c r="C76" s="367" t="s">
        <v>828</v>
      </c>
      <c r="D76" s="463" t="s">
        <v>689</v>
      </c>
      <c r="E76" s="367" t="s">
        <v>809</v>
      </c>
      <c r="F76" s="367" t="s">
        <v>810</v>
      </c>
      <c r="G76" s="367" t="s">
        <v>806</v>
      </c>
      <c r="H76" s="367" t="s">
        <v>806</v>
      </c>
      <c r="I76" s="464"/>
      <c r="J76" s="464">
        <v>20500</v>
      </c>
      <c r="K76" s="464">
        <v>0</v>
      </c>
      <c r="L76" s="464">
        <v>3686276</v>
      </c>
      <c r="M76" s="464"/>
    </row>
    <row r="77" spans="1:13" hidden="1" outlineLevel="1">
      <c r="A77" s="367" t="s">
        <v>805</v>
      </c>
      <c r="B77" s="367" t="s">
        <v>806</v>
      </c>
      <c r="C77" s="367" t="s">
        <v>826</v>
      </c>
      <c r="D77" s="463" t="s">
        <v>689</v>
      </c>
      <c r="E77" s="367" t="s">
        <v>809</v>
      </c>
      <c r="F77" s="367" t="s">
        <v>810</v>
      </c>
      <c r="G77" s="367" t="s">
        <v>806</v>
      </c>
      <c r="H77" s="367" t="s">
        <v>806</v>
      </c>
      <c r="I77" s="464"/>
      <c r="J77" s="464">
        <v>25200</v>
      </c>
      <c r="K77" s="464">
        <v>0</v>
      </c>
      <c r="L77" s="464">
        <v>3711476</v>
      </c>
      <c r="M77" s="464"/>
    </row>
    <row r="78" spans="1:13" hidden="1" outlineLevel="1">
      <c r="A78" s="367" t="s">
        <v>805</v>
      </c>
      <c r="B78" s="367" t="s">
        <v>806</v>
      </c>
      <c r="C78" s="367" t="s">
        <v>819</v>
      </c>
      <c r="D78" s="463" t="s">
        <v>689</v>
      </c>
      <c r="E78" s="367" t="s">
        <v>809</v>
      </c>
      <c r="F78" s="367" t="s">
        <v>810</v>
      </c>
      <c r="G78" s="367" t="s">
        <v>806</v>
      </c>
      <c r="H78" s="367" t="s">
        <v>806</v>
      </c>
      <c r="I78" s="464"/>
      <c r="J78" s="464">
        <v>20500</v>
      </c>
      <c r="K78" s="464">
        <v>0</v>
      </c>
      <c r="L78" s="464">
        <v>3731976</v>
      </c>
      <c r="M78" s="464"/>
    </row>
    <row r="79" spans="1:13" hidden="1" outlineLevel="1">
      <c r="A79" s="367" t="s">
        <v>805</v>
      </c>
      <c r="B79" s="367" t="s">
        <v>806</v>
      </c>
      <c r="C79" s="367" t="s">
        <v>829</v>
      </c>
      <c r="D79" s="463" t="s">
        <v>830</v>
      </c>
      <c r="E79" s="367" t="s">
        <v>816</v>
      </c>
      <c r="F79" s="367" t="s">
        <v>817</v>
      </c>
      <c r="G79" s="367" t="s">
        <v>831</v>
      </c>
      <c r="H79" s="367" t="s">
        <v>806</v>
      </c>
      <c r="I79" s="464"/>
      <c r="J79" s="464">
        <v>473280</v>
      </c>
      <c r="K79" s="464">
        <v>0</v>
      </c>
      <c r="L79" s="464">
        <v>4205256</v>
      </c>
      <c r="M79" s="464"/>
    </row>
    <row r="80" spans="1:13" hidden="1" outlineLevel="1">
      <c r="A80" s="367" t="s">
        <v>805</v>
      </c>
      <c r="B80" s="367" t="s">
        <v>806</v>
      </c>
      <c r="C80" s="367" t="s">
        <v>829</v>
      </c>
      <c r="D80" s="463" t="s">
        <v>830</v>
      </c>
      <c r="E80" s="367" t="s">
        <v>816</v>
      </c>
      <c r="F80" s="367" t="s">
        <v>817</v>
      </c>
      <c r="G80" s="367" t="s">
        <v>832</v>
      </c>
      <c r="H80" s="367" t="s">
        <v>806</v>
      </c>
      <c r="I80" s="464"/>
      <c r="J80" s="464">
        <v>242899</v>
      </c>
      <c r="K80" s="464">
        <v>0</v>
      </c>
      <c r="L80" s="464">
        <v>4448155</v>
      </c>
      <c r="M80" s="464"/>
    </row>
    <row r="81" spans="1:13" hidden="1" outlineLevel="1">
      <c r="A81" s="367" t="s">
        <v>805</v>
      </c>
      <c r="B81" s="367" t="s">
        <v>806</v>
      </c>
      <c r="C81" s="367" t="s">
        <v>829</v>
      </c>
      <c r="D81" s="463" t="s">
        <v>830</v>
      </c>
      <c r="E81" s="367" t="s">
        <v>816</v>
      </c>
      <c r="F81" s="367" t="s">
        <v>817</v>
      </c>
      <c r="G81" s="367" t="s">
        <v>833</v>
      </c>
      <c r="H81" s="367" t="s">
        <v>806</v>
      </c>
      <c r="I81" s="464"/>
      <c r="J81" s="464">
        <v>241555</v>
      </c>
      <c r="K81" s="464">
        <v>0</v>
      </c>
      <c r="L81" s="464">
        <v>4689710</v>
      </c>
      <c r="M81" s="464"/>
    </row>
    <row r="82" spans="1:13" hidden="1" outlineLevel="1">
      <c r="A82" s="367" t="s">
        <v>805</v>
      </c>
      <c r="B82" s="367" t="s">
        <v>806</v>
      </c>
      <c r="C82" s="367" t="s">
        <v>829</v>
      </c>
      <c r="D82" s="463" t="s">
        <v>830</v>
      </c>
      <c r="E82" s="367" t="s">
        <v>816</v>
      </c>
      <c r="F82" s="367" t="s">
        <v>817</v>
      </c>
      <c r="G82" s="367" t="s">
        <v>834</v>
      </c>
      <c r="H82" s="367" t="s">
        <v>806</v>
      </c>
      <c r="I82" s="464"/>
      <c r="J82" s="464">
        <v>220000</v>
      </c>
      <c r="K82" s="464">
        <v>0</v>
      </c>
      <c r="L82" s="464">
        <v>4909710</v>
      </c>
      <c r="M82" s="464"/>
    </row>
    <row r="83" spans="1:13" hidden="1" outlineLevel="1">
      <c r="A83" s="367" t="s">
        <v>805</v>
      </c>
      <c r="B83" s="367" t="s">
        <v>806</v>
      </c>
      <c r="C83" s="367" t="s">
        <v>829</v>
      </c>
      <c r="D83" s="463" t="s">
        <v>830</v>
      </c>
      <c r="E83" s="367" t="s">
        <v>816</v>
      </c>
      <c r="F83" s="367" t="s">
        <v>817</v>
      </c>
      <c r="G83" s="367" t="s">
        <v>835</v>
      </c>
      <c r="H83" s="367" t="s">
        <v>806</v>
      </c>
      <c r="I83" s="464"/>
      <c r="J83" s="464">
        <v>20500</v>
      </c>
      <c r="K83" s="464">
        <v>0</v>
      </c>
      <c r="L83" s="464">
        <v>4930210</v>
      </c>
      <c r="M83" s="464"/>
    </row>
    <row r="84" spans="1:13" hidden="1" outlineLevel="1">
      <c r="A84" s="367" t="s">
        <v>805</v>
      </c>
      <c r="B84" s="367" t="s">
        <v>806</v>
      </c>
      <c r="C84" s="367" t="s">
        <v>829</v>
      </c>
      <c r="D84" s="463" t="s">
        <v>830</v>
      </c>
      <c r="E84" s="367" t="s">
        <v>816</v>
      </c>
      <c r="F84" s="367" t="s">
        <v>817</v>
      </c>
      <c r="G84" s="367" t="s">
        <v>836</v>
      </c>
      <c r="H84" s="367" t="s">
        <v>806</v>
      </c>
      <c r="I84" s="464"/>
      <c r="J84" s="464">
        <v>25200</v>
      </c>
      <c r="K84" s="464">
        <v>0</v>
      </c>
      <c r="L84" s="464">
        <v>4955410</v>
      </c>
      <c r="M84" s="464"/>
    </row>
    <row r="85" spans="1:13" hidden="1" outlineLevel="1">
      <c r="A85" s="367" t="s">
        <v>805</v>
      </c>
      <c r="B85" s="367" t="s">
        <v>806</v>
      </c>
      <c r="C85" s="367" t="s">
        <v>829</v>
      </c>
      <c r="D85" s="463" t="s">
        <v>830</v>
      </c>
      <c r="E85" s="367" t="s">
        <v>816</v>
      </c>
      <c r="F85" s="367" t="s">
        <v>817</v>
      </c>
      <c r="G85" s="367" t="s">
        <v>837</v>
      </c>
      <c r="H85" s="367" t="s">
        <v>806</v>
      </c>
      <c r="I85" s="464"/>
      <c r="J85" s="464">
        <v>39600</v>
      </c>
      <c r="K85" s="464">
        <v>0</v>
      </c>
      <c r="L85" s="464">
        <v>4995010</v>
      </c>
      <c r="M85" s="464"/>
    </row>
    <row r="86" spans="1:13" hidden="1" outlineLevel="1">
      <c r="A86" s="367" t="s">
        <v>805</v>
      </c>
      <c r="B86" s="367" t="s">
        <v>806</v>
      </c>
      <c r="C86" s="367" t="s">
        <v>829</v>
      </c>
      <c r="D86" s="463" t="s">
        <v>830</v>
      </c>
      <c r="E86" s="367" t="s">
        <v>816</v>
      </c>
      <c r="F86" s="367" t="s">
        <v>817</v>
      </c>
      <c r="G86" s="367" t="s">
        <v>838</v>
      </c>
      <c r="H86" s="367" t="s">
        <v>806</v>
      </c>
      <c r="I86" s="464"/>
      <c r="J86" s="464">
        <v>100000</v>
      </c>
      <c r="K86" s="464">
        <v>0</v>
      </c>
      <c r="L86" s="464">
        <v>5095010</v>
      </c>
      <c r="M86" s="464"/>
    </row>
    <row r="87" spans="1:13" hidden="1" outlineLevel="1">
      <c r="A87" s="367" t="s">
        <v>805</v>
      </c>
      <c r="B87" s="367" t="s">
        <v>806</v>
      </c>
      <c r="C87" s="367" t="s">
        <v>839</v>
      </c>
      <c r="D87" s="463" t="s">
        <v>716</v>
      </c>
      <c r="E87" s="367" t="s">
        <v>816</v>
      </c>
      <c r="F87" s="367" t="s">
        <v>817</v>
      </c>
      <c r="G87" s="367" t="s">
        <v>840</v>
      </c>
      <c r="H87" s="367" t="s">
        <v>806</v>
      </c>
      <c r="I87" s="464"/>
      <c r="J87" s="464">
        <v>277689.90999999997</v>
      </c>
      <c r="K87" s="464">
        <v>0</v>
      </c>
      <c r="L87" s="464">
        <v>5372699.9100000001</v>
      </c>
      <c r="M87" s="464"/>
    </row>
    <row r="88" spans="1:13" hidden="1" outlineLevel="1">
      <c r="A88" s="367" t="s">
        <v>805</v>
      </c>
      <c r="B88" s="367" t="s">
        <v>806</v>
      </c>
      <c r="C88" s="367" t="s">
        <v>841</v>
      </c>
      <c r="D88" s="463" t="s">
        <v>716</v>
      </c>
      <c r="E88" s="367" t="s">
        <v>816</v>
      </c>
      <c r="F88" s="367" t="s">
        <v>817</v>
      </c>
      <c r="G88" s="367" t="s">
        <v>842</v>
      </c>
      <c r="H88" s="367" t="s">
        <v>806</v>
      </c>
      <c r="I88" s="464"/>
      <c r="J88" s="464">
        <v>697648</v>
      </c>
      <c r="K88" s="464">
        <v>0</v>
      </c>
      <c r="L88" s="464">
        <v>6070347.9100000001</v>
      </c>
      <c r="M88" s="464"/>
    </row>
    <row r="89" spans="1:13" hidden="1" outlineLevel="1">
      <c r="A89" s="367" t="s">
        <v>805</v>
      </c>
      <c r="B89" s="367" t="s">
        <v>806</v>
      </c>
      <c r="C89" s="367" t="s">
        <v>841</v>
      </c>
      <c r="D89" s="463" t="s">
        <v>716</v>
      </c>
      <c r="E89" s="367" t="s">
        <v>816</v>
      </c>
      <c r="F89" s="367" t="s">
        <v>817</v>
      </c>
      <c r="G89" s="367" t="s">
        <v>843</v>
      </c>
      <c r="H89" s="367" t="s">
        <v>806</v>
      </c>
      <c r="I89" s="464"/>
      <c r="J89" s="464">
        <v>50000</v>
      </c>
      <c r="K89" s="464">
        <v>0</v>
      </c>
      <c r="L89" s="464">
        <v>6120347.9100000001</v>
      </c>
      <c r="M89" s="464"/>
    </row>
    <row r="90" spans="1:13" hidden="1" outlineLevel="1">
      <c r="A90" s="367" t="s">
        <v>805</v>
      </c>
      <c r="B90" s="367" t="s">
        <v>806</v>
      </c>
      <c r="C90" s="367" t="s">
        <v>839</v>
      </c>
      <c r="D90" s="463" t="s">
        <v>716</v>
      </c>
      <c r="E90" s="367" t="s">
        <v>816</v>
      </c>
      <c r="F90" s="367" t="s">
        <v>817</v>
      </c>
      <c r="G90" s="367" t="s">
        <v>844</v>
      </c>
      <c r="H90" s="367" t="s">
        <v>806</v>
      </c>
      <c r="I90" s="464"/>
      <c r="J90" s="464">
        <v>302732</v>
      </c>
      <c r="K90" s="464">
        <v>0</v>
      </c>
      <c r="L90" s="464">
        <v>6423079.9100000001</v>
      </c>
      <c r="M90" s="464"/>
    </row>
    <row r="91" spans="1:13" hidden="1" outlineLevel="1">
      <c r="A91" s="367" t="s">
        <v>805</v>
      </c>
      <c r="B91" s="367" t="s">
        <v>806</v>
      </c>
      <c r="C91" s="367" t="s">
        <v>839</v>
      </c>
      <c r="D91" s="463" t="s">
        <v>716</v>
      </c>
      <c r="E91" s="367" t="s">
        <v>816</v>
      </c>
      <c r="F91" s="367" t="s">
        <v>817</v>
      </c>
      <c r="G91" s="367" t="s">
        <v>843</v>
      </c>
      <c r="H91" s="367" t="s">
        <v>806</v>
      </c>
      <c r="I91" s="464"/>
      <c r="J91" s="464">
        <v>50000</v>
      </c>
      <c r="K91" s="464">
        <v>0</v>
      </c>
      <c r="L91" s="464">
        <v>6473079.9100000001</v>
      </c>
      <c r="M91" s="464"/>
    </row>
    <row r="92" spans="1:13" hidden="1" outlineLevel="1">
      <c r="A92" s="367" t="s">
        <v>805</v>
      </c>
      <c r="B92" s="367" t="s">
        <v>806</v>
      </c>
      <c r="C92" s="367" t="s">
        <v>841</v>
      </c>
      <c r="D92" s="463" t="s">
        <v>716</v>
      </c>
      <c r="E92" s="367" t="s">
        <v>816</v>
      </c>
      <c r="F92" s="367" t="s">
        <v>817</v>
      </c>
      <c r="G92" s="367" t="s">
        <v>845</v>
      </c>
      <c r="H92" s="367" t="s">
        <v>806</v>
      </c>
      <c r="I92" s="464"/>
      <c r="J92" s="464">
        <v>20500</v>
      </c>
      <c r="K92" s="464">
        <v>0</v>
      </c>
      <c r="L92" s="464">
        <v>6493579.9100000001</v>
      </c>
      <c r="M92" s="464"/>
    </row>
    <row r="93" spans="1:13" hidden="1" outlineLevel="1">
      <c r="A93" s="367" t="s">
        <v>805</v>
      </c>
      <c r="B93" s="367" t="s">
        <v>806</v>
      </c>
      <c r="C93" s="367" t="s">
        <v>841</v>
      </c>
      <c r="D93" s="463" t="s">
        <v>716</v>
      </c>
      <c r="E93" s="367" t="s">
        <v>816</v>
      </c>
      <c r="F93" s="367" t="s">
        <v>817</v>
      </c>
      <c r="G93" s="367" t="s">
        <v>846</v>
      </c>
      <c r="H93" s="367" t="s">
        <v>806</v>
      </c>
      <c r="I93" s="464"/>
      <c r="J93" s="464">
        <v>19800</v>
      </c>
      <c r="K93" s="464">
        <v>0</v>
      </c>
      <c r="L93" s="464">
        <v>6513379.9100000001</v>
      </c>
      <c r="M93" s="464"/>
    </row>
    <row r="94" spans="1:13" hidden="1" outlineLevel="1">
      <c r="A94" s="367" t="s">
        <v>805</v>
      </c>
      <c r="B94" s="367" t="s">
        <v>806</v>
      </c>
      <c r="C94" s="367" t="s">
        <v>839</v>
      </c>
      <c r="D94" s="463" t="s">
        <v>716</v>
      </c>
      <c r="E94" s="367" t="s">
        <v>816</v>
      </c>
      <c r="F94" s="367" t="s">
        <v>817</v>
      </c>
      <c r="G94" s="367" t="s">
        <v>847</v>
      </c>
      <c r="H94" s="367" t="s">
        <v>806</v>
      </c>
      <c r="I94" s="464"/>
      <c r="J94" s="464">
        <v>26000</v>
      </c>
      <c r="K94" s="464">
        <v>0</v>
      </c>
      <c r="L94" s="464">
        <v>6539379.9100000001</v>
      </c>
      <c r="M94" s="464"/>
    </row>
    <row r="95" spans="1:13" hidden="1" outlineLevel="1">
      <c r="A95" s="367" t="s">
        <v>805</v>
      </c>
      <c r="B95" s="367" t="s">
        <v>806</v>
      </c>
      <c r="C95" s="367" t="s">
        <v>839</v>
      </c>
      <c r="D95" s="463" t="s">
        <v>716</v>
      </c>
      <c r="E95" s="367" t="s">
        <v>816</v>
      </c>
      <c r="F95" s="367" t="s">
        <v>817</v>
      </c>
      <c r="G95" s="367" t="s">
        <v>846</v>
      </c>
      <c r="H95" s="367" t="s">
        <v>806</v>
      </c>
      <c r="I95" s="464"/>
      <c r="J95" s="464">
        <v>19800</v>
      </c>
      <c r="K95" s="464">
        <v>0</v>
      </c>
      <c r="L95" s="464">
        <v>6559179.9100000001</v>
      </c>
      <c r="M95" s="464"/>
    </row>
    <row r="96" spans="1:13" hidden="1" outlineLevel="1">
      <c r="A96" s="367" t="s">
        <v>805</v>
      </c>
      <c r="B96" s="367" t="s">
        <v>806</v>
      </c>
      <c r="C96" s="367" t="s">
        <v>841</v>
      </c>
      <c r="D96" s="463" t="s">
        <v>716</v>
      </c>
      <c r="E96" s="367" t="s">
        <v>816</v>
      </c>
      <c r="F96" s="367" t="s">
        <v>817</v>
      </c>
      <c r="G96" s="367" t="s">
        <v>848</v>
      </c>
      <c r="H96" s="367" t="s">
        <v>806</v>
      </c>
      <c r="I96" s="464"/>
      <c r="J96" s="464">
        <v>220000</v>
      </c>
      <c r="K96" s="464">
        <v>0</v>
      </c>
      <c r="L96" s="464">
        <v>6779179.9100000001</v>
      </c>
      <c r="M96" s="464"/>
    </row>
    <row r="97" spans="1:13" hidden="1" outlineLevel="1">
      <c r="A97" s="367" t="s">
        <v>805</v>
      </c>
      <c r="B97" s="367" t="s">
        <v>806</v>
      </c>
      <c r="C97" s="367" t="s">
        <v>849</v>
      </c>
      <c r="D97" s="463" t="s">
        <v>850</v>
      </c>
      <c r="E97" s="367" t="s">
        <v>809</v>
      </c>
      <c r="F97" s="367" t="s">
        <v>810</v>
      </c>
      <c r="G97" s="367" t="s">
        <v>851</v>
      </c>
      <c r="H97" s="367" t="s">
        <v>806</v>
      </c>
      <c r="I97" s="464"/>
      <c r="J97" s="464">
        <v>419400</v>
      </c>
      <c r="K97" s="464">
        <v>0</v>
      </c>
      <c r="L97" s="464">
        <v>7198579.9100000001</v>
      </c>
      <c r="M97" s="464"/>
    </row>
    <row r="98" spans="1:13" hidden="1" outlineLevel="1">
      <c r="A98" s="367" t="s">
        <v>805</v>
      </c>
      <c r="B98" s="367" t="s">
        <v>806</v>
      </c>
      <c r="C98" s="367" t="s">
        <v>849</v>
      </c>
      <c r="D98" s="463" t="s">
        <v>850</v>
      </c>
      <c r="E98" s="367" t="s">
        <v>809</v>
      </c>
      <c r="F98" s="367" t="s">
        <v>810</v>
      </c>
      <c r="G98" s="367" t="s">
        <v>806</v>
      </c>
      <c r="H98" s="367" t="s">
        <v>806</v>
      </c>
      <c r="I98" s="464"/>
      <c r="J98" s="464">
        <v>45700</v>
      </c>
      <c r="K98" s="464">
        <v>0</v>
      </c>
      <c r="L98" s="464">
        <v>7244279.9100000001</v>
      </c>
      <c r="M98" s="464"/>
    </row>
    <row r="99" spans="1:13" hidden="1" outlineLevel="1">
      <c r="A99" s="367" t="s">
        <v>805</v>
      </c>
      <c r="B99" s="367" t="s">
        <v>806</v>
      </c>
      <c r="C99" s="367" t="s">
        <v>849</v>
      </c>
      <c r="D99" s="463" t="s">
        <v>850</v>
      </c>
      <c r="E99" s="367" t="s">
        <v>809</v>
      </c>
      <c r="F99" s="367" t="s">
        <v>810</v>
      </c>
      <c r="G99" s="367" t="s">
        <v>806</v>
      </c>
      <c r="H99" s="367" t="s">
        <v>806</v>
      </c>
      <c r="I99" s="464"/>
      <c r="J99" s="464">
        <v>6722</v>
      </c>
      <c r="K99" s="464">
        <v>0</v>
      </c>
      <c r="L99" s="464">
        <v>7251001.9100000001</v>
      </c>
      <c r="M99" s="464"/>
    </row>
    <row r="100" spans="1:13" hidden="1" outlineLevel="1">
      <c r="A100" s="367" t="s">
        <v>805</v>
      </c>
      <c r="B100" s="367" t="s">
        <v>806</v>
      </c>
      <c r="C100" s="367" t="s">
        <v>852</v>
      </c>
      <c r="D100" s="463" t="s">
        <v>743</v>
      </c>
      <c r="E100" s="367" t="s">
        <v>816</v>
      </c>
      <c r="F100" s="367" t="s">
        <v>817</v>
      </c>
      <c r="G100" s="367" t="s">
        <v>853</v>
      </c>
      <c r="H100" s="367" t="s">
        <v>806</v>
      </c>
      <c r="I100" s="464"/>
      <c r="J100" s="464">
        <v>600170</v>
      </c>
      <c r="K100" s="464">
        <v>0</v>
      </c>
      <c r="L100" s="464">
        <v>7851171.9100000001</v>
      </c>
      <c r="M100" s="464"/>
    </row>
    <row r="101" spans="1:13" hidden="1" outlineLevel="1">
      <c r="A101" s="367" t="s">
        <v>805</v>
      </c>
      <c r="B101" s="367" t="s">
        <v>806</v>
      </c>
      <c r="C101" s="367" t="s">
        <v>852</v>
      </c>
      <c r="D101" s="463" t="s">
        <v>743</v>
      </c>
      <c r="E101" s="367" t="s">
        <v>816</v>
      </c>
      <c r="F101" s="367" t="s">
        <v>817</v>
      </c>
      <c r="G101" s="367" t="s">
        <v>854</v>
      </c>
      <c r="H101" s="367" t="s">
        <v>806</v>
      </c>
      <c r="I101" s="464"/>
      <c r="J101" s="464">
        <v>200000</v>
      </c>
      <c r="K101" s="464">
        <v>0</v>
      </c>
      <c r="L101" s="464">
        <v>8051171.9100000001</v>
      </c>
      <c r="M101" s="464"/>
    </row>
    <row r="102" spans="1:13" hidden="1" outlineLevel="1">
      <c r="A102" s="367" t="s">
        <v>805</v>
      </c>
      <c r="B102" s="367" t="s">
        <v>806</v>
      </c>
      <c r="C102" s="367" t="s">
        <v>852</v>
      </c>
      <c r="D102" s="463" t="s">
        <v>743</v>
      </c>
      <c r="E102" s="367" t="s">
        <v>816</v>
      </c>
      <c r="F102" s="367" t="s">
        <v>817</v>
      </c>
      <c r="G102" s="367" t="s">
        <v>855</v>
      </c>
      <c r="H102" s="367" t="s">
        <v>806</v>
      </c>
      <c r="I102" s="464"/>
      <c r="J102" s="464">
        <v>20500</v>
      </c>
      <c r="K102" s="464">
        <v>0</v>
      </c>
      <c r="L102" s="464">
        <v>8071671.9100000001</v>
      </c>
      <c r="M102" s="464"/>
    </row>
    <row r="103" spans="1:13" hidden="1" outlineLevel="1">
      <c r="A103" s="367" t="s">
        <v>805</v>
      </c>
      <c r="B103" s="367" t="s">
        <v>806</v>
      </c>
      <c r="C103" s="367" t="s">
        <v>852</v>
      </c>
      <c r="D103" s="463" t="s">
        <v>743</v>
      </c>
      <c r="E103" s="367" t="s">
        <v>816</v>
      </c>
      <c r="F103" s="367" t="s">
        <v>817</v>
      </c>
      <c r="G103" s="367" t="s">
        <v>856</v>
      </c>
      <c r="H103" s="367" t="s">
        <v>806</v>
      </c>
      <c r="I103" s="464"/>
      <c r="J103" s="464">
        <v>19800</v>
      </c>
      <c r="K103" s="464">
        <v>0</v>
      </c>
      <c r="L103" s="464">
        <v>8091471.9100000001</v>
      </c>
      <c r="M103" s="464"/>
    </row>
    <row r="104" spans="1:13" hidden="1" outlineLevel="1">
      <c r="A104" s="367" t="s">
        <v>805</v>
      </c>
      <c r="B104" s="367" t="s">
        <v>806</v>
      </c>
      <c r="C104" s="367" t="s">
        <v>852</v>
      </c>
      <c r="D104" s="463" t="s">
        <v>743</v>
      </c>
      <c r="E104" s="367" t="s">
        <v>816</v>
      </c>
      <c r="F104" s="367" t="s">
        <v>817</v>
      </c>
      <c r="G104" s="367" t="s">
        <v>857</v>
      </c>
      <c r="H104" s="367" t="s">
        <v>806</v>
      </c>
      <c r="I104" s="464"/>
      <c r="J104" s="464">
        <v>50000</v>
      </c>
      <c r="K104" s="464">
        <v>0</v>
      </c>
      <c r="L104" s="464">
        <v>8141471.9100000001</v>
      </c>
      <c r="M104" s="464"/>
    </row>
    <row r="105" spans="1:13" hidden="1" outlineLevel="1">
      <c r="A105" s="367" t="s">
        <v>805</v>
      </c>
      <c r="B105" s="367" t="s">
        <v>806</v>
      </c>
      <c r="C105" s="367" t="s">
        <v>858</v>
      </c>
      <c r="D105" s="463" t="s">
        <v>859</v>
      </c>
      <c r="E105" s="367" t="s">
        <v>809</v>
      </c>
      <c r="F105" s="367" t="s">
        <v>810</v>
      </c>
      <c r="G105" s="367" t="s">
        <v>860</v>
      </c>
      <c r="H105" s="367" t="s">
        <v>806</v>
      </c>
      <c r="I105" s="464"/>
      <c r="J105" s="464">
        <v>567420</v>
      </c>
      <c r="K105" s="464">
        <v>0</v>
      </c>
      <c r="L105" s="464">
        <v>8708891.9100000001</v>
      </c>
      <c r="M105" s="464"/>
    </row>
    <row r="106" spans="1:13" hidden="1" outlineLevel="1">
      <c r="A106" s="367" t="s">
        <v>805</v>
      </c>
      <c r="B106" s="367" t="s">
        <v>806</v>
      </c>
      <c r="C106" s="367" t="s">
        <v>861</v>
      </c>
      <c r="D106" s="463" t="s">
        <v>859</v>
      </c>
      <c r="E106" s="367" t="s">
        <v>862</v>
      </c>
      <c r="F106" s="367" t="s">
        <v>863</v>
      </c>
      <c r="G106" s="367" t="s">
        <v>864</v>
      </c>
      <c r="H106" s="367" t="s">
        <v>806</v>
      </c>
      <c r="I106" s="464"/>
      <c r="J106" s="464">
        <v>223650</v>
      </c>
      <c r="K106" s="464">
        <v>0</v>
      </c>
      <c r="L106" s="464">
        <v>8932541.9100000001</v>
      </c>
      <c r="M106" s="464"/>
    </row>
    <row r="107" spans="1:13" hidden="1" outlineLevel="1">
      <c r="A107" s="367" t="s">
        <v>805</v>
      </c>
      <c r="B107" s="367" t="s">
        <v>806</v>
      </c>
      <c r="C107" s="367" t="s">
        <v>865</v>
      </c>
      <c r="D107" s="463" t="s">
        <v>866</v>
      </c>
      <c r="E107" s="367" t="s">
        <v>816</v>
      </c>
      <c r="F107" s="367" t="s">
        <v>817</v>
      </c>
      <c r="G107" s="367" t="s">
        <v>867</v>
      </c>
      <c r="H107" s="367" t="s">
        <v>806</v>
      </c>
      <c r="I107" s="464"/>
      <c r="J107" s="464">
        <v>227773</v>
      </c>
      <c r="K107" s="464">
        <v>0</v>
      </c>
      <c r="L107" s="464">
        <v>9160314.9100000001</v>
      </c>
      <c r="M107" s="464"/>
    </row>
    <row r="108" spans="1:13" hidden="1" outlineLevel="1">
      <c r="A108" s="367" t="s">
        <v>805</v>
      </c>
      <c r="B108" s="367" t="s">
        <v>806</v>
      </c>
      <c r="C108" s="367" t="s">
        <v>865</v>
      </c>
      <c r="D108" s="463" t="s">
        <v>866</v>
      </c>
      <c r="E108" s="367" t="s">
        <v>816</v>
      </c>
      <c r="F108" s="367" t="s">
        <v>817</v>
      </c>
      <c r="G108" s="367" t="s">
        <v>868</v>
      </c>
      <c r="H108" s="367" t="s">
        <v>806</v>
      </c>
      <c r="I108" s="464"/>
      <c r="J108" s="464">
        <v>372059</v>
      </c>
      <c r="K108" s="464">
        <v>0</v>
      </c>
      <c r="L108" s="464">
        <v>9532373.9100000001</v>
      </c>
      <c r="M108" s="464"/>
    </row>
    <row r="109" spans="1:13" hidden="1" outlineLevel="1">
      <c r="A109" s="367" t="s">
        <v>805</v>
      </c>
      <c r="B109" s="367" t="s">
        <v>806</v>
      </c>
      <c r="C109" s="367" t="s">
        <v>865</v>
      </c>
      <c r="D109" s="463" t="s">
        <v>866</v>
      </c>
      <c r="E109" s="367" t="s">
        <v>816</v>
      </c>
      <c r="F109" s="367" t="s">
        <v>817</v>
      </c>
      <c r="G109" s="367" t="s">
        <v>869</v>
      </c>
      <c r="H109" s="367" t="s">
        <v>806</v>
      </c>
      <c r="I109" s="464"/>
      <c r="J109" s="464">
        <v>21200</v>
      </c>
      <c r="K109" s="464">
        <v>0</v>
      </c>
      <c r="L109" s="464">
        <v>9553573.9100000001</v>
      </c>
      <c r="M109" s="464"/>
    </row>
    <row r="110" spans="1:13" hidden="1" outlineLevel="1">
      <c r="A110" s="367" t="s">
        <v>805</v>
      </c>
      <c r="B110" s="367" t="s">
        <v>806</v>
      </c>
      <c r="C110" s="367" t="s">
        <v>865</v>
      </c>
      <c r="D110" s="463" t="s">
        <v>866</v>
      </c>
      <c r="E110" s="367" t="s">
        <v>816</v>
      </c>
      <c r="F110" s="367" t="s">
        <v>817</v>
      </c>
      <c r="G110" s="367" t="s">
        <v>870</v>
      </c>
      <c r="H110" s="367" t="s">
        <v>806</v>
      </c>
      <c r="I110" s="464"/>
      <c r="J110" s="464">
        <v>20500</v>
      </c>
      <c r="K110" s="464">
        <v>0</v>
      </c>
      <c r="L110" s="464">
        <v>9574073.9100000001</v>
      </c>
      <c r="M110" s="464"/>
    </row>
    <row r="111" spans="1:13" hidden="1" outlineLevel="1">
      <c r="A111" s="367" t="s">
        <v>805</v>
      </c>
      <c r="B111" s="367" t="s">
        <v>806</v>
      </c>
      <c r="C111" s="367" t="s">
        <v>865</v>
      </c>
      <c r="D111" s="463" t="s">
        <v>866</v>
      </c>
      <c r="E111" s="367" t="s">
        <v>816</v>
      </c>
      <c r="F111" s="367" t="s">
        <v>817</v>
      </c>
      <c r="G111" s="367" t="s">
        <v>871</v>
      </c>
      <c r="H111" s="367" t="s">
        <v>806</v>
      </c>
      <c r="I111" s="464"/>
      <c r="J111" s="464">
        <v>50000</v>
      </c>
      <c r="K111" s="464">
        <v>0</v>
      </c>
      <c r="L111" s="464">
        <v>9624073.9100000001</v>
      </c>
      <c r="M111" s="464"/>
    </row>
    <row r="112" spans="1:13" hidden="1" outlineLevel="1">
      <c r="A112" s="367" t="s">
        <v>805</v>
      </c>
      <c r="B112" s="367" t="s">
        <v>806</v>
      </c>
      <c r="C112" s="367" t="s">
        <v>872</v>
      </c>
      <c r="D112" s="463" t="s">
        <v>873</v>
      </c>
      <c r="E112" s="367" t="s">
        <v>816</v>
      </c>
      <c r="F112" s="367" t="s">
        <v>817</v>
      </c>
      <c r="G112" s="367" t="s">
        <v>868</v>
      </c>
      <c r="H112" s="367" t="s">
        <v>806</v>
      </c>
      <c r="I112" s="464"/>
      <c r="J112" s="464">
        <v>627060</v>
      </c>
      <c r="K112" s="464">
        <v>0</v>
      </c>
      <c r="L112" s="464">
        <v>10251133.91</v>
      </c>
      <c r="M112" s="464"/>
    </row>
    <row r="113" spans="1:13" hidden="1" outlineLevel="1">
      <c r="A113" s="367" t="s">
        <v>805</v>
      </c>
      <c r="B113" s="367" t="s">
        <v>806</v>
      </c>
      <c r="C113" s="367" t="s">
        <v>872</v>
      </c>
      <c r="D113" s="463" t="s">
        <v>873</v>
      </c>
      <c r="E113" s="367" t="s">
        <v>816</v>
      </c>
      <c r="F113" s="367" t="s">
        <v>817</v>
      </c>
      <c r="G113" s="367" t="s">
        <v>870</v>
      </c>
      <c r="H113" s="367" t="s">
        <v>806</v>
      </c>
      <c r="I113" s="464"/>
      <c r="J113" s="464">
        <v>20500</v>
      </c>
      <c r="K113" s="464">
        <v>0</v>
      </c>
      <c r="L113" s="464">
        <v>10271633.91</v>
      </c>
      <c r="M113" s="464"/>
    </row>
    <row r="114" spans="1:13" hidden="1" outlineLevel="1">
      <c r="A114" s="367" t="s">
        <v>805</v>
      </c>
      <c r="B114" s="367" t="s">
        <v>806</v>
      </c>
      <c r="C114" s="367" t="s">
        <v>872</v>
      </c>
      <c r="D114" s="463" t="s">
        <v>873</v>
      </c>
      <c r="E114" s="367" t="s">
        <v>816</v>
      </c>
      <c r="F114" s="367" t="s">
        <v>817</v>
      </c>
      <c r="G114" s="367" t="s">
        <v>874</v>
      </c>
      <c r="H114" s="367" t="s">
        <v>806</v>
      </c>
      <c r="I114" s="464"/>
      <c r="J114" s="464">
        <v>19800</v>
      </c>
      <c r="K114" s="464">
        <v>0</v>
      </c>
      <c r="L114" s="464">
        <v>10291433.91</v>
      </c>
      <c r="M114" s="464"/>
    </row>
    <row r="115" spans="1:13" hidden="1" outlineLevel="1">
      <c r="A115" s="367" t="s">
        <v>805</v>
      </c>
      <c r="B115" s="367" t="s">
        <v>806</v>
      </c>
      <c r="C115" s="367" t="s">
        <v>872</v>
      </c>
      <c r="D115" s="463" t="s">
        <v>873</v>
      </c>
      <c r="E115" s="367" t="s">
        <v>816</v>
      </c>
      <c r="F115" s="367" t="s">
        <v>817</v>
      </c>
      <c r="G115" s="367" t="s">
        <v>875</v>
      </c>
      <c r="H115" s="367" t="s">
        <v>806</v>
      </c>
      <c r="I115" s="464"/>
      <c r="J115" s="464">
        <v>50000</v>
      </c>
      <c r="K115" s="464">
        <v>0</v>
      </c>
      <c r="L115" s="464">
        <v>10341433.91</v>
      </c>
      <c r="M115" s="464"/>
    </row>
    <row r="116" spans="1:13" hidden="1" outlineLevel="1">
      <c r="A116" s="367" t="s">
        <v>805</v>
      </c>
      <c r="B116" s="367" t="s">
        <v>806</v>
      </c>
      <c r="C116" s="367" t="s">
        <v>876</v>
      </c>
      <c r="D116" s="463" t="s">
        <v>774</v>
      </c>
      <c r="E116" s="367" t="s">
        <v>809</v>
      </c>
      <c r="F116" s="367" t="s">
        <v>810</v>
      </c>
      <c r="G116" s="367" t="s">
        <v>877</v>
      </c>
      <c r="H116" s="367" t="s">
        <v>806</v>
      </c>
      <c r="I116" s="464"/>
      <c r="J116" s="464">
        <v>394100</v>
      </c>
      <c r="K116" s="464">
        <v>0</v>
      </c>
      <c r="L116" s="464">
        <v>10735533.91</v>
      </c>
      <c r="M116" s="464"/>
    </row>
    <row r="117" spans="1:13" hidden="1" outlineLevel="1">
      <c r="A117" s="367" t="s">
        <v>805</v>
      </c>
      <c r="B117" s="367" t="s">
        <v>806</v>
      </c>
      <c r="C117" s="367" t="s">
        <v>876</v>
      </c>
      <c r="D117" s="463" t="s">
        <v>774</v>
      </c>
      <c r="E117" s="367" t="s">
        <v>809</v>
      </c>
      <c r="F117" s="367" t="s">
        <v>810</v>
      </c>
      <c r="G117" s="367" t="s">
        <v>878</v>
      </c>
      <c r="H117" s="367" t="s">
        <v>806</v>
      </c>
      <c r="I117" s="464"/>
      <c r="J117" s="464">
        <v>45700</v>
      </c>
      <c r="K117" s="464">
        <v>0</v>
      </c>
      <c r="L117" s="464">
        <v>10781233.91</v>
      </c>
      <c r="M117" s="464"/>
    </row>
    <row r="118" spans="1:13" hidden="1" outlineLevel="1">
      <c r="A118" s="367" t="s">
        <v>805</v>
      </c>
      <c r="B118" s="367" t="s">
        <v>806</v>
      </c>
      <c r="C118" s="367" t="s">
        <v>876</v>
      </c>
      <c r="D118" s="463" t="s">
        <v>774</v>
      </c>
      <c r="E118" s="367" t="s">
        <v>809</v>
      </c>
      <c r="F118" s="367" t="s">
        <v>810</v>
      </c>
      <c r="G118" s="367" t="s">
        <v>879</v>
      </c>
      <c r="H118" s="367" t="s">
        <v>806</v>
      </c>
      <c r="I118" s="464"/>
      <c r="J118" s="464">
        <v>16806.72</v>
      </c>
      <c r="K118" s="464">
        <v>0</v>
      </c>
      <c r="L118" s="464">
        <v>10798040.630000001</v>
      </c>
      <c r="M118" s="464"/>
    </row>
    <row r="119" spans="1:13" hidden="1" outlineLevel="1">
      <c r="A119" s="367" t="s">
        <v>805</v>
      </c>
      <c r="B119" s="367" t="s">
        <v>806</v>
      </c>
      <c r="C119" s="367" t="s">
        <v>880</v>
      </c>
      <c r="D119" s="463" t="s">
        <v>881</v>
      </c>
      <c r="E119" s="367" t="s">
        <v>816</v>
      </c>
      <c r="F119" s="367" t="s">
        <v>817</v>
      </c>
      <c r="G119" s="367" t="s">
        <v>882</v>
      </c>
      <c r="H119" s="367" t="s">
        <v>806</v>
      </c>
      <c r="I119" s="464"/>
      <c r="J119" s="464">
        <v>885464</v>
      </c>
      <c r="K119" s="464">
        <v>0</v>
      </c>
      <c r="L119" s="464">
        <v>11683504.630000001</v>
      </c>
      <c r="M119" s="464"/>
    </row>
    <row r="120" spans="1:13" hidden="1" outlineLevel="1">
      <c r="A120" s="367" t="s">
        <v>805</v>
      </c>
      <c r="B120" s="367" t="s">
        <v>806</v>
      </c>
      <c r="C120" s="367" t="s">
        <v>883</v>
      </c>
      <c r="D120" s="463" t="s">
        <v>778</v>
      </c>
      <c r="E120" s="367" t="s">
        <v>816</v>
      </c>
      <c r="F120" s="367" t="s">
        <v>817</v>
      </c>
      <c r="G120" s="367" t="s">
        <v>806</v>
      </c>
      <c r="H120" s="367" t="s">
        <v>806</v>
      </c>
      <c r="I120" s="464"/>
      <c r="J120" s="464">
        <v>418737</v>
      </c>
      <c r="K120" s="464">
        <v>0</v>
      </c>
      <c r="L120" s="464">
        <v>12102241.630000001</v>
      </c>
      <c r="M120" s="464"/>
    </row>
    <row r="121" spans="1:13" hidden="1" outlineLevel="1">
      <c r="A121" s="367" t="s">
        <v>805</v>
      </c>
      <c r="B121" s="367" t="s">
        <v>806</v>
      </c>
      <c r="C121" s="367" t="s">
        <v>883</v>
      </c>
      <c r="D121" s="463" t="s">
        <v>778</v>
      </c>
      <c r="E121" s="367" t="s">
        <v>816</v>
      </c>
      <c r="F121" s="367" t="s">
        <v>817</v>
      </c>
      <c r="G121" s="367" t="s">
        <v>806</v>
      </c>
      <c r="H121" s="367" t="s">
        <v>806</v>
      </c>
      <c r="I121" s="464"/>
      <c r="J121" s="464">
        <v>41703</v>
      </c>
      <c r="K121" s="464">
        <v>0</v>
      </c>
      <c r="L121" s="464">
        <v>12143944.630000001</v>
      </c>
      <c r="M121" s="464"/>
    </row>
    <row r="122" spans="1:13" hidden="1" outlineLevel="1">
      <c r="A122" s="367" t="s">
        <v>805</v>
      </c>
      <c r="B122" s="367" t="s">
        <v>806</v>
      </c>
      <c r="C122" s="367" t="s">
        <v>884</v>
      </c>
      <c r="D122" s="463" t="s">
        <v>885</v>
      </c>
      <c r="E122" s="367" t="s">
        <v>816</v>
      </c>
      <c r="F122" s="367" t="s">
        <v>817</v>
      </c>
      <c r="G122" s="367" t="s">
        <v>886</v>
      </c>
      <c r="H122" s="367" t="s">
        <v>806</v>
      </c>
      <c r="I122" s="464"/>
      <c r="J122" s="464">
        <v>496472</v>
      </c>
      <c r="K122" s="464">
        <v>0</v>
      </c>
      <c r="L122" s="464">
        <v>12640416.630000001</v>
      </c>
      <c r="M122" s="464"/>
    </row>
    <row r="123" spans="1:13" hidden="1" outlineLevel="1">
      <c r="A123" s="367" t="s">
        <v>805</v>
      </c>
      <c r="B123" s="367" t="s">
        <v>806</v>
      </c>
      <c r="C123" s="367" t="s">
        <v>887</v>
      </c>
      <c r="D123" s="463" t="s">
        <v>885</v>
      </c>
      <c r="E123" s="367" t="s">
        <v>816</v>
      </c>
      <c r="F123" s="367" t="s">
        <v>817</v>
      </c>
      <c r="G123" s="367" t="s">
        <v>886</v>
      </c>
      <c r="H123" s="367" t="s">
        <v>806</v>
      </c>
      <c r="I123" s="464"/>
      <c r="J123" s="464">
        <v>1130504.2</v>
      </c>
      <c r="K123" s="464">
        <v>0</v>
      </c>
      <c r="L123" s="464">
        <v>13770920.83</v>
      </c>
      <c r="M123" s="464"/>
    </row>
    <row r="124" spans="1:13" hidden="1" outlineLevel="1">
      <c r="A124" s="367" t="s">
        <v>805</v>
      </c>
      <c r="B124" s="367" t="s">
        <v>806</v>
      </c>
      <c r="C124" s="367" t="s">
        <v>887</v>
      </c>
      <c r="D124" s="463" t="s">
        <v>885</v>
      </c>
      <c r="E124" s="367" t="s">
        <v>816</v>
      </c>
      <c r="F124" s="367" t="s">
        <v>817</v>
      </c>
      <c r="G124" s="367" t="s">
        <v>806</v>
      </c>
      <c r="H124" s="367" t="s">
        <v>806</v>
      </c>
      <c r="I124" s="464"/>
      <c r="J124" s="464">
        <v>41700</v>
      </c>
      <c r="K124" s="464">
        <v>0</v>
      </c>
      <c r="L124" s="464">
        <v>13812620.83</v>
      </c>
      <c r="M124" s="464"/>
    </row>
    <row r="125" spans="1:13" hidden="1" outlineLevel="1">
      <c r="A125" s="367" t="s">
        <v>805</v>
      </c>
      <c r="B125" s="367" t="s">
        <v>806</v>
      </c>
      <c r="C125" s="367" t="s">
        <v>884</v>
      </c>
      <c r="D125" s="463" t="s">
        <v>885</v>
      </c>
      <c r="E125" s="367" t="s">
        <v>816</v>
      </c>
      <c r="F125" s="367" t="s">
        <v>817</v>
      </c>
      <c r="G125" s="367" t="s">
        <v>806</v>
      </c>
      <c r="H125" s="367" t="s">
        <v>806</v>
      </c>
      <c r="I125" s="464"/>
      <c r="J125" s="464">
        <v>47200</v>
      </c>
      <c r="K125" s="464">
        <v>0</v>
      </c>
      <c r="L125" s="464">
        <v>13859820.83</v>
      </c>
      <c r="M125" s="464"/>
    </row>
    <row r="126" spans="1:13" hidden="1" outlineLevel="1">
      <c r="A126" s="367" t="s">
        <v>805</v>
      </c>
      <c r="B126" s="367" t="s">
        <v>806</v>
      </c>
      <c r="C126" s="367" t="s">
        <v>888</v>
      </c>
      <c r="D126" s="463" t="s">
        <v>795</v>
      </c>
      <c r="E126" s="367" t="s">
        <v>816</v>
      </c>
      <c r="F126" s="367" t="s">
        <v>817</v>
      </c>
      <c r="G126" s="367" t="s">
        <v>889</v>
      </c>
      <c r="H126" s="367" t="s">
        <v>806</v>
      </c>
      <c r="I126" s="464"/>
      <c r="J126" s="464">
        <v>41700</v>
      </c>
      <c r="K126" s="464">
        <v>0</v>
      </c>
      <c r="L126" s="464">
        <v>13901520.83</v>
      </c>
      <c r="M126" s="464"/>
    </row>
    <row r="127" spans="1:13" hidden="1" outlineLevel="1">
      <c r="A127" s="367" t="s">
        <v>805</v>
      </c>
      <c r="B127" s="367" t="s">
        <v>806</v>
      </c>
      <c r="C127" s="367" t="s">
        <v>888</v>
      </c>
      <c r="D127" s="463" t="s">
        <v>795</v>
      </c>
      <c r="E127" s="367" t="s">
        <v>816</v>
      </c>
      <c r="F127" s="367" t="s">
        <v>817</v>
      </c>
      <c r="G127" s="367" t="s">
        <v>889</v>
      </c>
      <c r="H127" s="367" t="s">
        <v>806</v>
      </c>
      <c r="I127" s="464"/>
      <c r="J127" s="464">
        <v>576722.68999999994</v>
      </c>
      <c r="K127" s="464">
        <v>0</v>
      </c>
      <c r="L127" s="464">
        <v>14478243.52</v>
      </c>
      <c r="M127" s="464"/>
    </row>
    <row r="128" spans="1:13" hidden="1" outlineLevel="1">
      <c r="A128" s="367" t="s">
        <v>805</v>
      </c>
      <c r="B128" s="367" t="s">
        <v>806</v>
      </c>
      <c r="C128" s="367" t="s">
        <v>890</v>
      </c>
      <c r="D128" s="463" t="s">
        <v>891</v>
      </c>
      <c r="E128" s="367" t="s">
        <v>816</v>
      </c>
      <c r="F128" s="367" t="s">
        <v>817</v>
      </c>
      <c r="G128" s="367" t="s">
        <v>892</v>
      </c>
      <c r="H128" s="367" t="s">
        <v>806</v>
      </c>
      <c r="I128" s="464"/>
      <c r="J128" s="464">
        <v>709832</v>
      </c>
      <c r="K128" s="464">
        <v>0</v>
      </c>
      <c r="L128" s="464">
        <v>15188075.52</v>
      </c>
      <c r="M128" s="464"/>
    </row>
    <row r="129" spans="1:13" hidden="1" outlineLevel="1">
      <c r="A129" s="367" t="s">
        <v>805</v>
      </c>
      <c r="B129" s="367" t="s">
        <v>806</v>
      </c>
      <c r="C129" s="367" t="s">
        <v>890</v>
      </c>
      <c r="D129" s="463" t="s">
        <v>891</v>
      </c>
      <c r="E129" s="367" t="s">
        <v>816</v>
      </c>
      <c r="F129" s="367" t="s">
        <v>817</v>
      </c>
      <c r="G129" s="367" t="s">
        <v>892</v>
      </c>
      <c r="H129" s="367" t="s">
        <v>806</v>
      </c>
      <c r="I129" s="464"/>
      <c r="J129" s="464">
        <v>40300</v>
      </c>
      <c r="K129" s="464">
        <v>0</v>
      </c>
      <c r="L129" s="464">
        <v>15228375.52</v>
      </c>
      <c r="M129" s="464"/>
    </row>
    <row r="130" spans="1:13" collapsed="1">
      <c r="A130" s="461" t="s">
        <v>893</v>
      </c>
      <c r="B130" s="461"/>
      <c r="C130" s="461"/>
      <c r="D130" s="461"/>
      <c r="E130" s="461"/>
      <c r="F130" s="461"/>
      <c r="G130" s="461"/>
      <c r="H130" s="461"/>
      <c r="I130" s="462">
        <v>0</v>
      </c>
      <c r="J130" s="462">
        <v>10870369.279999999</v>
      </c>
      <c r="K130" s="462">
        <v>1209480</v>
      </c>
      <c r="L130" s="461"/>
      <c r="M130" s="462">
        <v>9660889.2799999993</v>
      </c>
    </row>
    <row r="131" spans="1:13" hidden="1" outlineLevel="1">
      <c r="A131" s="367" t="s">
        <v>894</v>
      </c>
      <c r="B131" s="367" t="s">
        <v>895</v>
      </c>
      <c r="C131" s="367" t="s">
        <v>896</v>
      </c>
      <c r="D131" s="463" t="s">
        <v>897</v>
      </c>
      <c r="E131" s="367" t="s">
        <v>522</v>
      </c>
      <c r="F131" s="367" t="s">
        <v>523</v>
      </c>
      <c r="G131" s="367" t="s">
        <v>895</v>
      </c>
      <c r="H131" s="367" t="s">
        <v>895</v>
      </c>
      <c r="I131" s="464"/>
      <c r="J131" s="464">
        <v>122900</v>
      </c>
      <c r="K131" s="464">
        <v>0</v>
      </c>
      <c r="L131" s="464">
        <v>122900</v>
      </c>
      <c r="M131" s="464"/>
    </row>
    <row r="132" spans="1:13" hidden="1" outlineLevel="1">
      <c r="A132" s="367" t="s">
        <v>894</v>
      </c>
      <c r="B132" s="367" t="s">
        <v>895</v>
      </c>
      <c r="C132" s="367" t="s">
        <v>898</v>
      </c>
      <c r="D132" s="463" t="s">
        <v>676</v>
      </c>
      <c r="E132" s="367" t="s">
        <v>899</v>
      </c>
      <c r="F132" s="367" t="s">
        <v>900</v>
      </c>
      <c r="G132" s="367" t="s">
        <v>901</v>
      </c>
      <c r="H132" s="367" t="s">
        <v>895</v>
      </c>
      <c r="I132" s="464"/>
      <c r="J132" s="464">
        <v>90000</v>
      </c>
      <c r="K132" s="464">
        <v>0</v>
      </c>
      <c r="L132" s="464">
        <v>212900</v>
      </c>
      <c r="M132" s="464"/>
    </row>
    <row r="133" spans="1:13" hidden="1" outlineLevel="1">
      <c r="A133" s="367" t="s">
        <v>894</v>
      </c>
      <c r="B133" s="367" t="s">
        <v>895</v>
      </c>
      <c r="C133" s="367" t="s">
        <v>902</v>
      </c>
      <c r="D133" s="463" t="s">
        <v>676</v>
      </c>
      <c r="E133" s="367" t="s">
        <v>672</v>
      </c>
      <c r="F133" s="367" t="s">
        <v>673</v>
      </c>
      <c r="G133" s="367" t="s">
        <v>903</v>
      </c>
      <c r="H133" s="367" t="s">
        <v>895</v>
      </c>
      <c r="I133" s="464"/>
      <c r="J133" s="464">
        <v>447409</v>
      </c>
      <c r="K133" s="464">
        <v>0</v>
      </c>
      <c r="L133" s="464">
        <v>660309</v>
      </c>
      <c r="M133" s="464"/>
    </row>
    <row r="134" spans="1:13" hidden="1" outlineLevel="1">
      <c r="A134" s="367" t="s">
        <v>894</v>
      </c>
      <c r="B134" s="367" t="s">
        <v>895</v>
      </c>
      <c r="C134" s="367" t="s">
        <v>904</v>
      </c>
      <c r="D134" s="463" t="s">
        <v>676</v>
      </c>
      <c r="E134" s="367" t="s">
        <v>905</v>
      </c>
      <c r="F134" s="367" t="s">
        <v>906</v>
      </c>
      <c r="G134" s="367" t="s">
        <v>907</v>
      </c>
      <c r="H134" s="367" t="s">
        <v>895</v>
      </c>
      <c r="I134" s="464"/>
      <c r="J134" s="464">
        <v>18100</v>
      </c>
      <c r="K134" s="464">
        <v>0</v>
      </c>
      <c r="L134" s="464">
        <v>678409</v>
      </c>
      <c r="M134" s="464"/>
    </row>
    <row r="135" spans="1:13" hidden="1" outlineLevel="1">
      <c r="A135" s="367" t="s">
        <v>894</v>
      </c>
      <c r="B135" s="367" t="s">
        <v>895</v>
      </c>
      <c r="C135" s="367" t="s">
        <v>675</v>
      </c>
      <c r="D135" s="463" t="s">
        <v>676</v>
      </c>
      <c r="E135" s="367" t="s">
        <v>677</v>
      </c>
      <c r="F135" s="367" t="s">
        <v>678</v>
      </c>
      <c r="G135" s="367" t="s">
        <v>895</v>
      </c>
      <c r="H135" s="367" t="s">
        <v>895</v>
      </c>
      <c r="I135" s="464"/>
      <c r="J135" s="464">
        <v>283500</v>
      </c>
      <c r="K135" s="464">
        <v>0</v>
      </c>
      <c r="L135" s="464">
        <v>961909</v>
      </c>
      <c r="M135" s="464"/>
    </row>
    <row r="136" spans="1:13" hidden="1" outlineLevel="1">
      <c r="A136" s="367" t="s">
        <v>894</v>
      </c>
      <c r="B136" s="367" t="s">
        <v>895</v>
      </c>
      <c r="C136" s="367" t="s">
        <v>908</v>
      </c>
      <c r="D136" s="463" t="s">
        <v>813</v>
      </c>
      <c r="E136" s="367" t="s">
        <v>518</v>
      </c>
      <c r="F136" s="367" t="s">
        <v>519</v>
      </c>
      <c r="G136" s="367" t="s">
        <v>909</v>
      </c>
      <c r="H136" s="367" t="s">
        <v>895</v>
      </c>
      <c r="I136" s="464"/>
      <c r="J136" s="464">
        <v>115000</v>
      </c>
      <c r="K136" s="464">
        <v>0</v>
      </c>
      <c r="L136" s="464">
        <v>1076909</v>
      </c>
      <c r="M136" s="464"/>
    </row>
    <row r="137" spans="1:13" hidden="1" outlineLevel="1">
      <c r="A137" s="367" t="s">
        <v>894</v>
      </c>
      <c r="B137" s="367" t="s">
        <v>895</v>
      </c>
      <c r="C137" s="367" t="s">
        <v>910</v>
      </c>
      <c r="D137" s="463" t="s">
        <v>813</v>
      </c>
      <c r="E137" s="367" t="s">
        <v>911</v>
      </c>
      <c r="F137" s="367" t="s">
        <v>912</v>
      </c>
      <c r="G137" s="367" t="s">
        <v>913</v>
      </c>
      <c r="H137" s="367" t="s">
        <v>895</v>
      </c>
      <c r="I137" s="464"/>
      <c r="J137" s="464">
        <v>9200</v>
      </c>
      <c r="K137" s="464">
        <v>0</v>
      </c>
      <c r="L137" s="464">
        <v>1086109</v>
      </c>
      <c r="M137" s="464"/>
    </row>
    <row r="138" spans="1:13" hidden="1" outlineLevel="1">
      <c r="A138" s="367" t="s">
        <v>894</v>
      </c>
      <c r="B138" s="367" t="s">
        <v>895</v>
      </c>
      <c r="C138" s="367" t="s">
        <v>914</v>
      </c>
      <c r="D138" s="463" t="s">
        <v>684</v>
      </c>
      <c r="E138" s="367" t="s">
        <v>905</v>
      </c>
      <c r="F138" s="367" t="s">
        <v>906</v>
      </c>
      <c r="G138" s="367" t="s">
        <v>915</v>
      </c>
      <c r="H138" s="367" t="s">
        <v>895</v>
      </c>
      <c r="I138" s="464"/>
      <c r="J138" s="464">
        <v>15100</v>
      </c>
      <c r="K138" s="464">
        <v>0</v>
      </c>
      <c r="L138" s="464">
        <v>1101209</v>
      </c>
      <c r="M138" s="464"/>
    </row>
    <row r="139" spans="1:13" hidden="1" outlineLevel="1">
      <c r="A139" s="367" t="s">
        <v>894</v>
      </c>
      <c r="B139" s="367" t="s">
        <v>895</v>
      </c>
      <c r="C139" s="367" t="s">
        <v>916</v>
      </c>
      <c r="D139" s="463" t="s">
        <v>684</v>
      </c>
      <c r="E139" s="367" t="s">
        <v>917</v>
      </c>
      <c r="F139" s="367" t="s">
        <v>918</v>
      </c>
      <c r="G139" s="367" t="s">
        <v>919</v>
      </c>
      <c r="H139" s="367" t="s">
        <v>895</v>
      </c>
      <c r="I139" s="464"/>
      <c r="J139" s="464">
        <v>21800</v>
      </c>
      <c r="K139" s="464">
        <v>0</v>
      </c>
      <c r="L139" s="464">
        <v>1123009</v>
      </c>
      <c r="M139" s="464"/>
    </row>
    <row r="140" spans="1:13" hidden="1" outlineLevel="1">
      <c r="A140" s="367" t="s">
        <v>894</v>
      </c>
      <c r="B140" s="367" t="s">
        <v>895</v>
      </c>
      <c r="C140" s="367" t="s">
        <v>920</v>
      </c>
      <c r="D140" s="463" t="s">
        <v>684</v>
      </c>
      <c r="E140" s="367" t="s">
        <v>911</v>
      </c>
      <c r="F140" s="367" t="s">
        <v>912</v>
      </c>
      <c r="G140" s="367" t="s">
        <v>895</v>
      </c>
      <c r="H140" s="367" t="s">
        <v>895</v>
      </c>
      <c r="I140" s="464"/>
      <c r="J140" s="464">
        <v>18400</v>
      </c>
      <c r="K140" s="464">
        <v>0</v>
      </c>
      <c r="L140" s="464">
        <v>1141409</v>
      </c>
      <c r="M140" s="464"/>
    </row>
    <row r="141" spans="1:13" hidden="1" outlineLevel="1">
      <c r="A141" s="367" t="s">
        <v>894</v>
      </c>
      <c r="B141" s="367" t="s">
        <v>895</v>
      </c>
      <c r="C141" s="367" t="s">
        <v>921</v>
      </c>
      <c r="D141" s="463" t="s">
        <v>684</v>
      </c>
      <c r="E141" s="367" t="s">
        <v>922</v>
      </c>
      <c r="F141" s="367" t="s">
        <v>923</v>
      </c>
      <c r="G141" s="367" t="s">
        <v>924</v>
      </c>
      <c r="H141" s="367" t="s">
        <v>895</v>
      </c>
      <c r="I141" s="464"/>
      <c r="J141" s="464">
        <v>100000</v>
      </c>
      <c r="K141" s="464">
        <v>0</v>
      </c>
      <c r="L141" s="464">
        <v>1241409</v>
      </c>
      <c r="M141" s="464"/>
    </row>
    <row r="142" spans="1:13" hidden="1" outlineLevel="1">
      <c r="A142" s="367" t="s">
        <v>894</v>
      </c>
      <c r="B142" s="367" t="s">
        <v>895</v>
      </c>
      <c r="C142" s="367" t="s">
        <v>925</v>
      </c>
      <c r="D142" s="463" t="s">
        <v>684</v>
      </c>
      <c r="E142" s="367" t="s">
        <v>911</v>
      </c>
      <c r="F142" s="367" t="s">
        <v>912</v>
      </c>
      <c r="G142" s="367" t="s">
        <v>895</v>
      </c>
      <c r="H142" s="367" t="s">
        <v>895</v>
      </c>
      <c r="I142" s="464"/>
      <c r="J142" s="464">
        <v>18400</v>
      </c>
      <c r="K142" s="464">
        <v>0</v>
      </c>
      <c r="L142" s="464">
        <v>1259809</v>
      </c>
      <c r="M142" s="464"/>
    </row>
    <row r="143" spans="1:13" hidden="1" outlineLevel="1">
      <c r="A143" s="367" t="s">
        <v>894</v>
      </c>
      <c r="B143" s="367" t="s">
        <v>895</v>
      </c>
      <c r="C143" s="367" t="s">
        <v>926</v>
      </c>
      <c r="D143" s="463" t="s">
        <v>684</v>
      </c>
      <c r="E143" s="367" t="s">
        <v>708</v>
      </c>
      <c r="F143" s="367" t="s">
        <v>709</v>
      </c>
      <c r="G143" s="367" t="s">
        <v>927</v>
      </c>
      <c r="H143" s="367" t="s">
        <v>895</v>
      </c>
      <c r="I143" s="464"/>
      <c r="J143" s="464">
        <v>44000</v>
      </c>
      <c r="K143" s="464">
        <v>0</v>
      </c>
      <c r="L143" s="464">
        <v>1303809</v>
      </c>
      <c r="M143" s="464"/>
    </row>
    <row r="144" spans="1:13" hidden="1" outlineLevel="1">
      <c r="A144" s="367" t="s">
        <v>894</v>
      </c>
      <c r="B144" s="367" t="s">
        <v>895</v>
      </c>
      <c r="C144" s="367" t="s">
        <v>928</v>
      </c>
      <c r="D144" s="463" t="s">
        <v>929</v>
      </c>
      <c r="E144" s="367" t="s">
        <v>911</v>
      </c>
      <c r="F144" s="367" t="s">
        <v>912</v>
      </c>
      <c r="G144" s="367" t="s">
        <v>930</v>
      </c>
      <c r="H144" s="367" t="s">
        <v>895</v>
      </c>
      <c r="I144" s="464"/>
      <c r="J144" s="464">
        <v>9200</v>
      </c>
      <c r="K144" s="464">
        <v>0</v>
      </c>
      <c r="L144" s="464">
        <v>1313009</v>
      </c>
      <c r="M144" s="464"/>
    </row>
    <row r="145" spans="1:13" hidden="1" outlineLevel="1">
      <c r="A145" s="367" t="s">
        <v>894</v>
      </c>
      <c r="B145" s="367" t="s">
        <v>895</v>
      </c>
      <c r="C145" s="367" t="s">
        <v>931</v>
      </c>
      <c r="D145" s="463" t="s">
        <v>929</v>
      </c>
      <c r="E145" s="367" t="s">
        <v>932</v>
      </c>
      <c r="F145" s="367" t="s">
        <v>933</v>
      </c>
      <c r="G145" s="367" t="s">
        <v>934</v>
      </c>
      <c r="H145" s="367" t="s">
        <v>895</v>
      </c>
      <c r="I145" s="464"/>
      <c r="J145" s="464">
        <v>157016</v>
      </c>
      <c r="K145" s="464">
        <v>0</v>
      </c>
      <c r="L145" s="464">
        <v>1470025</v>
      </c>
      <c r="M145" s="464"/>
    </row>
    <row r="146" spans="1:13" hidden="1" outlineLevel="1">
      <c r="A146" s="367" t="s">
        <v>894</v>
      </c>
      <c r="B146" s="367" t="s">
        <v>895</v>
      </c>
      <c r="C146" s="367" t="s">
        <v>928</v>
      </c>
      <c r="D146" s="463" t="s">
        <v>929</v>
      </c>
      <c r="E146" s="367" t="s">
        <v>911</v>
      </c>
      <c r="F146" s="367" t="s">
        <v>912</v>
      </c>
      <c r="G146" s="367" t="s">
        <v>930</v>
      </c>
      <c r="H146" s="367" t="s">
        <v>895</v>
      </c>
      <c r="I146" s="464"/>
      <c r="J146" s="464">
        <v>9200</v>
      </c>
      <c r="K146" s="464">
        <v>0</v>
      </c>
      <c r="L146" s="464">
        <v>1479225</v>
      </c>
      <c r="M146" s="464"/>
    </row>
    <row r="147" spans="1:13" hidden="1" outlineLevel="1">
      <c r="A147" s="367" t="s">
        <v>894</v>
      </c>
      <c r="B147" s="367" t="s">
        <v>895</v>
      </c>
      <c r="C147" s="367" t="s">
        <v>935</v>
      </c>
      <c r="D147" s="463" t="s">
        <v>936</v>
      </c>
      <c r="E147" s="367" t="s">
        <v>917</v>
      </c>
      <c r="F147" s="367" t="s">
        <v>918</v>
      </c>
      <c r="G147" s="367" t="s">
        <v>895</v>
      </c>
      <c r="H147" s="367" t="s">
        <v>895</v>
      </c>
      <c r="I147" s="464"/>
      <c r="J147" s="464">
        <v>21800</v>
      </c>
      <c r="K147" s="464">
        <v>0</v>
      </c>
      <c r="L147" s="464">
        <v>1501025</v>
      </c>
      <c r="M147" s="464"/>
    </row>
    <row r="148" spans="1:13" hidden="1" outlineLevel="1">
      <c r="A148" s="367" t="s">
        <v>894</v>
      </c>
      <c r="B148" s="367" t="s">
        <v>895</v>
      </c>
      <c r="C148" s="367" t="s">
        <v>937</v>
      </c>
      <c r="D148" s="463" t="s">
        <v>936</v>
      </c>
      <c r="E148" s="367" t="s">
        <v>932</v>
      </c>
      <c r="F148" s="367" t="s">
        <v>933</v>
      </c>
      <c r="G148" s="367" t="s">
        <v>895</v>
      </c>
      <c r="H148" s="367" t="s">
        <v>895</v>
      </c>
      <c r="I148" s="464"/>
      <c r="J148" s="464">
        <v>113475</v>
      </c>
      <c r="K148" s="464">
        <v>0</v>
      </c>
      <c r="L148" s="464">
        <v>1614500</v>
      </c>
      <c r="M148" s="464"/>
    </row>
    <row r="149" spans="1:13" hidden="1" outlineLevel="1">
      <c r="A149" s="367" t="s">
        <v>894</v>
      </c>
      <c r="B149" s="367" t="s">
        <v>895</v>
      </c>
      <c r="C149" s="367" t="s">
        <v>938</v>
      </c>
      <c r="D149" s="463" t="s">
        <v>939</v>
      </c>
      <c r="E149" s="367" t="s">
        <v>522</v>
      </c>
      <c r="F149" s="367" t="s">
        <v>523</v>
      </c>
      <c r="G149" s="367" t="s">
        <v>940</v>
      </c>
      <c r="H149" s="367" t="s">
        <v>895</v>
      </c>
      <c r="I149" s="464"/>
      <c r="J149" s="464">
        <v>320000</v>
      </c>
      <c r="K149" s="464">
        <v>0</v>
      </c>
      <c r="L149" s="464">
        <v>1934500</v>
      </c>
      <c r="M149" s="464"/>
    </row>
    <row r="150" spans="1:13" hidden="1" outlineLevel="1">
      <c r="A150" s="367" t="s">
        <v>894</v>
      </c>
      <c r="B150" s="367" t="s">
        <v>895</v>
      </c>
      <c r="C150" s="367" t="s">
        <v>941</v>
      </c>
      <c r="D150" s="463" t="s">
        <v>939</v>
      </c>
      <c r="E150" s="367" t="s">
        <v>922</v>
      </c>
      <c r="F150" s="367" t="s">
        <v>923</v>
      </c>
      <c r="G150" s="367" t="s">
        <v>895</v>
      </c>
      <c r="H150" s="367" t="s">
        <v>895</v>
      </c>
      <c r="I150" s="464"/>
      <c r="J150" s="464">
        <v>100000</v>
      </c>
      <c r="K150" s="464">
        <v>0</v>
      </c>
      <c r="L150" s="464">
        <v>2034500</v>
      </c>
      <c r="M150" s="464"/>
    </row>
    <row r="151" spans="1:13" hidden="1" outlineLevel="1">
      <c r="A151" s="367" t="s">
        <v>894</v>
      </c>
      <c r="B151" s="367" t="s">
        <v>895</v>
      </c>
      <c r="C151" s="367" t="s">
        <v>942</v>
      </c>
      <c r="D151" s="463" t="s">
        <v>943</v>
      </c>
      <c r="E151" s="367" t="s">
        <v>911</v>
      </c>
      <c r="F151" s="367" t="s">
        <v>912</v>
      </c>
      <c r="G151" s="367" t="s">
        <v>944</v>
      </c>
      <c r="H151" s="367" t="s">
        <v>895</v>
      </c>
      <c r="I151" s="464"/>
      <c r="J151" s="464">
        <v>9200</v>
      </c>
      <c r="K151" s="464">
        <v>0</v>
      </c>
      <c r="L151" s="464">
        <v>2043700</v>
      </c>
      <c r="M151" s="464"/>
    </row>
    <row r="152" spans="1:13" hidden="1" outlineLevel="1">
      <c r="A152" s="367" t="s">
        <v>894</v>
      </c>
      <c r="B152" s="367" t="s">
        <v>895</v>
      </c>
      <c r="C152" s="367" t="s">
        <v>945</v>
      </c>
      <c r="D152" s="463" t="s">
        <v>943</v>
      </c>
      <c r="E152" s="367" t="s">
        <v>917</v>
      </c>
      <c r="F152" s="367" t="s">
        <v>918</v>
      </c>
      <c r="G152" s="367" t="s">
        <v>946</v>
      </c>
      <c r="H152" s="367" t="s">
        <v>895</v>
      </c>
      <c r="I152" s="464"/>
      <c r="J152" s="464">
        <v>14200</v>
      </c>
      <c r="K152" s="464">
        <v>0</v>
      </c>
      <c r="L152" s="464">
        <v>2057900</v>
      </c>
      <c r="M152" s="464"/>
    </row>
    <row r="153" spans="1:13" hidden="1" outlineLevel="1">
      <c r="A153" s="367" t="s">
        <v>894</v>
      </c>
      <c r="B153" s="367" t="s">
        <v>895</v>
      </c>
      <c r="C153" s="367" t="s">
        <v>947</v>
      </c>
      <c r="D153" s="463" t="s">
        <v>943</v>
      </c>
      <c r="E153" s="367" t="s">
        <v>905</v>
      </c>
      <c r="F153" s="367" t="s">
        <v>906</v>
      </c>
      <c r="G153" s="367" t="s">
        <v>948</v>
      </c>
      <c r="H153" s="367" t="s">
        <v>895</v>
      </c>
      <c r="I153" s="464"/>
      <c r="J153" s="464">
        <v>15100</v>
      </c>
      <c r="K153" s="464">
        <v>0</v>
      </c>
      <c r="L153" s="464">
        <v>2073000</v>
      </c>
      <c r="M153" s="464"/>
    </row>
    <row r="154" spans="1:13" hidden="1" outlineLevel="1">
      <c r="A154" s="367" t="s">
        <v>894</v>
      </c>
      <c r="B154" s="367" t="s">
        <v>895</v>
      </c>
      <c r="C154" s="367" t="s">
        <v>949</v>
      </c>
      <c r="D154" s="463" t="s">
        <v>943</v>
      </c>
      <c r="E154" s="367" t="s">
        <v>950</v>
      </c>
      <c r="F154" s="367" t="s">
        <v>951</v>
      </c>
      <c r="G154" s="367" t="s">
        <v>952</v>
      </c>
      <c r="H154" s="367" t="s">
        <v>895</v>
      </c>
      <c r="I154" s="464"/>
      <c r="J154" s="464">
        <v>26000</v>
      </c>
      <c r="K154" s="464">
        <v>0</v>
      </c>
      <c r="L154" s="464">
        <v>2099000</v>
      </c>
      <c r="M154" s="464"/>
    </row>
    <row r="155" spans="1:13" hidden="1" outlineLevel="1">
      <c r="A155" s="367" t="s">
        <v>894</v>
      </c>
      <c r="B155" s="367" t="s">
        <v>895</v>
      </c>
      <c r="C155" s="367" t="s">
        <v>947</v>
      </c>
      <c r="D155" s="463" t="s">
        <v>943</v>
      </c>
      <c r="E155" s="367" t="s">
        <v>905</v>
      </c>
      <c r="F155" s="367" t="s">
        <v>906</v>
      </c>
      <c r="G155" s="367" t="s">
        <v>948</v>
      </c>
      <c r="H155" s="367" t="s">
        <v>895</v>
      </c>
      <c r="I155" s="464"/>
      <c r="J155" s="464">
        <v>15100</v>
      </c>
      <c r="K155" s="464">
        <v>0</v>
      </c>
      <c r="L155" s="464">
        <v>2114100</v>
      </c>
      <c r="M155" s="464"/>
    </row>
    <row r="156" spans="1:13" hidden="1" outlineLevel="1">
      <c r="A156" s="367" t="s">
        <v>894</v>
      </c>
      <c r="B156" s="367" t="s">
        <v>895</v>
      </c>
      <c r="C156" s="367" t="s">
        <v>945</v>
      </c>
      <c r="D156" s="463" t="s">
        <v>943</v>
      </c>
      <c r="E156" s="367" t="s">
        <v>917</v>
      </c>
      <c r="F156" s="367" t="s">
        <v>918</v>
      </c>
      <c r="G156" s="367" t="s">
        <v>946</v>
      </c>
      <c r="H156" s="367" t="s">
        <v>895</v>
      </c>
      <c r="I156" s="464"/>
      <c r="J156" s="464">
        <v>14200</v>
      </c>
      <c r="K156" s="464">
        <v>0</v>
      </c>
      <c r="L156" s="464">
        <v>2128300</v>
      </c>
      <c r="M156" s="464"/>
    </row>
    <row r="157" spans="1:13" hidden="1" outlineLevel="1">
      <c r="A157" s="367" t="s">
        <v>894</v>
      </c>
      <c r="B157" s="367" t="s">
        <v>895</v>
      </c>
      <c r="C157" s="367" t="s">
        <v>942</v>
      </c>
      <c r="D157" s="463" t="s">
        <v>943</v>
      </c>
      <c r="E157" s="367" t="s">
        <v>911</v>
      </c>
      <c r="F157" s="367" t="s">
        <v>912</v>
      </c>
      <c r="G157" s="367" t="s">
        <v>953</v>
      </c>
      <c r="H157" s="367" t="s">
        <v>895</v>
      </c>
      <c r="I157" s="464"/>
      <c r="J157" s="464">
        <v>9200</v>
      </c>
      <c r="K157" s="464">
        <v>0</v>
      </c>
      <c r="L157" s="464">
        <v>2137500</v>
      </c>
      <c r="M157" s="464"/>
    </row>
    <row r="158" spans="1:13" hidden="1" outlineLevel="1">
      <c r="A158" s="367" t="s">
        <v>894</v>
      </c>
      <c r="B158" s="367" t="s">
        <v>895</v>
      </c>
      <c r="C158" s="367" t="s">
        <v>942</v>
      </c>
      <c r="D158" s="463" t="s">
        <v>943</v>
      </c>
      <c r="E158" s="367" t="s">
        <v>911</v>
      </c>
      <c r="F158" s="367" t="s">
        <v>912</v>
      </c>
      <c r="G158" s="367" t="s">
        <v>954</v>
      </c>
      <c r="H158" s="367" t="s">
        <v>895</v>
      </c>
      <c r="I158" s="464"/>
      <c r="J158" s="464">
        <v>9200</v>
      </c>
      <c r="K158" s="464">
        <v>0</v>
      </c>
      <c r="L158" s="464">
        <v>2146700</v>
      </c>
      <c r="M158" s="464"/>
    </row>
    <row r="159" spans="1:13" hidden="1" outlineLevel="1">
      <c r="A159" s="367" t="s">
        <v>894</v>
      </c>
      <c r="B159" s="367" t="s">
        <v>895</v>
      </c>
      <c r="C159" s="367" t="s">
        <v>942</v>
      </c>
      <c r="D159" s="463" t="s">
        <v>943</v>
      </c>
      <c r="E159" s="367" t="s">
        <v>911</v>
      </c>
      <c r="F159" s="367" t="s">
        <v>912</v>
      </c>
      <c r="G159" s="367" t="s">
        <v>955</v>
      </c>
      <c r="H159" s="367" t="s">
        <v>895</v>
      </c>
      <c r="I159" s="464"/>
      <c r="J159" s="464">
        <v>9200</v>
      </c>
      <c r="K159" s="464">
        <v>0</v>
      </c>
      <c r="L159" s="464">
        <v>2155900</v>
      </c>
      <c r="M159" s="464"/>
    </row>
    <row r="160" spans="1:13" hidden="1" outlineLevel="1">
      <c r="A160" s="367" t="s">
        <v>894</v>
      </c>
      <c r="B160" s="367" t="s">
        <v>895</v>
      </c>
      <c r="C160" s="367" t="s">
        <v>942</v>
      </c>
      <c r="D160" s="463" t="s">
        <v>943</v>
      </c>
      <c r="E160" s="367" t="s">
        <v>911</v>
      </c>
      <c r="F160" s="367" t="s">
        <v>912</v>
      </c>
      <c r="G160" s="367" t="s">
        <v>956</v>
      </c>
      <c r="H160" s="367" t="s">
        <v>895</v>
      </c>
      <c r="I160" s="464"/>
      <c r="J160" s="464">
        <v>9200</v>
      </c>
      <c r="K160" s="464">
        <v>0</v>
      </c>
      <c r="L160" s="464">
        <v>2165100</v>
      </c>
      <c r="M160" s="464"/>
    </row>
    <row r="161" spans="1:13" hidden="1" outlineLevel="1">
      <c r="A161" s="367" t="s">
        <v>894</v>
      </c>
      <c r="B161" s="367" t="s">
        <v>895</v>
      </c>
      <c r="C161" s="367" t="s">
        <v>942</v>
      </c>
      <c r="D161" s="463" t="s">
        <v>943</v>
      </c>
      <c r="E161" s="367" t="s">
        <v>911</v>
      </c>
      <c r="F161" s="367" t="s">
        <v>912</v>
      </c>
      <c r="G161" s="367" t="s">
        <v>957</v>
      </c>
      <c r="H161" s="367" t="s">
        <v>895</v>
      </c>
      <c r="I161" s="464"/>
      <c r="J161" s="464">
        <v>9200</v>
      </c>
      <c r="K161" s="464">
        <v>0</v>
      </c>
      <c r="L161" s="464">
        <v>2174300</v>
      </c>
      <c r="M161" s="464"/>
    </row>
    <row r="162" spans="1:13" hidden="1" outlineLevel="1">
      <c r="A162" s="367" t="s">
        <v>894</v>
      </c>
      <c r="B162" s="367" t="s">
        <v>895</v>
      </c>
      <c r="C162" s="367" t="s">
        <v>958</v>
      </c>
      <c r="D162" s="463" t="s">
        <v>689</v>
      </c>
      <c r="E162" s="367" t="s">
        <v>959</v>
      </c>
      <c r="F162" s="367" t="s">
        <v>960</v>
      </c>
      <c r="G162" s="367" t="s">
        <v>961</v>
      </c>
      <c r="H162" s="367" t="s">
        <v>895</v>
      </c>
      <c r="I162" s="464"/>
      <c r="J162" s="464">
        <v>100000</v>
      </c>
      <c r="K162" s="464">
        <v>0</v>
      </c>
      <c r="L162" s="464">
        <v>2274300</v>
      </c>
      <c r="M162" s="464"/>
    </row>
    <row r="163" spans="1:13" hidden="1" outlineLevel="1">
      <c r="A163" s="367" t="s">
        <v>894</v>
      </c>
      <c r="B163" s="367" t="s">
        <v>895</v>
      </c>
      <c r="C163" s="367" t="s">
        <v>962</v>
      </c>
      <c r="D163" s="463" t="s">
        <v>689</v>
      </c>
      <c r="E163" s="367" t="s">
        <v>922</v>
      </c>
      <c r="F163" s="367" t="s">
        <v>923</v>
      </c>
      <c r="G163" s="367" t="s">
        <v>963</v>
      </c>
      <c r="H163" s="367" t="s">
        <v>895</v>
      </c>
      <c r="I163" s="464"/>
      <c r="J163" s="464">
        <v>192537</v>
      </c>
      <c r="K163" s="464">
        <v>0</v>
      </c>
      <c r="L163" s="464">
        <v>2466837</v>
      </c>
      <c r="M163" s="464"/>
    </row>
    <row r="164" spans="1:13" hidden="1" outlineLevel="1">
      <c r="A164" s="367" t="s">
        <v>894</v>
      </c>
      <c r="B164" s="367" t="s">
        <v>895</v>
      </c>
      <c r="C164" s="367" t="s">
        <v>964</v>
      </c>
      <c r="D164" s="463" t="s">
        <v>689</v>
      </c>
      <c r="E164" s="367" t="s">
        <v>911</v>
      </c>
      <c r="F164" s="367" t="s">
        <v>912</v>
      </c>
      <c r="G164" s="367" t="s">
        <v>965</v>
      </c>
      <c r="H164" s="367" t="s">
        <v>895</v>
      </c>
      <c r="I164" s="464"/>
      <c r="J164" s="464">
        <v>9200</v>
      </c>
      <c r="K164" s="464">
        <v>0</v>
      </c>
      <c r="L164" s="464">
        <v>2476037</v>
      </c>
      <c r="M164" s="464"/>
    </row>
    <row r="165" spans="1:13" hidden="1" outlineLevel="1">
      <c r="A165" s="367" t="s">
        <v>894</v>
      </c>
      <c r="B165" s="367" t="s">
        <v>895</v>
      </c>
      <c r="C165" s="367" t="s">
        <v>966</v>
      </c>
      <c r="D165" s="463" t="s">
        <v>689</v>
      </c>
      <c r="E165" s="367" t="s">
        <v>917</v>
      </c>
      <c r="F165" s="367" t="s">
        <v>918</v>
      </c>
      <c r="G165" s="367" t="s">
        <v>967</v>
      </c>
      <c r="H165" s="367" t="s">
        <v>895</v>
      </c>
      <c r="I165" s="464"/>
      <c r="J165" s="464">
        <v>21800</v>
      </c>
      <c r="K165" s="464">
        <v>0</v>
      </c>
      <c r="L165" s="464">
        <v>2497837</v>
      </c>
      <c r="M165" s="464"/>
    </row>
    <row r="166" spans="1:13" hidden="1" outlineLevel="1">
      <c r="A166" s="367" t="s">
        <v>894</v>
      </c>
      <c r="B166" s="367" t="s">
        <v>895</v>
      </c>
      <c r="C166" s="367" t="s">
        <v>968</v>
      </c>
      <c r="D166" s="463" t="s">
        <v>689</v>
      </c>
      <c r="E166" s="367" t="s">
        <v>905</v>
      </c>
      <c r="F166" s="367" t="s">
        <v>906</v>
      </c>
      <c r="G166" s="367" t="s">
        <v>969</v>
      </c>
      <c r="H166" s="367" t="s">
        <v>895</v>
      </c>
      <c r="I166" s="464"/>
      <c r="J166" s="464">
        <v>15100</v>
      </c>
      <c r="K166" s="464">
        <v>0</v>
      </c>
      <c r="L166" s="464">
        <v>2512937</v>
      </c>
      <c r="M166" s="464"/>
    </row>
    <row r="167" spans="1:13" hidden="1" outlineLevel="1">
      <c r="A167" s="367" t="s">
        <v>894</v>
      </c>
      <c r="B167" s="367" t="s">
        <v>895</v>
      </c>
      <c r="C167" s="367" t="s">
        <v>970</v>
      </c>
      <c r="D167" s="463" t="s">
        <v>689</v>
      </c>
      <c r="E167" s="367" t="s">
        <v>971</v>
      </c>
      <c r="F167" s="367" t="s">
        <v>972</v>
      </c>
      <c r="G167" s="367" t="s">
        <v>973</v>
      </c>
      <c r="H167" s="367" t="s">
        <v>895</v>
      </c>
      <c r="I167" s="464"/>
      <c r="J167" s="464">
        <v>134701</v>
      </c>
      <c r="K167" s="464">
        <v>0</v>
      </c>
      <c r="L167" s="464">
        <v>2647638</v>
      </c>
      <c r="M167" s="464"/>
    </row>
    <row r="168" spans="1:13" hidden="1" outlineLevel="1">
      <c r="A168" s="367" t="s">
        <v>894</v>
      </c>
      <c r="B168" s="367" t="s">
        <v>895</v>
      </c>
      <c r="C168" s="367" t="s">
        <v>974</v>
      </c>
      <c r="D168" s="463" t="s">
        <v>689</v>
      </c>
      <c r="E168" s="367" t="s">
        <v>911</v>
      </c>
      <c r="F168" s="367" t="s">
        <v>912</v>
      </c>
      <c r="G168" s="367" t="s">
        <v>975</v>
      </c>
      <c r="H168" s="367" t="s">
        <v>895</v>
      </c>
      <c r="I168" s="464"/>
      <c r="J168" s="464">
        <v>27600</v>
      </c>
      <c r="K168" s="464">
        <v>0</v>
      </c>
      <c r="L168" s="464">
        <v>2675238</v>
      </c>
      <c r="M168" s="464"/>
    </row>
    <row r="169" spans="1:13" hidden="1" outlineLevel="1">
      <c r="A169" s="367" t="s">
        <v>894</v>
      </c>
      <c r="B169" s="367" t="s">
        <v>895</v>
      </c>
      <c r="C169" s="367" t="s">
        <v>976</v>
      </c>
      <c r="D169" s="463" t="s">
        <v>689</v>
      </c>
      <c r="E169" s="367" t="s">
        <v>917</v>
      </c>
      <c r="F169" s="367" t="s">
        <v>918</v>
      </c>
      <c r="G169" s="367" t="s">
        <v>895</v>
      </c>
      <c r="H169" s="367" t="s">
        <v>895</v>
      </c>
      <c r="I169" s="464"/>
      <c r="J169" s="464">
        <v>21800</v>
      </c>
      <c r="K169" s="464">
        <v>0</v>
      </c>
      <c r="L169" s="464">
        <v>2697038</v>
      </c>
      <c r="M169" s="464"/>
    </row>
    <row r="170" spans="1:13" hidden="1" outlineLevel="1">
      <c r="A170" s="367" t="s">
        <v>894</v>
      </c>
      <c r="B170" s="367" t="s">
        <v>895</v>
      </c>
      <c r="C170" s="367" t="s">
        <v>977</v>
      </c>
      <c r="D170" s="463" t="s">
        <v>689</v>
      </c>
      <c r="E170" s="367" t="s">
        <v>905</v>
      </c>
      <c r="F170" s="367" t="s">
        <v>906</v>
      </c>
      <c r="G170" s="367" t="s">
        <v>895</v>
      </c>
      <c r="H170" s="367" t="s">
        <v>895</v>
      </c>
      <c r="I170" s="464"/>
      <c r="J170" s="464">
        <v>15100</v>
      </c>
      <c r="K170" s="464">
        <v>0</v>
      </c>
      <c r="L170" s="464">
        <v>2712138</v>
      </c>
      <c r="M170" s="464"/>
    </row>
    <row r="171" spans="1:13" hidden="1" outlineLevel="1">
      <c r="A171" s="367" t="s">
        <v>894</v>
      </c>
      <c r="B171" s="367" t="s">
        <v>895</v>
      </c>
      <c r="C171" s="367" t="s">
        <v>978</v>
      </c>
      <c r="D171" s="463" t="s">
        <v>689</v>
      </c>
      <c r="E171" s="367" t="s">
        <v>971</v>
      </c>
      <c r="F171" s="367" t="s">
        <v>972</v>
      </c>
      <c r="G171" s="367" t="s">
        <v>979</v>
      </c>
      <c r="H171" s="367" t="s">
        <v>895</v>
      </c>
      <c r="I171" s="464"/>
      <c r="J171" s="464">
        <v>120027</v>
      </c>
      <c r="K171" s="464">
        <v>0</v>
      </c>
      <c r="L171" s="464">
        <v>2832165</v>
      </c>
      <c r="M171" s="464"/>
    </row>
    <row r="172" spans="1:13" hidden="1" outlineLevel="1">
      <c r="A172" s="367" t="s">
        <v>894</v>
      </c>
      <c r="B172" s="367" t="s">
        <v>895</v>
      </c>
      <c r="C172" s="367" t="s">
        <v>980</v>
      </c>
      <c r="D172" s="463" t="s">
        <v>689</v>
      </c>
      <c r="E172" s="367" t="s">
        <v>932</v>
      </c>
      <c r="F172" s="367" t="s">
        <v>933</v>
      </c>
      <c r="G172" s="367" t="s">
        <v>979</v>
      </c>
      <c r="H172" s="367" t="s">
        <v>895</v>
      </c>
      <c r="I172" s="464"/>
      <c r="J172" s="464">
        <v>159031</v>
      </c>
      <c r="K172" s="464">
        <v>0</v>
      </c>
      <c r="L172" s="464">
        <v>2991196</v>
      </c>
      <c r="M172" s="464"/>
    </row>
    <row r="173" spans="1:13" hidden="1" outlineLevel="1">
      <c r="A173" s="367" t="s">
        <v>894</v>
      </c>
      <c r="B173" s="367" t="s">
        <v>895</v>
      </c>
      <c r="C173" s="367" t="s">
        <v>981</v>
      </c>
      <c r="D173" s="463" t="s">
        <v>689</v>
      </c>
      <c r="E173" s="367" t="s">
        <v>982</v>
      </c>
      <c r="F173" s="367" t="s">
        <v>983</v>
      </c>
      <c r="G173" s="367" t="s">
        <v>984</v>
      </c>
      <c r="H173" s="367" t="s">
        <v>895</v>
      </c>
      <c r="I173" s="464"/>
      <c r="J173" s="464">
        <v>197591</v>
      </c>
      <c r="K173" s="464">
        <v>0</v>
      </c>
      <c r="L173" s="464">
        <v>3188787</v>
      </c>
      <c r="M173" s="464"/>
    </row>
    <row r="174" spans="1:13" hidden="1" outlineLevel="1">
      <c r="A174" s="367" t="s">
        <v>894</v>
      </c>
      <c r="B174" s="367" t="s">
        <v>895</v>
      </c>
      <c r="C174" s="367" t="s">
        <v>985</v>
      </c>
      <c r="D174" s="463" t="s">
        <v>689</v>
      </c>
      <c r="E174" s="367" t="s">
        <v>905</v>
      </c>
      <c r="F174" s="367" t="s">
        <v>906</v>
      </c>
      <c r="G174" s="367" t="s">
        <v>986</v>
      </c>
      <c r="H174" s="367" t="s">
        <v>895</v>
      </c>
      <c r="I174" s="464"/>
      <c r="J174" s="464">
        <v>14200</v>
      </c>
      <c r="K174" s="464">
        <v>0</v>
      </c>
      <c r="L174" s="464">
        <v>3202987</v>
      </c>
      <c r="M174" s="464"/>
    </row>
    <row r="175" spans="1:13" hidden="1" outlineLevel="1">
      <c r="A175" s="367" t="s">
        <v>894</v>
      </c>
      <c r="B175" s="367" t="s">
        <v>895</v>
      </c>
      <c r="C175" s="367" t="s">
        <v>985</v>
      </c>
      <c r="D175" s="463" t="s">
        <v>689</v>
      </c>
      <c r="E175" s="367" t="s">
        <v>905</v>
      </c>
      <c r="F175" s="367" t="s">
        <v>906</v>
      </c>
      <c r="G175" s="367" t="s">
        <v>986</v>
      </c>
      <c r="H175" s="367" t="s">
        <v>895</v>
      </c>
      <c r="I175" s="464"/>
      <c r="J175" s="464">
        <v>14200</v>
      </c>
      <c r="K175" s="464">
        <v>0</v>
      </c>
      <c r="L175" s="464">
        <v>3217187</v>
      </c>
      <c r="M175" s="464"/>
    </row>
    <row r="176" spans="1:13" hidden="1" outlineLevel="1">
      <c r="A176" s="367" t="s">
        <v>894</v>
      </c>
      <c r="B176" s="367" t="s">
        <v>895</v>
      </c>
      <c r="C176" s="367" t="s">
        <v>964</v>
      </c>
      <c r="D176" s="463" t="s">
        <v>689</v>
      </c>
      <c r="E176" s="367" t="s">
        <v>911</v>
      </c>
      <c r="F176" s="367" t="s">
        <v>912</v>
      </c>
      <c r="G176" s="367" t="s">
        <v>987</v>
      </c>
      <c r="H176" s="367" t="s">
        <v>895</v>
      </c>
      <c r="I176" s="464"/>
      <c r="J176" s="464">
        <v>9200</v>
      </c>
      <c r="K176" s="464">
        <v>0</v>
      </c>
      <c r="L176" s="464">
        <v>3226387</v>
      </c>
      <c r="M176" s="464"/>
    </row>
    <row r="177" spans="1:13" hidden="1" outlineLevel="1">
      <c r="A177" s="367" t="s">
        <v>894</v>
      </c>
      <c r="B177" s="367" t="s">
        <v>895</v>
      </c>
      <c r="C177" s="367" t="s">
        <v>697</v>
      </c>
      <c r="D177" s="463" t="s">
        <v>689</v>
      </c>
      <c r="E177" s="367" t="s">
        <v>520</v>
      </c>
      <c r="F177" s="367" t="s">
        <v>521</v>
      </c>
      <c r="G177" s="367" t="s">
        <v>895</v>
      </c>
      <c r="H177" s="367"/>
      <c r="I177" s="464"/>
      <c r="J177" s="464">
        <v>80000</v>
      </c>
      <c r="K177" s="464">
        <v>0</v>
      </c>
      <c r="L177" s="464">
        <v>3306387</v>
      </c>
      <c r="M177" s="464"/>
    </row>
    <row r="178" spans="1:13" hidden="1" outlineLevel="1">
      <c r="A178" s="367" t="s">
        <v>894</v>
      </c>
      <c r="B178" s="367" t="s">
        <v>895</v>
      </c>
      <c r="C178" s="367" t="s">
        <v>988</v>
      </c>
      <c r="D178" s="463" t="s">
        <v>989</v>
      </c>
      <c r="E178" s="367" t="s">
        <v>899</v>
      </c>
      <c r="F178" s="367" t="s">
        <v>900</v>
      </c>
      <c r="G178" s="367" t="s">
        <v>990</v>
      </c>
      <c r="H178" s="367" t="s">
        <v>895</v>
      </c>
      <c r="I178" s="464"/>
      <c r="J178" s="464">
        <v>88700</v>
      </c>
      <c r="K178" s="464">
        <v>0</v>
      </c>
      <c r="L178" s="464">
        <v>3395087</v>
      </c>
      <c r="M178" s="464"/>
    </row>
    <row r="179" spans="1:13" hidden="1" outlineLevel="1">
      <c r="A179" s="367" t="s">
        <v>894</v>
      </c>
      <c r="B179" s="367" t="s">
        <v>895</v>
      </c>
      <c r="C179" s="367" t="s">
        <v>991</v>
      </c>
      <c r="D179" s="463" t="s">
        <v>705</v>
      </c>
      <c r="E179" s="367" t="s">
        <v>911</v>
      </c>
      <c r="F179" s="367" t="s">
        <v>912</v>
      </c>
      <c r="G179" s="367" t="s">
        <v>895</v>
      </c>
      <c r="H179" s="367" t="s">
        <v>895</v>
      </c>
      <c r="I179" s="464"/>
      <c r="J179" s="464">
        <v>9200</v>
      </c>
      <c r="K179" s="464">
        <v>0</v>
      </c>
      <c r="L179" s="464">
        <v>3404287</v>
      </c>
      <c r="M179" s="464"/>
    </row>
    <row r="180" spans="1:13" hidden="1" outlineLevel="1">
      <c r="A180" s="367" t="s">
        <v>894</v>
      </c>
      <c r="B180" s="367" t="s">
        <v>895</v>
      </c>
      <c r="C180" s="367" t="s">
        <v>992</v>
      </c>
      <c r="D180" s="463" t="s">
        <v>705</v>
      </c>
      <c r="E180" s="367" t="s">
        <v>911</v>
      </c>
      <c r="F180" s="367" t="s">
        <v>912</v>
      </c>
      <c r="G180" s="367" t="s">
        <v>895</v>
      </c>
      <c r="H180" s="367" t="s">
        <v>895</v>
      </c>
      <c r="I180" s="464"/>
      <c r="J180" s="464">
        <v>9200</v>
      </c>
      <c r="K180" s="464">
        <v>0</v>
      </c>
      <c r="L180" s="464">
        <v>3413487</v>
      </c>
      <c r="M180" s="464"/>
    </row>
    <row r="181" spans="1:13" hidden="1" outlineLevel="1">
      <c r="A181" s="367" t="s">
        <v>894</v>
      </c>
      <c r="B181" s="367" t="s">
        <v>895</v>
      </c>
      <c r="C181" s="367" t="s">
        <v>993</v>
      </c>
      <c r="D181" s="463" t="s">
        <v>830</v>
      </c>
      <c r="E181" s="367" t="s">
        <v>911</v>
      </c>
      <c r="F181" s="367" t="s">
        <v>912</v>
      </c>
      <c r="G181" s="367" t="s">
        <v>994</v>
      </c>
      <c r="H181" s="367" t="s">
        <v>895</v>
      </c>
      <c r="I181" s="464"/>
      <c r="J181" s="464">
        <v>9200</v>
      </c>
      <c r="K181" s="464">
        <v>0</v>
      </c>
      <c r="L181" s="464">
        <v>3422687</v>
      </c>
      <c r="M181" s="464"/>
    </row>
    <row r="182" spans="1:13" hidden="1" outlineLevel="1">
      <c r="A182" s="367" t="s">
        <v>894</v>
      </c>
      <c r="B182" s="367" t="s">
        <v>895</v>
      </c>
      <c r="C182" s="367" t="s">
        <v>995</v>
      </c>
      <c r="D182" s="463" t="s">
        <v>830</v>
      </c>
      <c r="E182" s="367" t="s">
        <v>905</v>
      </c>
      <c r="F182" s="367" t="s">
        <v>906</v>
      </c>
      <c r="G182" s="367" t="s">
        <v>996</v>
      </c>
      <c r="H182" s="367" t="s">
        <v>895</v>
      </c>
      <c r="I182" s="464"/>
      <c r="J182" s="464">
        <v>15100</v>
      </c>
      <c r="K182" s="464">
        <v>0</v>
      </c>
      <c r="L182" s="464">
        <v>3437787</v>
      </c>
      <c r="M182" s="464"/>
    </row>
    <row r="183" spans="1:13" hidden="1" outlineLevel="1">
      <c r="A183" s="367" t="s">
        <v>894</v>
      </c>
      <c r="B183" s="367" t="s">
        <v>895</v>
      </c>
      <c r="C183" s="367" t="s">
        <v>997</v>
      </c>
      <c r="D183" s="463" t="s">
        <v>830</v>
      </c>
      <c r="E183" s="367" t="s">
        <v>917</v>
      </c>
      <c r="F183" s="367" t="s">
        <v>918</v>
      </c>
      <c r="G183" s="367" t="s">
        <v>998</v>
      </c>
      <c r="H183" s="367" t="s">
        <v>895</v>
      </c>
      <c r="I183" s="464"/>
      <c r="J183" s="464">
        <v>21800</v>
      </c>
      <c r="K183" s="464">
        <v>0</v>
      </c>
      <c r="L183" s="464">
        <v>3459587</v>
      </c>
      <c r="M183" s="464"/>
    </row>
    <row r="184" spans="1:13" hidden="1" outlineLevel="1">
      <c r="A184" s="367" t="s">
        <v>894</v>
      </c>
      <c r="B184" s="367" t="s">
        <v>895</v>
      </c>
      <c r="C184" s="367" t="s">
        <v>993</v>
      </c>
      <c r="D184" s="463" t="s">
        <v>830</v>
      </c>
      <c r="E184" s="367" t="s">
        <v>911</v>
      </c>
      <c r="F184" s="367" t="s">
        <v>912</v>
      </c>
      <c r="G184" s="367" t="s">
        <v>999</v>
      </c>
      <c r="H184" s="367" t="s">
        <v>895</v>
      </c>
      <c r="I184" s="464"/>
      <c r="J184" s="464">
        <v>9200</v>
      </c>
      <c r="K184" s="464">
        <v>0</v>
      </c>
      <c r="L184" s="464">
        <v>3468787</v>
      </c>
      <c r="M184" s="464"/>
    </row>
    <row r="185" spans="1:13" hidden="1" outlineLevel="1">
      <c r="A185" s="367" t="s">
        <v>894</v>
      </c>
      <c r="B185" s="367" t="s">
        <v>895</v>
      </c>
      <c r="C185" s="367" t="s">
        <v>1000</v>
      </c>
      <c r="D185" s="463" t="s">
        <v>1001</v>
      </c>
      <c r="E185" s="367" t="s">
        <v>701</v>
      </c>
      <c r="F185" s="367" t="s">
        <v>702</v>
      </c>
      <c r="G185" s="367" t="s">
        <v>895</v>
      </c>
      <c r="H185" s="367" t="s">
        <v>895</v>
      </c>
      <c r="I185" s="464"/>
      <c r="J185" s="464">
        <v>533445</v>
      </c>
      <c r="K185" s="464">
        <v>0</v>
      </c>
      <c r="L185" s="464">
        <v>4002232</v>
      </c>
      <c r="M185" s="464"/>
    </row>
    <row r="186" spans="1:13" hidden="1" outlineLevel="1">
      <c r="A186" s="367" t="s">
        <v>894</v>
      </c>
      <c r="B186" s="367" t="s">
        <v>895</v>
      </c>
      <c r="C186" s="367" t="s">
        <v>1002</v>
      </c>
      <c r="D186" s="463" t="s">
        <v>716</v>
      </c>
      <c r="E186" s="367" t="s">
        <v>911</v>
      </c>
      <c r="F186" s="367" t="s">
        <v>912</v>
      </c>
      <c r="G186" s="367" t="s">
        <v>1003</v>
      </c>
      <c r="H186" s="367" t="s">
        <v>895</v>
      </c>
      <c r="I186" s="464"/>
      <c r="J186" s="464">
        <v>9200</v>
      </c>
      <c r="K186" s="464">
        <v>0</v>
      </c>
      <c r="L186" s="464">
        <v>4011432</v>
      </c>
      <c r="M186" s="464"/>
    </row>
    <row r="187" spans="1:13" hidden="1" outlineLevel="1">
      <c r="A187" s="367" t="s">
        <v>894</v>
      </c>
      <c r="B187" s="367" t="s">
        <v>895</v>
      </c>
      <c r="C187" s="367" t="s">
        <v>1004</v>
      </c>
      <c r="D187" s="463" t="s">
        <v>716</v>
      </c>
      <c r="E187" s="367" t="s">
        <v>1005</v>
      </c>
      <c r="F187" s="367" t="s">
        <v>1006</v>
      </c>
      <c r="G187" s="367" t="s">
        <v>1006</v>
      </c>
      <c r="H187" s="367" t="s">
        <v>895</v>
      </c>
      <c r="I187" s="464"/>
      <c r="J187" s="464">
        <v>9500</v>
      </c>
      <c r="K187" s="464">
        <v>0</v>
      </c>
      <c r="L187" s="464">
        <v>4020932</v>
      </c>
      <c r="M187" s="464"/>
    </row>
    <row r="188" spans="1:13" hidden="1" outlineLevel="1">
      <c r="A188" s="367" t="s">
        <v>894</v>
      </c>
      <c r="B188" s="367" t="s">
        <v>895</v>
      </c>
      <c r="C188" s="367" t="s">
        <v>1002</v>
      </c>
      <c r="D188" s="463" t="s">
        <v>716</v>
      </c>
      <c r="E188" s="367" t="s">
        <v>911</v>
      </c>
      <c r="F188" s="367" t="s">
        <v>912</v>
      </c>
      <c r="G188" s="367" t="s">
        <v>1003</v>
      </c>
      <c r="H188" s="367" t="s">
        <v>895</v>
      </c>
      <c r="I188" s="464"/>
      <c r="J188" s="464">
        <v>9200</v>
      </c>
      <c r="K188" s="464">
        <v>0</v>
      </c>
      <c r="L188" s="464">
        <v>4030132</v>
      </c>
      <c r="M188" s="464"/>
    </row>
    <row r="189" spans="1:13" hidden="1" outlineLevel="1">
      <c r="A189" s="367" t="s">
        <v>894</v>
      </c>
      <c r="B189" s="367" t="s">
        <v>895</v>
      </c>
      <c r="C189" s="367" t="s">
        <v>1002</v>
      </c>
      <c r="D189" s="463" t="s">
        <v>716</v>
      </c>
      <c r="E189" s="367" t="s">
        <v>911</v>
      </c>
      <c r="F189" s="367" t="s">
        <v>912</v>
      </c>
      <c r="G189" s="367" t="s">
        <v>1003</v>
      </c>
      <c r="H189" s="367" t="s">
        <v>895</v>
      </c>
      <c r="I189" s="464"/>
      <c r="J189" s="464">
        <v>9200</v>
      </c>
      <c r="K189" s="464">
        <v>0</v>
      </c>
      <c r="L189" s="464">
        <v>4039332</v>
      </c>
      <c r="M189" s="464"/>
    </row>
    <row r="190" spans="1:13" hidden="1" outlineLevel="1">
      <c r="A190" s="367" t="s">
        <v>894</v>
      </c>
      <c r="B190" s="367" t="s">
        <v>895</v>
      </c>
      <c r="C190" s="367" t="s">
        <v>1007</v>
      </c>
      <c r="D190" s="463" t="s">
        <v>1008</v>
      </c>
      <c r="E190" s="367" t="s">
        <v>971</v>
      </c>
      <c r="F190" s="367" t="s">
        <v>972</v>
      </c>
      <c r="G190" s="367" t="s">
        <v>1009</v>
      </c>
      <c r="H190" s="367" t="s">
        <v>895</v>
      </c>
      <c r="I190" s="464"/>
      <c r="J190" s="464">
        <v>16835</v>
      </c>
      <c r="K190" s="464">
        <v>0</v>
      </c>
      <c r="L190" s="464">
        <v>4056167</v>
      </c>
      <c r="M190" s="464"/>
    </row>
    <row r="191" spans="1:13" hidden="1" outlineLevel="1">
      <c r="A191" s="367" t="s">
        <v>894</v>
      </c>
      <c r="B191" s="367" t="s">
        <v>895</v>
      </c>
      <c r="C191" s="367" t="s">
        <v>1010</v>
      </c>
      <c r="D191" s="463" t="s">
        <v>1008</v>
      </c>
      <c r="E191" s="367" t="s">
        <v>922</v>
      </c>
      <c r="F191" s="367" t="s">
        <v>923</v>
      </c>
      <c r="G191" s="367" t="s">
        <v>1011</v>
      </c>
      <c r="H191" s="367" t="s">
        <v>895</v>
      </c>
      <c r="I191" s="464"/>
      <c r="J191" s="464">
        <v>100000</v>
      </c>
      <c r="K191" s="464">
        <v>0</v>
      </c>
      <c r="L191" s="464">
        <v>4156167</v>
      </c>
      <c r="M191" s="464"/>
    </row>
    <row r="192" spans="1:13" hidden="1" outlineLevel="1">
      <c r="A192" s="367" t="s">
        <v>894</v>
      </c>
      <c r="B192" s="367" t="s">
        <v>895</v>
      </c>
      <c r="C192" s="367" t="s">
        <v>1012</v>
      </c>
      <c r="D192" s="463" t="s">
        <v>1008</v>
      </c>
      <c r="E192" s="367" t="s">
        <v>971</v>
      </c>
      <c r="F192" s="367" t="s">
        <v>972</v>
      </c>
      <c r="G192" s="367" t="s">
        <v>1013</v>
      </c>
      <c r="H192" s="367" t="s">
        <v>895</v>
      </c>
      <c r="I192" s="464"/>
      <c r="J192" s="464">
        <v>150000</v>
      </c>
      <c r="K192" s="464">
        <v>0</v>
      </c>
      <c r="L192" s="464">
        <v>4306167</v>
      </c>
      <c r="M192" s="464"/>
    </row>
    <row r="193" spans="1:13" hidden="1" outlineLevel="1">
      <c r="A193" s="367" t="s">
        <v>894</v>
      </c>
      <c r="B193" s="367" t="s">
        <v>895</v>
      </c>
      <c r="C193" s="367" t="s">
        <v>1014</v>
      </c>
      <c r="D193" s="463" t="s">
        <v>1008</v>
      </c>
      <c r="E193" s="367" t="s">
        <v>1015</v>
      </c>
      <c r="F193" s="367" t="s">
        <v>1016</v>
      </c>
      <c r="G193" s="367" t="s">
        <v>895</v>
      </c>
      <c r="H193" s="367" t="s">
        <v>895</v>
      </c>
      <c r="I193" s="464"/>
      <c r="J193" s="464">
        <v>30000</v>
      </c>
      <c r="K193" s="464">
        <v>0</v>
      </c>
      <c r="L193" s="464">
        <v>4336167</v>
      </c>
      <c r="M193" s="464"/>
    </row>
    <row r="194" spans="1:13" hidden="1" outlineLevel="1">
      <c r="A194" s="367" t="s">
        <v>894</v>
      </c>
      <c r="B194" s="367" t="s">
        <v>895</v>
      </c>
      <c r="C194" s="367" t="s">
        <v>1017</v>
      </c>
      <c r="D194" s="463" t="s">
        <v>1008</v>
      </c>
      <c r="E194" s="367" t="s">
        <v>701</v>
      </c>
      <c r="F194" s="367" t="s">
        <v>702</v>
      </c>
      <c r="G194" s="367" t="s">
        <v>1018</v>
      </c>
      <c r="H194" s="367" t="s">
        <v>895</v>
      </c>
      <c r="I194" s="464"/>
      <c r="J194" s="464">
        <v>932700</v>
      </c>
      <c r="K194" s="464">
        <v>0</v>
      </c>
      <c r="L194" s="464">
        <v>5268867</v>
      </c>
      <c r="M194" s="464"/>
    </row>
    <row r="195" spans="1:13" hidden="1" outlineLevel="1">
      <c r="A195" s="367" t="s">
        <v>894</v>
      </c>
      <c r="B195" s="367" t="s">
        <v>895</v>
      </c>
      <c r="C195" s="367" t="s">
        <v>1019</v>
      </c>
      <c r="D195" s="463" t="s">
        <v>1008</v>
      </c>
      <c r="E195" s="367" t="s">
        <v>971</v>
      </c>
      <c r="F195" s="367" t="s">
        <v>972</v>
      </c>
      <c r="G195" s="367" t="s">
        <v>1009</v>
      </c>
      <c r="H195" s="367" t="s">
        <v>895</v>
      </c>
      <c r="I195" s="464"/>
      <c r="J195" s="464">
        <v>0</v>
      </c>
      <c r="K195" s="464">
        <v>16835</v>
      </c>
      <c r="L195" s="464">
        <v>5252032</v>
      </c>
      <c r="M195" s="464"/>
    </row>
    <row r="196" spans="1:13" hidden="1" outlineLevel="1">
      <c r="A196" s="367" t="s">
        <v>894</v>
      </c>
      <c r="B196" s="367" t="s">
        <v>895</v>
      </c>
      <c r="C196" s="367" t="s">
        <v>1020</v>
      </c>
      <c r="D196" s="463" t="s">
        <v>1021</v>
      </c>
      <c r="E196" s="367" t="s">
        <v>922</v>
      </c>
      <c r="F196" s="367" t="s">
        <v>923</v>
      </c>
      <c r="G196" s="367" t="s">
        <v>895</v>
      </c>
      <c r="H196" s="367" t="s">
        <v>895</v>
      </c>
      <c r="I196" s="464"/>
      <c r="J196" s="464">
        <v>25000</v>
      </c>
      <c r="K196" s="464">
        <v>0</v>
      </c>
      <c r="L196" s="464">
        <v>5277032</v>
      </c>
      <c r="M196" s="464"/>
    </row>
    <row r="197" spans="1:13" hidden="1" outlineLevel="1">
      <c r="A197" s="367" t="s">
        <v>894</v>
      </c>
      <c r="B197" s="367" t="s">
        <v>895</v>
      </c>
      <c r="C197" s="367" t="s">
        <v>1022</v>
      </c>
      <c r="D197" s="463" t="s">
        <v>1021</v>
      </c>
      <c r="E197" s="367" t="s">
        <v>917</v>
      </c>
      <c r="F197" s="367" t="s">
        <v>918</v>
      </c>
      <c r="G197" s="367" t="s">
        <v>1023</v>
      </c>
      <c r="H197" s="367" t="s">
        <v>895</v>
      </c>
      <c r="I197" s="464"/>
      <c r="J197" s="464">
        <v>21800</v>
      </c>
      <c r="K197" s="464">
        <v>0</v>
      </c>
      <c r="L197" s="464">
        <v>5298832</v>
      </c>
      <c r="M197" s="464"/>
    </row>
    <row r="198" spans="1:13" hidden="1" outlineLevel="1">
      <c r="A198" s="367" t="s">
        <v>894</v>
      </c>
      <c r="B198" s="367" t="s">
        <v>895</v>
      </c>
      <c r="C198" s="367" t="s">
        <v>1024</v>
      </c>
      <c r="D198" s="463" t="s">
        <v>1021</v>
      </c>
      <c r="E198" s="367" t="s">
        <v>911</v>
      </c>
      <c r="F198" s="367" t="s">
        <v>912</v>
      </c>
      <c r="G198" s="367" t="s">
        <v>975</v>
      </c>
      <c r="H198" s="367" t="s">
        <v>895</v>
      </c>
      <c r="I198" s="464"/>
      <c r="J198" s="464">
        <v>9200</v>
      </c>
      <c r="K198" s="464">
        <v>0</v>
      </c>
      <c r="L198" s="464">
        <v>5308032</v>
      </c>
      <c r="M198" s="464"/>
    </row>
    <row r="199" spans="1:13" hidden="1" outlineLevel="1">
      <c r="A199" s="367" t="s">
        <v>894</v>
      </c>
      <c r="B199" s="367" t="s">
        <v>895</v>
      </c>
      <c r="C199" s="367" t="s">
        <v>1025</v>
      </c>
      <c r="D199" s="463" t="s">
        <v>1021</v>
      </c>
      <c r="E199" s="367" t="s">
        <v>522</v>
      </c>
      <c r="F199" s="367" t="s">
        <v>523</v>
      </c>
      <c r="G199" s="367" t="s">
        <v>895</v>
      </c>
      <c r="H199" s="367" t="s">
        <v>895</v>
      </c>
      <c r="I199" s="464"/>
      <c r="J199" s="464">
        <v>50000</v>
      </c>
      <c r="K199" s="464">
        <v>0</v>
      </c>
      <c r="L199" s="464">
        <v>5358032</v>
      </c>
      <c r="M199" s="464"/>
    </row>
    <row r="200" spans="1:13" hidden="1" outlineLevel="1">
      <c r="A200" s="367" t="s">
        <v>894</v>
      </c>
      <c r="B200" s="367" t="s">
        <v>895</v>
      </c>
      <c r="C200" s="367" t="s">
        <v>1024</v>
      </c>
      <c r="D200" s="463" t="s">
        <v>1021</v>
      </c>
      <c r="E200" s="367" t="s">
        <v>911</v>
      </c>
      <c r="F200" s="367" t="s">
        <v>912</v>
      </c>
      <c r="G200" s="367" t="s">
        <v>975</v>
      </c>
      <c r="H200" s="367" t="s">
        <v>895</v>
      </c>
      <c r="I200" s="464"/>
      <c r="J200" s="464">
        <v>9200</v>
      </c>
      <c r="K200" s="464">
        <v>0</v>
      </c>
      <c r="L200" s="464">
        <v>5367232</v>
      </c>
      <c r="M200" s="464"/>
    </row>
    <row r="201" spans="1:13" hidden="1" outlineLevel="1">
      <c r="A201" s="367" t="s">
        <v>894</v>
      </c>
      <c r="B201" s="367" t="s">
        <v>895</v>
      </c>
      <c r="C201" s="367" t="s">
        <v>1022</v>
      </c>
      <c r="D201" s="463" t="s">
        <v>1021</v>
      </c>
      <c r="E201" s="367" t="s">
        <v>917</v>
      </c>
      <c r="F201" s="367" t="s">
        <v>918</v>
      </c>
      <c r="G201" s="367" t="s">
        <v>1023</v>
      </c>
      <c r="H201" s="367" t="s">
        <v>895</v>
      </c>
      <c r="I201" s="464"/>
      <c r="J201" s="464">
        <v>21800</v>
      </c>
      <c r="K201" s="464">
        <v>0</v>
      </c>
      <c r="L201" s="464">
        <v>5389032</v>
      </c>
      <c r="M201" s="464"/>
    </row>
    <row r="202" spans="1:13" hidden="1" outlineLevel="1">
      <c r="A202" s="367" t="s">
        <v>894</v>
      </c>
      <c r="B202" s="367" t="s">
        <v>895</v>
      </c>
      <c r="C202" s="367" t="s">
        <v>1024</v>
      </c>
      <c r="D202" s="463" t="s">
        <v>1021</v>
      </c>
      <c r="E202" s="367" t="s">
        <v>911</v>
      </c>
      <c r="F202" s="367" t="s">
        <v>912</v>
      </c>
      <c r="G202" s="367" t="s">
        <v>975</v>
      </c>
      <c r="H202" s="367" t="s">
        <v>895</v>
      </c>
      <c r="I202" s="464"/>
      <c r="J202" s="464">
        <v>9200</v>
      </c>
      <c r="K202" s="464">
        <v>0</v>
      </c>
      <c r="L202" s="464">
        <v>5398232</v>
      </c>
      <c r="M202" s="464"/>
    </row>
    <row r="203" spans="1:13" hidden="1" outlineLevel="1">
      <c r="A203" s="367" t="s">
        <v>894</v>
      </c>
      <c r="B203" s="367" t="s">
        <v>895</v>
      </c>
      <c r="C203" s="367" t="s">
        <v>1024</v>
      </c>
      <c r="D203" s="463" t="s">
        <v>1021</v>
      </c>
      <c r="E203" s="367" t="s">
        <v>911</v>
      </c>
      <c r="F203" s="367" t="s">
        <v>912</v>
      </c>
      <c r="G203" s="367" t="s">
        <v>1026</v>
      </c>
      <c r="H203" s="367" t="s">
        <v>895</v>
      </c>
      <c r="I203" s="464"/>
      <c r="J203" s="464">
        <v>9200</v>
      </c>
      <c r="K203" s="464">
        <v>0</v>
      </c>
      <c r="L203" s="464">
        <v>5407432</v>
      </c>
      <c r="M203" s="464"/>
    </row>
    <row r="204" spans="1:13" hidden="1" outlineLevel="1">
      <c r="A204" s="367" t="s">
        <v>894</v>
      </c>
      <c r="B204" s="367" t="s">
        <v>895</v>
      </c>
      <c r="C204" s="367" t="s">
        <v>1027</v>
      </c>
      <c r="D204" s="463" t="s">
        <v>1028</v>
      </c>
      <c r="E204" s="367" t="s">
        <v>922</v>
      </c>
      <c r="F204" s="367" t="s">
        <v>923</v>
      </c>
      <c r="G204" s="367" t="s">
        <v>1029</v>
      </c>
      <c r="H204" s="367" t="s">
        <v>895</v>
      </c>
      <c r="I204" s="464"/>
      <c r="J204" s="464">
        <v>20000</v>
      </c>
      <c r="K204" s="464">
        <v>0</v>
      </c>
      <c r="L204" s="464">
        <v>5427432</v>
      </c>
      <c r="M204" s="464"/>
    </row>
    <row r="205" spans="1:13" hidden="1" outlineLevel="1">
      <c r="A205" s="367" t="s">
        <v>894</v>
      </c>
      <c r="B205" s="367" t="s">
        <v>895</v>
      </c>
      <c r="C205" s="367" t="s">
        <v>1030</v>
      </c>
      <c r="D205" s="463" t="s">
        <v>734</v>
      </c>
      <c r="E205" s="367" t="s">
        <v>911</v>
      </c>
      <c r="F205" s="367" t="s">
        <v>912</v>
      </c>
      <c r="G205" s="367" t="s">
        <v>895</v>
      </c>
      <c r="H205" s="367" t="s">
        <v>895</v>
      </c>
      <c r="I205" s="464"/>
      <c r="J205" s="464">
        <v>9200</v>
      </c>
      <c r="K205" s="464">
        <v>0</v>
      </c>
      <c r="L205" s="464">
        <v>5436632</v>
      </c>
      <c r="M205" s="464"/>
    </row>
    <row r="206" spans="1:13" hidden="1" outlineLevel="1">
      <c r="A206" s="367" t="s">
        <v>894</v>
      </c>
      <c r="B206" s="367" t="s">
        <v>895</v>
      </c>
      <c r="C206" s="367" t="s">
        <v>1030</v>
      </c>
      <c r="D206" s="463" t="s">
        <v>734</v>
      </c>
      <c r="E206" s="367" t="s">
        <v>911</v>
      </c>
      <c r="F206" s="367" t="s">
        <v>912</v>
      </c>
      <c r="G206" s="367" t="s">
        <v>895</v>
      </c>
      <c r="H206" s="367" t="s">
        <v>895</v>
      </c>
      <c r="I206" s="464"/>
      <c r="J206" s="464">
        <v>9200</v>
      </c>
      <c r="K206" s="464">
        <v>0</v>
      </c>
      <c r="L206" s="464">
        <v>5445832</v>
      </c>
      <c r="M206" s="464"/>
    </row>
    <row r="207" spans="1:13" hidden="1" outlineLevel="1">
      <c r="A207" s="367" t="s">
        <v>894</v>
      </c>
      <c r="B207" s="367" t="s">
        <v>895</v>
      </c>
      <c r="C207" s="367" t="s">
        <v>1030</v>
      </c>
      <c r="D207" s="463" t="s">
        <v>734</v>
      </c>
      <c r="E207" s="367" t="s">
        <v>911</v>
      </c>
      <c r="F207" s="367" t="s">
        <v>912</v>
      </c>
      <c r="G207" s="367" t="s">
        <v>895</v>
      </c>
      <c r="H207" s="367" t="s">
        <v>895</v>
      </c>
      <c r="I207" s="464"/>
      <c r="J207" s="464">
        <v>9200</v>
      </c>
      <c r="K207" s="464">
        <v>0</v>
      </c>
      <c r="L207" s="464">
        <v>5455032</v>
      </c>
      <c r="M207" s="464"/>
    </row>
    <row r="208" spans="1:13" hidden="1" outlineLevel="1">
      <c r="A208" s="367" t="s">
        <v>894</v>
      </c>
      <c r="B208" s="367" t="s">
        <v>895</v>
      </c>
      <c r="C208" s="367" t="s">
        <v>1030</v>
      </c>
      <c r="D208" s="463" t="s">
        <v>734</v>
      </c>
      <c r="E208" s="367" t="s">
        <v>911</v>
      </c>
      <c r="F208" s="367" t="s">
        <v>912</v>
      </c>
      <c r="G208" s="367" t="s">
        <v>895</v>
      </c>
      <c r="H208" s="367" t="s">
        <v>895</v>
      </c>
      <c r="I208" s="464"/>
      <c r="J208" s="464">
        <v>9200</v>
      </c>
      <c r="K208" s="464">
        <v>0</v>
      </c>
      <c r="L208" s="464">
        <v>5464232</v>
      </c>
      <c r="M208" s="464"/>
    </row>
    <row r="209" spans="1:13" hidden="1" outlineLevel="1">
      <c r="A209" s="367" t="s">
        <v>894</v>
      </c>
      <c r="B209" s="367" t="s">
        <v>895</v>
      </c>
      <c r="C209" s="367" t="s">
        <v>1030</v>
      </c>
      <c r="D209" s="463" t="s">
        <v>734</v>
      </c>
      <c r="E209" s="367" t="s">
        <v>911</v>
      </c>
      <c r="F209" s="367" t="s">
        <v>912</v>
      </c>
      <c r="G209" s="367" t="s">
        <v>895</v>
      </c>
      <c r="H209" s="367" t="s">
        <v>895</v>
      </c>
      <c r="I209" s="464"/>
      <c r="J209" s="464">
        <v>9200</v>
      </c>
      <c r="K209" s="464">
        <v>0</v>
      </c>
      <c r="L209" s="464">
        <v>5473432</v>
      </c>
      <c r="M209" s="464"/>
    </row>
    <row r="210" spans="1:13" hidden="1" outlineLevel="1">
      <c r="A210" s="367" t="s">
        <v>894</v>
      </c>
      <c r="B210" s="367" t="s">
        <v>895</v>
      </c>
      <c r="C210" s="367" t="s">
        <v>1030</v>
      </c>
      <c r="D210" s="463" t="s">
        <v>734</v>
      </c>
      <c r="E210" s="367" t="s">
        <v>911</v>
      </c>
      <c r="F210" s="367" t="s">
        <v>912</v>
      </c>
      <c r="G210" s="367" t="s">
        <v>895</v>
      </c>
      <c r="H210" s="367" t="s">
        <v>895</v>
      </c>
      <c r="I210" s="464"/>
      <c r="J210" s="464">
        <v>9200</v>
      </c>
      <c r="K210" s="464">
        <v>0</v>
      </c>
      <c r="L210" s="464">
        <v>5482632</v>
      </c>
      <c r="M210" s="464"/>
    </row>
    <row r="211" spans="1:13" hidden="1" outlineLevel="1">
      <c r="A211" s="367" t="s">
        <v>894</v>
      </c>
      <c r="B211" s="367" t="s">
        <v>895</v>
      </c>
      <c r="C211" s="367" t="s">
        <v>1031</v>
      </c>
      <c r="D211" s="463" t="s">
        <v>741</v>
      </c>
      <c r="E211" s="367" t="s">
        <v>911</v>
      </c>
      <c r="F211" s="367" t="s">
        <v>912</v>
      </c>
      <c r="G211" s="367" t="s">
        <v>895</v>
      </c>
      <c r="H211" s="367" t="s">
        <v>895</v>
      </c>
      <c r="I211" s="464"/>
      <c r="J211" s="464">
        <v>18400</v>
      </c>
      <c r="K211" s="464">
        <v>0</v>
      </c>
      <c r="L211" s="464">
        <v>5501032</v>
      </c>
      <c r="M211" s="464"/>
    </row>
    <row r="212" spans="1:13" hidden="1" outlineLevel="1">
      <c r="A212" s="367" t="s">
        <v>894</v>
      </c>
      <c r="B212" s="367" t="s">
        <v>895</v>
      </c>
      <c r="C212" s="367" t="s">
        <v>1032</v>
      </c>
      <c r="D212" s="463" t="s">
        <v>743</v>
      </c>
      <c r="E212" s="367" t="s">
        <v>911</v>
      </c>
      <c r="F212" s="367" t="s">
        <v>912</v>
      </c>
      <c r="G212" s="367" t="s">
        <v>999</v>
      </c>
      <c r="H212" s="367" t="s">
        <v>895</v>
      </c>
      <c r="I212" s="464"/>
      <c r="J212" s="464">
        <v>18400</v>
      </c>
      <c r="K212" s="464">
        <v>0</v>
      </c>
      <c r="L212" s="464">
        <v>5519432</v>
      </c>
      <c r="M212" s="464"/>
    </row>
    <row r="213" spans="1:13" hidden="1" outlineLevel="1">
      <c r="A213" s="367" t="s">
        <v>894</v>
      </c>
      <c r="B213" s="367" t="s">
        <v>895</v>
      </c>
      <c r="C213" s="367" t="s">
        <v>1033</v>
      </c>
      <c r="D213" s="463" t="s">
        <v>743</v>
      </c>
      <c r="E213" s="367" t="s">
        <v>917</v>
      </c>
      <c r="F213" s="367" t="s">
        <v>918</v>
      </c>
      <c r="G213" s="367" t="s">
        <v>895</v>
      </c>
      <c r="H213" s="367" t="s">
        <v>895</v>
      </c>
      <c r="I213" s="464"/>
      <c r="J213" s="464">
        <v>43600</v>
      </c>
      <c r="K213" s="464">
        <v>0</v>
      </c>
      <c r="L213" s="464">
        <v>5563032</v>
      </c>
      <c r="M213" s="464"/>
    </row>
    <row r="214" spans="1:13" hidden="1" outlineLevel="1">
      <c r="A214" s="367" t="s">
        <v>894</v>
      </c>
      <c r="B214" s="367" t="s">
        <v>895</v>
      </c>
      <c r="C214" s="367" t="s">
        <v>1034</v>
      </c>
      <c r="D214" s="463" t="s">
        <v>743</v>
      </c>
      <c r="E214" s="367" t="s">
        <v>1035</v>
      </c>
      <c r="F214" s="367" t="s">
        <v>1036</v>
      </c>
      <c r="G214" s="367" t="s">
        <v>895</v>
      </c>
      <c r="H214" s="367" t="s">
        <v>895</v>
      </c>
      <c r="I214" s="464"/>
      <c r="J214" s="464">
        <v>250000</v>
      </c>
      <c r="K214" s="464">
        <v>0</v>
      </c>
      <c r="L214" s="464">
        <v>5813032</v>
      </c>
      <c r="M214" s="464"/>
    </row>
    <row r="215" spans="1:13" hidden="1" outlineLevel="1">
      <c r="A215" s="367" t="s">
        <v>894</v>
      </c>
      <c r="B215" s="367" t="s">
        <v>895</v>
      </c>
      <c r="C215" s="367" t="s">
        <v>1037</v>
      </c>
      <c r="D215" s="463" t="s">
        <v>1038</v>
      </c>
      <c r="E215" s="367" t="s">
        <v>518</v>
      </c>
      <c r="F215" s="367" t="s">
        <v>519</v>
      </c>
      <c r="G215" s="367" t="s">
        <v>895</v>
      </c>
      <c r="H215" s="367" t="s">
        <v>895</v>
      </c>
      <c r="I215" s="464"/>
      <c r="J215" s="464">
        <v>90000</v>
      </c>
      <c r="K215" s="464">
        <v>0</v>
      </c>
      <c r="L215" s="464">
        <v>5903032</v>
      </c>
      <c r="M215" s="464"/>
    </row>
    <row r="216" spans="1:13" hidden="1" outlineLevel="1">
      <c r="A216" s="367" t="s">
        <v>894</v>
      </c>
      <c r="B216" s="367" t="s">
        <v>895</v>
      </c>
      <c r="C216" s="367" t="s">
        <v>1039</v>
      </c>
      <c r="D216" s="463" t="s">
        <v>1040</v>
      </c>
      <c r="E216" s="367" t="s">
        <v>1005</v>
      </c>
      <c r="F216" s="367" t="s">
        <v>1006</v>
      </c>
      <c r="G216" s="367" t="s">
        <v>895</v>
      </c>
      <c r="H216" s="367" t="s">
        <v>895</v>
      </c>
      <c r="I216" s="464"/>
      <c r="J216" s="464">
        <v>9500</v>
      </c>
      <c r="K216" s="464">
        <v>0</v>
      </c>
      <c r="L216" s="464">
        <v>5912532</v>
      </c>
      <c r="M216" s="464"/>
    </row>
    <row r="217" spans="1:13" hidden="1" outlineLevel="1">
      <c r="A217" s="367" t="s">
        <v>894</v>
      </c>
      <c r="B217" s="367" t="s">
        <v>895</v>
      </c>
      <c r="C217" s="367" t="s">
        <v>1041</v>
      </c>
      <c r="D217" s="463" t="s">
        <v>1040</v>
      </c>
      <c r="E217" s="367" t="s">
        <v>917</v>
      </c>
      <c r="F217" s="367" t="s">
        <v>918</v>
      </c>
      <c r="G217" s="367" t="s">
        <v>895</v>
      </c>
      <c r="H217" s="367" t="s">
        <v>895</v>
      </c>
      <c r="I217" s="464"/>
      <c r="J217" s="464">
        <v>107000</v>
      </c>
      <c r="K217" s="464">
        <v>0</v>
      </c>
      <c r="L217" s="464">
        <v>6019532</v>
      </c>
      <c r="M217" s="464"/>
    </row>
    <row r="218" spans="1:13" hidden="1" outlineLevel="1">
      <c r="A218" s="367" t="s">
        <v>894</v>
      </c>
      <c r="B218" s="367" t="s">
        <v>895</v>
      </c>
      <c r="C218" s="367" t="s">
        <v>1042</v>
      </c>
      <c r="D218" s="463" t="s">
        <v>1040</v>
      </c>
      <c r="E218" s="367" t="s">
        <v>911</v>
      </c>
      <c r="F218" s="367" t="s">
        <v>912</v>
      </c>
      <c r="G218" s="367" t="s">
        <v>895</v>
      </c>
      <c r="H218" s="367" t="s">
        <v>895</v>
      </c>
      <c r="I218" s="464"/>
      <c r="J218" s="464">
        <v>92000</v>
      </c>
      <c r="K218" s="464">
        <v>0</v>
      </c>
      <c r="L218" s="464">
        <v>6111532</v>
      </c>
      <c r="M218" s="464"/>
    </row>
    <row r="219" spans="1:13" hidden="1" outlineLevel="1">
      <c r="A219" s="367" t="s">
        <v>894</v>
      </c>
      <c r="B219" s="367" t="s">
        <v>895</v>
      </c>
      <c r="C219" s="367" t="s">
        <v>1043</v>
      </c>
      <c r="D219" s="463" t="s">
        <v>1040</v>
      </c>
      <c r="E219" s="367" t="s">
        <v>1044</v>
      </c>
      <c r="F219" s="367" t="s">
        <v>1045</v>
      </c>
      <c r="G219" s="367" t="s">
        <v>895</v>
      </c>
      <c r="H219" s="367" t="s">
        <v>895</v>
      </c>
      <c r="I219" s="464"/>
      <c r="J219" s="464">
        <v>506307</v>
      </c>
      <c r="K219" s="464">
        <v>0</v>
      </c>
      <c r="L219" s="464">
        <v>6617839</v>
      </c>
      <c r="M219" s="464"/>
    </row>
    <row r="220" spans="1:13" hidden="1" outlineLevel="1">
      <c r="A220" s="367" t="s">
        <v>894</v>
      </c>
      <c r="B220" s="367" t="s">
        <v>895</v>
      </c>
      <c r="C220" s="367" t="s">
        <v>1046</v>
      </c>
      <c r="D220" s="463" t="s">
        <v>1040</v>
      </c>
      <c r="E220" s="367" t="s">
        <v>1047</v>
      </c>
      <c r="F220" s="367" t="s">
        <v>1048</v>
      </c>
      <c r="G220" s="367" t="s">
        <v>895</v>
      </c>
      <c r="H220" s="367" t="s">
        <v>895</v>
      </c>
      <c r="I220" s="464"/>
      <c r="J220" s="464">
        <v>132350</v>
      </c>
      <c r="K220" s="464">
        <v>0</v>
      </c>
      <c r="L220" s="464">
        <v>6750189</v>
      </c>
      <c r="M220" s="464"/>
    </row>
    <row r="221" spans="1:13" hidden="1" outlineLevel="1">
      <c r="A221" s="367" t="s">
        <v>894</v>
      </c>
      <c r="B221" s="367" t="s">
        <v>895</v>
      </c>
      <c r="C221" s="367" t="s">
        <v>1049</v>
      </c>
      <c r="D221" s="463" t="s">
        <v>1040</v>
      </c>
      <c r="E221" s="367" t="s">
        <v>971</v>
      </c>
      <c r="F221" s="367" t="s">
        <v>972</v>
      </c>
      <c r="G221" s="367" t="s">
        <v>895</v>
      </c>
      <c r="H221" s="367" t="s">
        <v>895</v>
      </c>
      <c r="I221" s="464"/>
      <c r="J221" s="464">
        <v>188784</v>
      </c>
      <c r="K221" s="464">
        <v>0</v>
      </c>
      <c r="L221" s="464">
        <v>6938973</v>
      </c>
      <c r="M221" s="464"/>
    </row>
    <row r="222" spans="1:13" hidden="1" outlineLevel="1">
      <c r="A222" s="367" t="s">
        <v>894</v>
      </c>
      <c r="B222" s="367" t="s">
        <v>895</v>
      </c>
      <c r="C222" s="367" t="s">
        <v>1050</v>
      </c>
      <c r="D222" s="463" t="s">
        <v>1040</v>
      </c>
      <c r="E222" s="367" t="s">
        <v>1051</v>
      </c>
      <c r="F222" s="367" t="s">
        <v>1052</v>
      </c>
      <c r="G222" s="367" t="s">
        <v>895</v>
      </c>
      <c r="H222" s="367" t="s">
        <v>895</v>
      </c>
      <c r="I222" s="464"/>
      <c r="J222" s="464">
        <v>171026</v>
      </c>
      <c r="K222" s="464">
        <v>0</v>
      </c>
      <c r="L222" s="464">
        <v>7109999</v>
      </c>
      <c r="M222" s="464"/>
    </row>
    <row r="223" spans="1:13" hidden="1" outlineLevel="1">
      <c r="A223" s="367" t="s">
        <v>894</v>
      </c>
      <c r="B223" s="367" t="s">
        <v>895</v>
      </c>
      <c r="C223" s="367" t="s">
        <v>745</v>
      </c>
      <c r="D223" s="463" t="s">
        <v>746</v>
      </c>
      <c r="E223" s="367" t="s">
        <v>677</v>
      </c>
      <c r="F223" s="367" t="s">
        <v>678</v>
      </c>
      <c r="G223" s="367" t="s">
        <v>895</v>
      </c>
      <c r="H223" s="367"/>
      <c r="I223" s="464"/>
      <c r="J223" s="464">
        <v>0</v>
      </c>
      <c r="K223" s="464">
        <v>283500</v>
      </c>
      <c r="L223" s="464">
        <v>6826499</v>
      </c>
      <c r="M223" s="464"/>
    </row>
    <row r="224" spans="1:13" hidden="1" outlineLevel="1">
      <c r="A224" s="367" t="s">
        <v>894</v>
      </c>
      <c r="B224" s="367" t="s">
        <v>895</v>
      </c>
      <c r="C224" s="367" t="s">
        <v>745</v>
      </c>
      <c r="D224" s="463" t="s">
        <v>746</v>
      </c>
      <c r="E224" s="367" t="s">
        <v>708</v>
      </c>
      <c r="F224" s="367" t="s">
        <v>709</v>
      </c>
      <c r="G224" s="367" t="s">
        <v>895</v>
      </c>
      <c r="H224" s="367"/>
      <c r="I224" s="464"/>
      <c r="J224" s="464">
        <v>0</v>
      </c>
      <c r="K224" s="464">
        <v>44000</v>
      </c>
      <c r="L224" s="464">
        <v>6782499</v>
      </c>
      <c r="M224" s="464"/>
    </row>
    <row r="225" spans="1:13" hidden="1" outlineLevel="1">
      <c r="A225" s="367" t="s">
        <v>894</v>
      </c>
      <c r="B225" s="367" t="s">
        <v>895</v>
      </c>
      <c r="C225" s="367" t="s">
        <v>1053</v>
      </c>
      <c r="D225" s="463" t="s">
        <v>1054</v>
      </c>
      <c r="E225" s="367" t="s">
        <v>922</v>
      </c>
      <c r="F225" s="367" t="s">
        <v>923</v>
      </c>
      <c r="G225" s="367" t="s">
        <v>895</v>
      </c>
      <c r="H225" s="367" t="s">
        <v>895</v>
      </c>
      <c r="I225" s="464"/>
      <c r="J225" s="464">
        <v>30030.03</v>
      </c>
      <c r="K225" s="464">
        <v>0</v>
      </c>
      <c r="L225" s="464">
        <v>6812529.0300000003</v>
      </c>
      <c r="M225" s="464"/>
    </row>
    <row r="226" spans="1:13" hidden="1" outlineLevel="1">
      <c r="A226" s="367" t="s">
        <v>894</v>
      </c>
      <c r="B226" s="367" t="s">
        <v>895</v>
      </c>
      <c r="C226" s="367" t="s">
        <v>1055</v>
      </c>
      <c r="D226" s="463" t="s">
        <v>1054</v>
      </c>
      <c r="E226" s="367" t="s">
        <v>1015</v>
      </c>
      <c r="F226" s="367" t="s">
        <v>1016</v>
      </c>
      <c r="G226" s="367" t="s">
        <v>895</v>
      </c>
      <c r="H226" s="367" t="s">
        <v>895</v>
      </c>
      <c r="I226" s="464"/>
      <c r="J226" s="464">
        <v>100100.1</v>
      </c>
      <c r="K226" s="464">
        <v>0</v>
      </c>
      <c r="L226" s="464">
        <v>6912629.1299999999</v>
      </c>
      <c r="M226" s="464"/>
    </row>
    <row r="227" spans="1:13" hidden="1" outlineLevel="1">
      <c r="A227" s="367" t="s">
        <v>894</v>
      </c>
      <c r="B227" s="367" t="s">
        <v>895</v>
      </c>
      <c r="C227" s="367" t="s">
        <v>1056</v>
      </c>
      <c r="D227" s="463" t="s">
        <v>1057</v>
      </c>
      <c r="E227" s="367" t="s">
        <v>911</v>
      </c>
      <c r="F227" s="367" t="s">
        <v>912</v>
      </c>
      <c r="G227" s="367" t="s">
        <v>999</v>
      </c>
      <c r="H227" s="367" t="s">
        <v>895</v>
      </c>
      <c r="I227" s="464"/>
      <c r="J227" s="464">
        <v>9200</v>
      </c>
      <c r="K227" s="464">
        <v>0</v>
      </c>
      <c r="L227" s="464">
        <v>6921829.1299999999</v>
      </c>
      <c r="M227" s="464"/>
    </row>
    <row r="228" spans="1:13" hidden="1" outlineLevel="1">
      <c r="A228" s="367" t="s">
        <v>894</v>
      </c>
      <c r="B228" s="367" t="s">
        <v>895</v>
      </c>
      <c r="C228" s="367" t="s">
        <v>1058</v>
      </c>
      <c r="D228" s="463" t="s">
        <v>1059</v>
      </c>
      <c r="E228" s="367" t="s">
        <v>911</v>
      </c>
      <c r="F228" s="367" t="s">
        <v>912</v>
      </c>
      <c r="G228" s="367" t="s">
        <v>1060</v>
      </c>
      <c r="H228" s="367"/>
      <c r="I228" s="464"/>
      <c r="J228" s="464">
        <v>0</v>
      </c>
      <c r="K228" s="464">
        <v>18400</v>
      </c>
      <c r="L228" s="464">
        <v>6903429.1299999999</v>
      </c>
      <c r="M228" s="464"/>
    </row>
    <row r="229" spans="1:13" hidden="1" outlineLevel="1">
      <c r="A229" s="367" t="s">
        <v>894</v>
      </c>
      <c r="B229" s="367" t="s">
        <v>895</v>
      </c>
      <c r="C229" s="367" t="s">
        <v>1058</v>
      </c>
      <c r="D229" s="463" t="s">
        <v>1059</v>
      </c>
      <c r="E229" s="367" t="s">
        <v>917</v>
      </c>
      <c r="F229" s="367" t="s">
        <v>918</v>
      </c>
      <c r="G229" s="367" t="s">
        <v>895</v>
      </c>
      <c r="H229" s="367"/>
      <c r="I229" s="464"/>
      <c r="J229" s="464">
        <v>7600</v>
      </c>
      <c r="K229" s="464">
        <v>0</v>
      </c>
      <c r="L229" s="464">
        <v>6911029.1299999999</v>
      </c>
      <c r="M229" s="464"/>
    </row>
    <row r="230" spans="1:13" hidden="1" outlineLevel="1">
      <c r="A230" s="367" t="s">
        <v>894</v>
      </c>
      <c r="B230" s="367" t="s">
        <v>895</v>
      </c>
      <c r="C230" s="367" t="s">
        <v>1061</v>
      </c>
      <c r="D230" s="463" t="s">
        <v>751</v>
      </c>
      <c r="E230" s="367" t="s">
        <v>701</v>
      </c>
      <c r="F230" s="367" t="s">
        <v>702</v>
      </c>
      <c r="G230" s="367" t="s">
        <v>895</v>
      </c>
      <c r="H230" s="367" t="s">
        <v>895</v>
      </c>
      <c r="I230" s="464"/>
      <c r="J230" s="464">
        <v>533445</v>
      </c>
      <c r="K230" s="464">
        <v>0</v>
      </c>
      <c r="L230" s="464">
        <v>7444474.1299999999</v>
      </c>
      <c r="M230" s="464"/>
    </row>
    <row r="231" spans="1:13" hidden="1" outlineLevel="1">
      <c r="A231" s="367" t="s">
        <v>894</v>
      </c>
      <c r="B231" s="367" t="s">
        <v>895</v>
      </c>
      <c r="C231" s="367" t="s">
        <v>1062</v>
      </c>
      <c r="D231" s="463" t="s">
        <v>751</v>
      </c>
      <c r="E231" s="367" t="s">
        <v>701</v>
      </c>
      <c r="F231" s="367" t="s">
        <v>702</v>
      </c>
      <c r="G231" s="367" t="s">
        <v>895</v>
      </c>
      <c r="H231" s="367" t="s">
        <v>895</v>
      </c>
      <c r="I231" s="464"/>
      <c r="J231" s="464">
        <v>0</v>
      </c>
      <c r="K231" s="464">
        <v>533445</v>
      </c>
      <c r="L231" s="464">
        <v>6911029.1299999999</v>
      </c>
      <c r="M231" s="464"/>
    </row>
    <row r="232" spans="1:13" hidden="1" outlineLevel="1">
      <c r="A232" s="367" t="s">
        <v>894</v>
      </c>
      <c r="B232" s="367" t="s">
        <v>895</v>
      </c>
      <c r="C232" s="367" t="s">
        <v>1063</v>
      </c>
      <c r="D232" s="463" t="s">
        <v>1064</v>
      </c>
      <c r="E232" s="367" t="s">
        <v>1065</v>
      </c>
      <c r="F232" s="367" t="s">
        <v>1066</v>
      </c>
      <c r="G232" s="367" t="s">
        <v>1067</v>
      </c>
      <c r="H232" s="367" t="s">
        <v>895</v>
      </c>
      <c r="I232" s="464"/>
      <c r="J232" s="464">
        <v>13300</v>
      </c>
      <c r="K232" s="464">
        <v>0</v>
      </c>
      <c r="L232" s="464">
        <v>6924329.1299999999</v>
      </c>
      <c r="M232" s="464"/>
    </row>
    <row r="233" spans="1:13" hidden="1" outlineLevel="1">
      <c r="A233" s="367" t="s">
        <v>894</v>
      </c>
      <c r="B233" s="367" t="s">
        <v>895</v>
      </c>
      <c r="C233" s="367" t="s">
        <v>1068</v>
      </c>
      <c r="D233" s="463" t="s">
        <v>1064</v>
      </c>
      <c r="E233" s="367" t="s">
        <v>917</v>
      </c>
      <c r="F233" s="367" t="s">
        <v>918</v>
      </c>
      <c r="G233" s="367" t="s">
        <v>1069</v>
      </c>
      <c r="H233" s="367" t="s">
        <v>895</v>
      </c>
      <c r="I233" s="464"/>
      <c r="J233" s="464">
        <v>43600</v>
      </c>
      <c r="K233" s="464">
        <v>0</v>
      </c>
      <c r="L233" s="464">
        <v>6967929.1299999999</v>
      </c>
      <c r="M233" s="464"/>
    </row>
    <row r="234" spans="1:13" hidden="1" outlineLevel="1">
      <c r="A234" s="367" t="s">
        <v>894</v>
      </c>
      <c r="B234" s="367" t="s">
        <v>895</v>
      </c>
      <c r="C234" s="367" t="s">
        <v>1070</v>
      </c>
      <c r="D234" s="463" t="s">
        <v>1064</v>
      </c>
      <c r="E234" s="367" t="s">
        <v>911</v>
      </c>
      <c r="F234" s="367" t="s">
        <v>912</v>
      </c>
      <c r="G234" s="367" t="s">
        <v>975</v>
      </c>
      <c r="H234" s="367" t="s">
        <v>895</v>
      </c>
      <c r="I234" s="464"/>
      <c r="J234" s="464">
        <v>36800</v>
      </c>
      <c r="K234" s="464">
        <v>0</v>
      </c>
      <c r="L234" s="464">
        <v>7004729.1299999999</v>
      </c>
      <c r="M234" s="464"/>
    </row>
    <row r="235" spans="1:13" hidden="1" outlineLevel="1">
      <c r="A235" s="367" t="s">
        <v>894</v>
      </c>
      <c r="B235" s="367" t="s">
        <v>895</v>
      </c>
      <c r="C235" s="367" t="s">
        <v>1068</v>
      </c>
      <c r="D235" s="463" t="s">
        <v>1064</v>
      </c>
      <c r="E235" s="367" t="s">
        <v>917</v>
      </c>
      <c r="F235" s="367" t="s">
        <v>918</v>
      </c>
      <c r="G235" s="367" t="s">
        <v>1071</v>
      </c>
      <c r="H235" s="367" t="s">
        <v>895</v>
      </c>
      <c r="I235" s="464"/>
      <c r="J235" s="464">
        <v>43600</v>
      </c>
      <c r="K235" s="464">
        <v>0</v>
      </c>
      <c r="L235" s="464">
        <v>7048329.1299999999</v>
      </c>
      <c r="M235" s="464"/>
    </row>
    <row r="236" spans="1:13" hidden="1" outlineLevel="1">
      <c r="A236" s="367" t="s">
        <v>894</v>
      </c>
      <c r="B236" s="367" t="s">
        <v>895</v>
      </c>
      <c r="C236" s="367" t="s">
        <v>1072</v>
      </c>
      <c r="D236" s="463" t="s">
        <v>1073</v>
      </c>
      <c r="E236" s="367" t="s">
        <v>905</v>
      </c>
      <c r="F236" s="367" t="s">
        <v>906</v>
      </c>
      <c r="G236" s="367" t="s">
        <v>1074</v>
      </c>
      <c r="H236" s="367" t="s">
        <v>895</v>
      </c>
      <c r="I236" s="464"/>
      <c r="J236" s="464">
        <v>14200</v>
      </c>
      <c r="K236" s="464">
        <v>0</v>
      </c>
      <c r="L236" s="464">
        <v>7062529.1299999999</v>
      </c>
      <c r="M236" s="464"/>
    </row>
    <row r="237" spans="1:13" hidden="1" outlineLevel="1">
      <c r="A237" s="367" t="s">
        <v>894</v>
      </c>
      <c r="B237" s="367" t="s">
        <v>895</v>
      </c>
      <c r="C237" s="367" t="s">
        <v>1075</v>
      </c>
      <c r="D237" s="463" t="s">
        <v>1073</v>
      </c>
      <c r="E237" s="367" t="s">
        <v>1076</v>
      </c>
      <c r="F237" s="367" t="s">
        <v>1077</v>
      </c>
      <c r="G237" s="367" t="s">
        <v>1078</v>
      </c>
      <c r="H237" s="367" t="s">
        <v>895</v>
      </c>
      <c r="I237" s="464"/>
      <c r="J237" s="464">
        <v>29000</v>
      </c>
      <c r="K237" s="464">
        <v>0</v>
      </c>
      <c r="L237" s="464">
        <v>7091529.1299999999</v>
      </c>
      <c r="M237" s="464"/>
    </row>
    <row r="238" spans="1:13" hidden="1" outlineLevel="1">
      <c r="A238" s="367" t="s">
        <v>894</v>
      </c>
      <c r="B238" s="367" t="s">
        <v>895</v>
      </c>
      <c r="C238" s="367" t="s">
        <v>1079</v>
      </c>
      <c r="D238" s="463" t="s">
        <v>1073</v>
      </c>
      <c r="E238" s="367" t="s">
        <v>1080</v>
      </c>
      <c r="F238" s="367" t="s">
        <v>1081</v>
      </c>
      <c r="G238" s="367" t="s">
        <v>1082</v>
      </c>
      <c r="H238" s="367" t="s">
        <v>895</v>
      </c>
      <c r="I238" s="464"/>
      <c r="J238" s="464">
        <v>13400</v>
      </c>
      <c r="K238" s="464">
        <v>0</v>
      </c>
      <c r="L238" s="464">
        <v>7104929.1299999999</v>
      </c>
      <c r="M238" s="464"/>
    </row>
    <row r="239" spans="1:13" hidden="1" outlineLevel="1">
      <c r="A239" s="367" t="s">
        <v>894</v>
      </c>
      <c r="B239" s="367" t="s">
        <v>895</v>
      </c>
      <c r="C239" s="367" t="s">
        <v>1083</v>
      </c>
      <c r="D239" s="463" t="s">
        <v>1073</v>
      </c>
      <c r="E239" s="367" t="s">
        <v>1084</v>
      </c>
      <c r="F239" s="367" t="s">
        <v>1085</v>
      </c>
      <c r="G239" s="367" t="s">
        <v>1086</v>
      </c>
      <c r="H239" s="367" t="s">
        <v>895</v>
      </c>
      <c r="I239" s="464"/>
      <c r="J239" s="464">
        <v>12700</v>
      </c>
      <c r="K239" s="464">
        <v>0</v>
      </c>
      <c r="L239" s="464">
        <v>7117629.1299999999</v>
      </c>
      <c r="M239" s="464"/>
    </row>
    <row r="240" spans="1:13" hidden="1" outlineLevel="1">
      <c r="A240" s="367" t="s">
        <v>894</v>
      </c>
      <c r="B240" s="367" t="s">
        <v>895</v>
      </c>
      <c r="C240" s="367" t="s">
        <v>1087</v>
      </c>
      <c r="D240" s="463" t="s">
        <v>1073</v>
      </c>
      <c r="E240" s="367" t="s">
        <v>911</v>
      </c>
      <c r="F240" s="367" t="s">
        <v>912</v>
      </c>
      <c r="G240" s="367" t="s">
        <v>1088</v>
      </c>
      <c r="H240" s="367" t="s">
        <v>895</v>
      </c>
      <c r="I240" s="464"/>
      <c r="J240" s="464">
        <v>18400</v>
      </c>
      <c r="K240" s="464">
        <v>0</v>
      </c>
      <c r="L240" s="464">
        <v>7136029.1299999999</v>
      </c>
      <c r="M240" s="464"/>
    </row>
    <row r="241" spans="1:13" hidden="1" outlineLevel="1">
      <c r="A241" s="367" t="s">
        <v>894</v>
      </c>
      <c r="B241" s="367" t="s">
        <v>895</v>
      </c>
      <c r="C241" s="367" t="s">
        <v>1089</v>
      </c>
      <c r="D241" s="463" t="s">
        <v>1073</v>
      </c>
      <c r="E241" s="367" t="s">
        <v>1080</v>
      </c>
      <c r="F241" s="367" t="s">
        <v>1081</v>
      </c>
      <c r="G241" s="367" t="s">
        <v>1090</v>
      </c>
      <c r="H241" s="367" t="s">
        <v>895</v>
      </c>
      <c r="I241" s="464"/>
      <c r="J241" s="464">
        <v>13400</v>
      </c>
      <c r="K241" s="464">
        <v>0</v>
      </c>
      <c r="L241" s="464">
        <v>7149429.1299999999</v>
      </c>
      <c r="M241" s="464"/>
    </row>
    <row r="242" spans="1:13" hidden="1" outlineLevel="1">
      <c r="A242" s="367" t="s">
        <v>894</v>
      </c>
      <c r="B242" s="367" t="s">
        <v>895</v>
      </c>
      <c r="C242" s="367" t="s">
        <v>1083</v>
      </c>
      <c r="D242" s="463" t="s">
        <v>1073</v>
      </c>
      <c r="E242" s="367" t="s">
        <v>1084</v>
      </c>
      <c r="F242" s="367" t="s">
        <v>1085</v>
      </c>
      <c r="G242" s="367" t="s">
        <v>1082</v>
      </c>
      <c r="H242" s="367" t="s">
        <v>895</v>
      </c>
      <c r="I242" s="464"/>
      <c r="J242" s="464">
        <v>9200</v>
      </c>
      <c r="K242" s="464">
        <v>0</v>
      </c>
      <c r="L242" s="464">
        <v>7158629.1299999999</v>
      </c>
      <c r="M242" s="464"/>
    </row>
    <row r="243" spans="1:13" hidden="1" outlineLevel="1">
      <c r="A243" s="367" t="s">
        <v>894</v>
      </c>
      <c r="B243" s="367" t="s">
        <v>895</v>
      </c>
      <c r="C243" s="367" t="s">
        <v>1075</v>
      </c>
      <c r="D243" s="463" t="s">
        <v>1073</v>
      </c>
      <c r="E243" s="367" t="s">
        <v>1076</v>
      </c>
      <c r="F243" s="367" t="s">
        <v>1077</v>
      </c>
      <c r="G243" s="367" t="s">
        <v>1091</v>
      </c>
      <c r="H243" s="367" t="s">
        <v>895</v>
      </c>
      <c r="I243" s="464"/>
      <c r="J243" s="464">
        <v>26200</v>
      </c>
      <c r="K243" s="464">
        <v>0</v>
      </c>
      <c r="L243" s="464">
        <v>7184829.1299999999</v>
      </c>
      <c r="M243" s="464"/>
    </row>
    <row r="244" spans="1:13" hidden="1" outlineLevel="1">
      <c r="A244" s="367" t="s">
        <v>894</v>
      </c>
      <c r="B244" s="367" t="s">
        <v>895</v>
      </c>
      <c r="C244" s="367" t="s">
        <v>1075</v>
      </c>
      <c r="D244" s="463" t="s">
        <v>1073</v>
      </c>
      <c r="E244" s="367" t="s">
        <v>1076</v>
      </c>
      <c r="F244" s="367" t="s">
        <v>1077</v>
      </c>
      <c r="G244" s="367" t="s">
        <v>1092</v>
      </c>
      <c r="H244" s="367" t="s">
        <v>895</v>
      </c>
      <c r="I244" s="464"/>
      <c r="J244" s="464">
        <v>26200</v>
      </c>
      <c r="K244" s="464">
        <v>0</v>
      </c>
      <c r="L244" s="464">
        <v>7211029.1299999999</v>
      </c>
      <c r="M244" s="464"/>
    </row>
    <row r="245" spans="1:13" hidden="1" outlineLevel="1">
      <c r="A245" s="367" t="s">
        <v>894</v>
      </c>
      <c r="B245" s="367" t="s">
        <v>895</v>
      </c>
      <c r="C245" s="367" t="s">
        <v>1093</v>
      </c>
      <c r="D245" s="463" t="s">
        <v>1094</v>
      </c>
      <c r="E245" s="367" t="s">
        <v>1065</v>
      </c>
      <c r="F245" s="367" t="s">
        <v>1066</v>
      </c>
      <c r="G245" s="367" t="s">
        <v>1067</v>
      </c>
      <c r="H245" s="367" t="s">
        <v>895</v>
      </c>
      <c r="I245" s="464"/>
      <c r="J245" s="464">
        <v>0</v>
      </c>
      <c r="K245" s="464">
        <v>13300</v>
      </c>
      <c r="L245" s="464">
        <v>7197729.1299999999</v>
      </c>
      <c r="M245" s="464"/>
    </row>
    <row r="246" spans="1:13" hidden="1" outlineLevel="1">
      <c r="A246" s="367" t="s">
        <v>894</v>
      </c>
      <c r="B246" s="367" t="s">
        <v>895</v>
      </c>
      <c r="C246" s="367" t="s">
        <v>1095</v>
      </c>
      <c r="D246" s="463" t="s">
        <v>1096</v>
      </c>
      <c r="E246" s="367" t="s">
        <v>1065</v>
      </c>
      <c r="F246" s="367" t="s">
        <v>1066</v>
      </c>
      <c r="G246" s="367" t="s">
        <v>1097</v>
      </c>
      <c r="H246" s="367" t="s">
        <v>895</v>
      </c>
      <c r="I246" s="464"/>
      <c r="J246" s="464">
        <v>11176</v>
      </c>
      <c r="K246" s="464">
        <v>0</v>
      </c>
      <c r="L246" s="464">
        <v>7208905.1299999999</v>
      </c>
      <c r="M246" s="464"/>
    </row>
    <row r="247" spans="1:13" hidden="1" outlineLevel="1">
      <c r="A247" s="367" t="s">
        <v>894</v>
      </c>
      <c r="B247" s="367" t="s">
        <v>895</v>
      </c>
      <c r="C247" s="367" t="s">
        <v>1098</v>
      </c>
      <c r="D247" s="463" t="s">
        <v>1096</v>
      </c>
      <c r="E247" s="367" t="s">
        <v>1099</v>
      </c>
      <c r="F247" s="367" t="s">
        <v>1100</v>
      </c>
      <c r="G247" s="367" t="s">
        <v>1101</v>
      </c>
      <c r="H247" s="367" t="s">
        <v>895</v>
      </c>
      <c r="I247" s="464"/>
      <c r="J247" s="464">
        <v>152690</v>
      </c>
      <c r="K247" s="464">
        <v>0</v>
      </c>
      <c r="L247" s="464">
        <v>7361595.1299999999</v>
      </c>
      <c r="M247" s="464"/>
    </row>
    <row r="248" spans="1:13" hidden="1" outlineLevel="1">
      <c r="A248" s="367" t="s">
        <v>894</v>
      </c>
      <c r="B248" s="367" t="s">
        <v>895</v>
      </c>
      <c r="C248" s="367" t="s">
        <v>1102</v>
      </c>
      <c r="D248" s="463" t="s">
        <v>1096</v>
      </c>
      <c r="E248" s="367" t="s">
        <v>1103</v>
      </c>
      <c r="F248" s="367" t="s">
        <v>1104</v>
      </c>
      <c r="G248" s="367" t="s">
        <v>1105</v>
      </c>
      <c r="H248" s="367" t="s">
        <v>895</v>
      </c>
      <c r="I248" s="464"/>
      <c r="J248" s="464">
        <v>102380</v>
      </c>
      <c r="K248" s="464">
        <v>0</v>
      </c>
      <c r="L248" s="464">
        <v>7463975.1299999999</v>
      </c>
      <c r="M248" s="464"/>
    </row>
    <row r="249" spans="1:13" hidden="1" outlineLevel="1">
      <c r="A249" s="367" t="s">
        <v>894</v>
      </c>
      <c r="B249" s="367" t="s">
        <v>895</v>
      </c>
      <c r="C249" s="367" t="s">
        <v>1106</v>
      </c>
      <c r="D249" s="463" t="s">
        <v>1107</v>
      </c>
      <c r="E249" s="367" t="s">
        <v>905</v>
      </c>
      <c r="F249" s="367" t="s">
        <v>906</v>
      </c>
      <c r="G249" s="367" t="s">
        <v>895</v>
      </c>
      <c r="H249" s="367" t="s">
        <v>895</v>
      </c>
      <c r="I249" s="464"/>
      <c r="J249" s="464">
        <v>18100</v>
      </c>
      <c r="K249" s="464">
        <v>0</v>
      </c>
      <c r="L249" s="464">
        <v>7482075.1299999999</v>
      </c>
      <c r="M249" s="464"/>
    </row>
    <row r="250" spans="1:13" hidden="1" outlineLevel="1">
      <c r="A250" s="367" t="s">
        <v>894</v>
      </c>
      <c r="B250" s="367" t="s">
        <v>895</v>
      </c>
      <c r="C250" s="367" t="s">
        <v>1108</v>
      </c>
      <c r="D250" s="463" t="s">
        <v>1107</v>
      </c>
      <c r="E250" s="367" t="s">
        <v>911</v>
      </c>
      <c r="F250" s="367" t="s">
        <v>912</v>
      </c>
      <c r="G250" s="367" t="s">
        <v>1109</v>
      </c>
      <c r="H250" s="367" t="s">
        <v>895</v>
      </c>
      <c r="I250" s="464"/>
      <c r="J250" s="464">
        <v>9200</v>
      </c>
      <c r="K250" s="464">
        <v>0</v>
      </c>
      <c r="L250" s="464">
        <v>7491275.1299999999</v>
      </c>
      <c r="M250" s="464"/>
    </row>
    <row r="251" spans="1:13" hidden="1" outlineLevel="1">
      <c r="A251" s="367" t="s">
        <v>894</v>
      </c>
      <c r="B251" s="367" t="s">
        <v>895</v>
      </c>
      <c r="C251" s="367" t="s">
        <v>1108</v>
      </c>
      <c r="D251" s="463" t="s">
        <v>1107</v>
      </c>
      <c r="E251" s="367" t="s">
        <v>911</v>
      </c>
      <c r="F251" s="367" t="s">
        <v>912</v>
      </c>
      <c r="G251" s="367" t="s">
        <v>1110</v>
      </c>
      <c r="H251" s="367" t="s">
        <v>895</v>
      </c>
      <c r="I251" s="464"/>
      <c r="J251" s="464">
        <v>9200</v>
      </c>
      <c r="K251" s="464">
        <v>0</v>
      </c>
      <c r="L251" s="464">
        <v>7500475.1299999999</v>
      </c>
      <c r="M251" s="464"/>
    </row>
    <row r="252" spans="1:13" hidden="1" outlineLevel="1">
      <c r="A252" s="367" t="s">
        <v>894</v>
      </c>
      <c r="B252" s="367" t="s">
        <v>895</v>
      </c>
      <c r="C252" s="367" t="s">
        <v>1106</v>
      </c>
      <c r="D252" s="463" t="s">
        <v>1107</v>
      </c>
      <c r="E252" s="367" t="s">
        <v>905</v>
      </c>
      <c r="F252" s="367" t="s">
        <v>906</v>
      </c>
      <c r="G252" s="367" t="s">
        <v>895</v>
      </c>
      <c r="H252" s="367" t="s">
        <v>895</v>
      </c>
      <c r="I252" s="464"/>
      <c r="J252" s="464">
        <v>18100</v>
      </c>
      <c r="K252" s="464">
        <v>0</v>
      </c>
      <c r="L252" s="464">
        <v>7518575.1299999999</v>
      </c>
      <c r="M252" s="464"/>
    </row>
    <row r="253" spans="1:13" hidden="1" outlineLevel="1">
      <c r="A253" s="367" t="s">
        <v>894</v>
      </c>
      <c r="B253" s="367" t="s">
        <v>895</v>
      </c>
      <c r="C253" s="367" t="s">
        <v>1108</v>
      </c>
      <c r="D253" s="463" t="s">
        <v>1107</v>
      </c>
      <c r="E253" s="367" t="s">
        <v>911</v>
      </c>
      <c r="F253" s="367" t="s">
        <v>912</v>
      </c>
      <c r="G253" s="367" t="s">
        <v>1111</v>
      </c>
      <c r="H253" s="367" t="s">
        <v>895</v>
      </c>
      <c r="I253" s="464"/>
      <c r="J253" s="464">
        <v>9200</v>
      </c>
      <c r="K253" s="464">
        <v>0</v>
      </c>
      <c r="L253" s="464">
        <v>7527775.1299999999</v>
      </c>
      <c r="M253" s="464"/>
    </row>
    <row r="254" spans="1:13" hidden="1" outlineLevel="1">
      <c r="A254" s="367" t="s">
        <v>894</v>
      </c>
      <c r="B254" s="367" t="s">
        <v>895</v>
      </c>
      <c r="C254" s="367" t="s">
        <v>1108</v>
      </c>
      <c r="D254" s="463" t="s">
        <v>1107</v>
      </c>
      <c r="E254" s="367" t="s">
        <v>911</v>
      </c>
      <c r="F254" s="367" t="s">
        <v>912</v>
      </c>
      <c r="G254" s="367" t="s">
        <v>1112</v>
      </c>
      <c r="H254" s="367" t="s">
        <v>895</v>
      </c>
      <c r="I254" s="464"/>
      <c r="J254" s="464">
        <v>9200</v>
      </c>
      <c r="K254" s="464">
        <v>0</v>
      </c>
      <c r="L254" s="464">
        <v>7536975.1299999999</v>
      </c>
      <c r="M254" s="464"/>
    </row>
    <row r="255" spans="1:13" hidden="1" outlineLevel="1">
      <c r="A255" s="367" t="s">
        <v>894</v>
      </c>
      <c r="B255" s="367" t="s">
        <v>895</v>
      </c>
      <c r="C255" s="367" t="s">
        <v>1108</v>
      </c>
      <c r="D255" s="463" t="s">
        <v>1107</v>
      </c>
      <c r="E255" s="367" t="s">
        <v>911</v>
      </c>
      <c r="F255" s="367" t="s">
        <v>912</v>
      </c>
      <c r="G255" s="367" t="s">
        <v>1113</v>
      </c>
      <c r="H255" s="367" t="s">
        <v>895</v>
      </c>
      <c r="I255" s="464"/>
      <c r="J255" s="464">
        <v>9200</v>
      </c>
      <c r="K255" s="464">
        <v>0</v>
      </c>
      <c r="L255" s="464">
        <v>7546175.1299999999</v>
      </c>
      <c r="M255" s="464"/>
    </row>
    <row r="256" spans="1:13" hidden="1" outlineLevel="1">
      <c r="A256" s="367" t="s">
        <v>894</v>
      </c>
      <c r="B256" s="367" t="s">
        <v>895</v>
      </c>
      <c r="C256" s="367" t="s">
        <v>1108</v>
      </c>
      <c r="D256" s="463" t="s">
        <v>1107</v>
      </c>
      <c r="E256" s="367" t="s">
        <v>911</v>
      </c>
      <c r="F256" s="367" t="s">
        <v>912</v>
      </c>
      <c r="G256" s="367" t="s">
        <v>1114</v>
      </c>
      <c r="H256" s="367" t="s">
        <v>895</v>
      </c>
      <c r="I256" s="464"/>
      <c r="J256" s="464">
        <v>9200</v>
      </c>
      <c r="K256" s="464">
        <v>0</v>
      </c>
      <c r="L256" s="464">
        <v>7555375.1299999999</v>
      </c>
      <c r="M256" s="464"/>
    </row>
    <row r="257" spans="1:13" hidden="1" outlineLevel="1">
      <c r="A257" s="367" t="s">
        <v>894</v>
      </c>
      <c r="B257" s="367" t="s">
        <v>895</v>
      </c>
      <c r="C257" s="367" t="s">
        <v>1115</v>
      </c>
      <c r="D257" s="463" t="s">
        <v>1116</v>
      </c>
      <c r="E257" s="367" t="s">
        <v>917</v>
      </c>
      <c r="F257" s="367" t="s">
        <v>918</v>
      </c>
      <c r="G257" s="367" t="s">
        <v>895</v>
      </c>
      <c r="H257" s="367" t="s">
        <v>895</v>
      </c>
      <c r="I257" s="464"/>
      <c r="J257" s="464">
        <v>21800</v>
      </c>
      <c r="K257" s="464">
        <v>0</v>
      </c>
      <c r="L257" s="464">
        <v>7577175.1299999999</v>
      </c>
      <c r="M257" s="464"/>
    </row>
    <row r="258" spans="1:13" hidden="1" outlineLevel="1">
      <c r="A258" s="367" t="s">
        <v>894</v>
      </c>
      <c r="B258" s="367" t="s">
        <v>895</v>
      </c>
      <c r="C258" s="367" t="s">
        <v>1117</v>
      </c>
      <c r="D258" s="463" t="s">
        <v>1116</v>
      </c>
      <c r="E258" s="367" t="s">
        <v>950</v>
      </c>
      <c r="F258" s="367" t="s">
        <v>951</v>
      </c>
      <c r="G258" s="367" t="s">
        <v>1118</v>
      </c>
      <c r="H258" s="367" t="s">
        <v>895</v>
      </c>
      <c r="I258" s="464"/>
      <c r="J258" s="464">
        <v>19470.400000000001</v>
      </c>
      <c r="K258" s="464">
        <v>0</v>
      </c>
      <c r="L258" s="464">
        <v>7596645.5300000003</v>
      </c>
      <c r="M258" s="464"/>
    </row>
    <row r="259" spans="1:13" hidden="1" outlineLevel="1">
      <c r="A259" s="367" t="s">
        <v>894</v>
      </c>
      <c r="B259" s="367" t="s">
        <v>895</v>
      </c>
      <c r="C259" s="367" t="s">
        <v>1117</v>
      </c>
      <c r="D259" s="463" t="s">
        <v>1116</v>
      </c>
      <c r="E259" s="367" t="s">
        <v>950</v>
      </c>
      <c r="F259" s="367" t="s">
        <v>951</v>
      </c>
      <c r="G259" s="367" t="s">
        <v>1118</v>
      </c>
      <c r="H259" s="367" t="s">
        <v>895</v>
      </c>
      <c r="I259" s="464"/>
      <c r="J259" s="464">
        <v>1830.38</v>
      </c>
      <c r="K259" s="464">
        <v>0</v>
      </c>
      <c r="L259" s="464">
        <v>7598475.9100000001</v>
      </c>
      <c r="M259" s="464"/>
    </row>
    <row r="260" spans="1:13" hidden="1" outlineLevel="1">
      <c r="A260" s="367" t="s">
        <v>894</v>
      </c>
      <c r="B260" s="367" t="s">
        <v>895</v>
      </c>
      <c r="C260" s="367" t="s">
        <v>1119</v>
      </c>
      <c r="D260" s="463" t="s">
        <v>763</v>
      </c>
      <c r="E260" s="367" t="s">
        <v>1120</v>
      </c>
      <c r="F260" s="367" t="s">
        <v>1121</v>
      </c>
      <c r="G260" s="367" t="s">
        <v>1122</v>
      </c>
      <c r="H260" s="367" t="s">
        <v>895</v>
      </c>
      <c r="I260" s="464"/>
      <c r="J260" s="464">
        <v>136800</v>
      </c>
      <c r="K260" s="464">
        <v>0</v>
      </c>
      <c r="L260" s="464">
        <v>7735275.9100000001</v>
      </c>
      <c r="M260" s="464"/>
    </row>
    <row r="261" spans="1:13" hidden="1" outlineLevel="1">
      <c r="A261" s="367" t="s">
        <v>894</v>
      </c>
      <c r="B261" s="367" t="s">
        <v>895</v>
      </c>
      <c r="C261" s="367" t="s">
        <v>1123</v>
      </c>
      <c r="D261" s="463" t="s">
        <v>763</v>
      </c>
      <c r="E261" s="367" t="s">
        <v>911</v>
      </c>
      <c r="F261" s="367" t="s">
        <v>912</v>
      </c>
      <c r="G261" s="367" t="s">
        <v>1124</v>
      </c>
      <c r="H261" s="367" t="s">
        <v>895</v>
      </c>
      <c r="I261" s="464"/>
      <c r="J261" s="464">
        <v>9200</v>
      </c>
      <c r="K261" s="464">
        <v>0</v>
      </c>
      <c r="L261" s="464">
        <v>7744475.9100000001</v>
      </c>
      <c r="M261" s="464"/>
    </row>
    <row r="262" spans="1:13" hidden="1" outlineLevel="1">
      <c r="A262" s="367" t="s">
        <v>894</v>
      </c>
      <c r="B262" s="367" t="s">
        <v>895</v>
      </c>
      <c r="C262" s="367" t="s">
        <v>1123</v>
      </c>
      <c r="D262" s="463" t="s">
        <v>763</v>
      </c>
      <c r="E262" s="367" t="s">
        <v>911</v>
      </c>
      <c r="F262" s="367" t="s">
        <v>912</v>
      </c>
      <c r="G262" s="367" t="s">
        <v>1125</v>
      </c>
      <c r="H262" s="367" t="s">
        <v>895</v>
      </c>
      <c r="I262" s="464"/>
      <c r="J262" s="464">
        <v>9200</v>
      </c>
      <c r="K262" s="464">
        <v>0</v>
      </c>
      <c r="L262" s="464">
        <v>7753675.9100000001</v>
      </c>
      <c r="M262" s="464"/>
    </row>
    <row r="263" spans="1:13" hidden="1" outlineLevel="1">
      <c r="A263" s="367" t="s">
        <v>894</v>
      </c>
      <c r="B263" s="367" t="s">
        <v>895</v>
      </c>
      <c r="C263" s="367" t="s">
        <v>1119</v>
      </c>
      <c r="D263" s="463" t="s">
        <v>763</v>
      </c>
      <c r="E263" s="367" t="s">
        <v>1120</v>
      </c>
      <c r="F263" s="367" t="s">
        <v>1121</v>
      </c>
      <c r="G263" s="367" t="s">
        <v>895</v>
      </c>
      <c r="H263" s="367" t="s">
        <v>895</v>
      </c>
      <c r="I263" s="464"/>
      <c r="J263" s="464">
        <v>4285.7</v>
      </c>
      <c r="K263" s="464">
        <v>0</v>
      </c>
      <c r="L263" s="464">
        <v>7757961.6100000003</v>
      </c>
      <c r="M263" s="464"/>
    </row>
    <row r="264" spans="1:13" hidden="1" outlineLevel="1">
      <c r="A264" s="367" t="s">
        <v>894</v>
      </c>
      <c r="B264" s="367" t="s">
        <v>895</v>
      </c>
      <c r="C264" s="367" t="s">
        <v>1123</v>
      </c>
      <c r="D264" s="463" t="s">
        <v>763</v>
      </c>
      <c r="E264" s="367" t="s">
        <v>911</v>
      </c>
      <c r="F264" s="367" t="s">
        <v>912</v>
      </c>
      <c r="G264" s="367" t="s">
        <v>1125</v>
      </c>
      <c r="H264" s="367" t="s">
        <v>895</v>
      </c>
      <c r="I264" s="464"/>
      <c r="J264" s="464">
        <v>9200</v>
      </c>
      <c r="K264" s="464">
        <v>0</v>
      </c>
      <c r="L264" s="464">
        <v>7767161.6100000003</v>
      </c>
      <c r="M264" s="464"/>
    </row>
    <row r="265" spans="1:13" hidden="1" outlineLevel="1">
      <c r="A265" s="367" t="s">
        <v>894</v>
      </c>
      <c r="B265" s="367" t="s">
        <v>895</v>
      </c>
      <c r="C265" s="367" t="s">
        <v>1123</v>
      </c>
      <c r="D265" s="463" t="s">
        <v>763</v>
      </c>
      <c r="E265" s="367" t="s">
        <v>911</v>
      </c>
      <c r="F265" s="367" t="s">
        <v>912</v>
      </c>
      <c r="G265" s="367" t="s">
        <v>1125</v>
      </c>
      <c r="H265" s="367" t="s">
        <v>895</v>
      </c>
      <c r="I265" s="464"/>
      <c r="J265" s="464">
        <v>9200</v>
      </c>
      <c r="K265" s="464">
        <v>0</v>
      </c>
      <c r="L265" s="464">
        <v>7776361.6100000003</v>
      </c>
      <c r="M265" s="464"/>
    </row>
    <row r="266" spans="1:13" hidden="1" outlineLevel="1">
      <c r="A266" s="367" t="s">
        <v>894</v>
      </c>
      <c r="B266" s="367" t="s">
        <v>895</v>
      </c>
      <c r="C266" s="367" t="s">
        <v>1126</v>
      </c>
      <c r="D266" s="463" t="s">
        <v>765</v>
      </c>
      <c r="E266" s="367" t="s">
        <v>522</v>
      </c>
      <c r="F266" s="367" t="s">
        <v>523</v>
      </c>
      <c r="G266" s="367" t="s">
        <v>1127</v>
      </c>
      <c r="H266" s="367" t="s">
        <v>895</v>
      </c>
      <c r="I266" s="464"/>
      <c r="J266" s="464">
        <v>57000</v>
      </c>
      <c r="K266" s="464">
        <v>0</v>
      </c>
      <c r="L266" s="464">
        <v>7833361.6100000003</v>
      </c>
      <c r="M266" s="464"/>
    </row>
    <row r="267" spans="1:13" hidden="1" outlineLevel="1">
      <c r="A267" s="367" t="s">
        <v>894</v>
      </c>
      <c r="B267" s="367" t="s">
        <v>895</v>
      </c>
      <c r="C267" s="367" t="s">
        <v>1128</v>
      </c>
      <c r="D267" s="463" t="s">
        <v>765</v>
      </c>
      <c r="E267" s="367" t="s">
        <v>911</v>
      </c>
      <c r="F267" s="367" t="s">
        <v>912</v>
      </c>
      <c r="G267" s="367" t="s">
        <v>975</v>
      </c>
      <c r="H267" s="367" t="s">
        <v>895</v>
      </c>
      <c r="I267" s="464"/>
      <c r="J267" s="464">
        <v>9200</v>
      </c>
      <c r="K267" s="464">
        <v>0</v>
      </c>
      <c r="L267" s="464">
        <v>7842561.6100000003</v>
      </c>
      <c r="M267" s="464"/>
    </row>
    <row r="268" spans="1:13" hidden="1" outlineLevel="1">
      <c r="A268" s="367" t="s">
        <v>894</v>
      </c>
      <c r="B268" s="367" t="s">
        <v>895</v>
      </c>
      <c r="C268" s="367" t="s">
        <v>1129</v>
      </c>
      <c r="D268" s="463" t="s">
        <v>765</v>
      </c>
      <c r="E268" s="367" t="s">
        <v>917</v>
      </c>
      <c r="F268" s="367" t="s">
        <v>918</v>
      </c>
      <c r="G268" s="367" t="s">
        <v>1130</v>
      </c>
      <c r="H268" s="367" t="s">
        <v>895</v>
      </c>
      <c r="I268" s="464"/>
      <c r="J268" s="464">
        <v>21800</v>
      </c>
      <c r="K268" s="464">
        <v>0</v>
      </c>
      <c r="L268" s="464">
        <v>7864361.6100000003</v>
      </c>
      <c r="M268" s="464"/>
    </row>
    <row r="269" spans="1:13" hidden="1" outlineLevel="1">
      <c r="A269" s="367" t="s">
        <v>894</v>
      </c>
      <c r="B269" s="367" t="s">
        <v>895</v>
      </c>
      <c r="C269" s="367" t="s">
        <v>1131</v>
      </c>
      <c r="D269" s="463" t="s">
        <v>765</v>
      </c>
      <c r="E269" s="367" t="s">
        <v>917</v>
      </c>
      <c r="F269" s="367" t="s">
        <v>918</v>
      </c>
      <c r="G269" s="367" t="s">
        <v>1130</v>
      </c>
      <c r="H269" s="367" t="s">
        <v>895</v>
      </c>
      <c r="I269" s="464"/>
      <c r="J269" s="464">
        <v>21800</v>
      </c>
      <c r="K269" s="464">
        <v>0</v>
      </c>
      <c r="L269" s="464">
        <v>7886161.6100000003</v>
      </c>
      <c r="M269" s="464"/>
    </row>
    <row r="270" spans="1:13" hidden="1" outlineLevel="1">
      <c r="A270" s="367" t="s">
        <v>894</v>
      </c>
      <c r="B270" s="367" t="s">
        <v>895</v>
      </c>
      <c r="C270" s="367" t="s">
        <v>1132</v>
      </c>
      <c r="D270" s="463" t="s">
        <v>1133</v>
      </c>
      <c r="E270" s="367" t="s">
        <v>1134</v>
      </c>
      <c r="F270" s="367" t="s">
        <v>1135</v>
      </c>
      <c r="G270" s="367" t="s">
        <v>1136</v>
      </c>
      <c r="H270" s="367"/>
      <c r="I270" s="464"/>
      <c r="J270" s="464">
        <v>0</v>
      </c>
      <c r="K270" s="464">
        <v>300000</v>
      </c>
      <c r="L270" s="464">
        <v>7586161.6100000003</v>
      </c>
      <c r="M270" s="464"/>
    </row>
    <row r="271" spans="1:13" hidden="1" outlineLevel="1">
      <c r="A271" s="367" t="s">
        <v>894</v>
      </c>
      <c r="B271" s="367" t="s">
        <v>895</v>
      </c>
      <c r="C271" s="367" t="s">
        <v>1137</v>
      </c>
      <c r="D271" s="463" t="s">
        <v>774</v>
      </c>
      <c r="E271" s="367" t="s">
        <v>1120</v>
      </c>
      <c r="F271" s="367" t="s">
        <v>1121</v>
      </c>
      <c r="G271" s="367" t="s">
        <v>1138</v>
      </c>
      <c r="H271" s="367" t="s">
        <v>895</v>
      </c>
      <c r="I271" s="464"/>
      <c r="J271" s="464">
        <v>131000</v>
      </c>
      <c r="K271" s="464">
        <v>0</v>
      </c>
      <c r="L271" s="464">
        <v>7717161.6100000003</v>
      </c>
      <c r="M271" s="464"/>
    </row>
    <row r="272" spans="1:13" hidden="1" outlineLevel="1">
      <c r="A272" s="367" t="s">
        <v>894</v>
      </c>
      <c r="B272" s="367" t="s">
        <v>895</v>
      </c>
      <c r="C272" s="367" t="s">
        <v>1139</v>
      </c>
      <c r="D272" s="463" t="s">
        <v>774</v>
      </c>
      <c r="E272" s="367" t="s">
        <v>982</v>
      </c>
      <c r="F272" s="367" t="s">
        <v>983</v>
      </c>
      <c r="G272" s="367" t="s">
        <v>984</v>
      </c>
      <c r="H272" s="367" t="s">
        <v>895</v>
      </c>
      <c r="I272" s="464"/>
      <c r="J272" s="464">
        <v>100100.1</v>
      </c>
      <c r="K272" s="464">
        <v>0</v>
      </c>
      <c r="L272" s="464">
        <v>7817261.71</v>
      </c>
      <c r="M272" s="464"/>
    </row>
    <row r="273" spans="1:13" hidden="1" outlineLevel="1">
      <c r="A273" s="367" t="s">
        <v>894</v>
      </c>
      <c r="B273" s="367" t="s">
        <v>895</v>
      </c>
      <c r="C273" s="367" t="s">
        <v>1140</v>
      </c>
      <c r="D273" s="463" t="s">
        <v>774</v>
      </c>
      <c r="E273" s="367" t="s">
        <v>690</v>
      </c>
      <c r="F273" s="367" t="s">
        <v>691</v>
      </c>
      <c r="G273" s="367" t="s">
        <v>827</v>
      </c>
      <c r="H273" s="367" t="s">
        <v>895</v>
      </c>
      <c r="I273" s="464"/>
      <c r="J273" s="464">
        <v>200000</v>
      </c>
      <c r="K273" s="464">
        <v>0</v>
      </c>
      <c r="L273" s="464">
        <v>8017261.71</v>
      </c>
      <c r="M273" s="464"/>
    </row>
    <row r="274" spans="1:13" hidden="1" outlineLevel="1">
      <c r="A274" s="367" t="s">
        <v>894</v>
      </c>
      <c r="B274" s="367" t="s">
        <v>895</v>
      </c>
      <c r="C274" s="367" t="s">
        <v>1137</v>
      </c>
      <c r="D274" s="463" t="s">
        <v>774</v>
      </c>
      <c r="E274" s="367" t="s">
        <v>1120</v>
      </c>
      <c r="F274" s="367" t="s">
        <v>1121</v>
      </c>
      <c r="G274" s="367" t="s">
        <v>1141</v>
      </c>
      <c r="H274" s="367" t="s">
        <v>895</v>
      </c>
      <c r="I274" s="464"/>
      <c r="J274" s="464">
        <v>4790</v>
      </c>
      <c r="K274" s="464">
        <v>0</v>
      </c>
      <c r="L274" s="464">
        <v>8022051.71</v>
      </c>
      <c r="M274" s="464"/>
    </row>
    <row r="275" spans="1:13" hidden="1" outlineLevel="1">
      <c r="A275" s="367" t="s">
        <v>894</v>
      </c>
      <c r="B275" s="367" t="s">
        <v>895</v>
      </c>
      <c r="C275" s="367" t="s">
        <v>1142</v>
      </c>
      <c r="D275" s="463" t="s">
        <v>1143</v>
      </c>
      <c r="E275" s="367" t="s">
        <v>911</v>
      </c>
      <c r="F275" s="367" t="s">
        <v>912</v>
      </c>
      <c r="G275" s="367" t="s">
        <v>975</v>
      </c>
      <c r="H275" s="367" t="s">
        <v>895</v>
      </c>
      <c r="I275" s="464"/>
      <c r="J275" s="464">
        <v>9200</v>
      </c>
      <c r="K275" s="464">
        <v>0</v>
      </c>
      <c r="L275" s="464">
        <v>8031251.71</v>
      </c>
      <c r="M275" s="464"/>
    </row>
    <row r="276" spans="1:13" hidden="1" outlineLevel="1">
      <c r="A276" s="367" t="s">
        <v>894</v>
      </c>
      <c r="B276" s="367" t="s">
        <v>895</v>
      </c>
      <c r="C276" s="367" t="s">
        <v>1144</v>
      </c>
      <c r="D276" s="463" t="s">
        <v>1143</v>
      </c>
      <c r="E276" s="367" t="s">
        <v>917</v>
      </c>
      <c r="F276" s="367" t="s">
        <v>918</v>
      </c>
      <c r="G276" s="367" t="s">
        <v>1145</v>
      </c>
      <c r="H276" s="367" t="s">
        <v>895</v>
      </c>
      <c r="I276" s="464"/>
      <c r="J276" s="464">
        <v>21800</v>
      </c>
      <c r="K276" s="464">
        <v>0</v>
      </c>
      <c r="L276" s="464">
        <v>8053051.71</v>
      </c>
      <c r="M276" s="464"/>
    </row>
    <row r="277" spans="1:13" hidden="1" outlineLevel="1">
      <c r="A277" s="367" t="s">
        <v>894</v>
      </c>
      <c r="B277" s="367" t="s">
        <v>895</v>
      </c>
      <c r="C277" s="367" t="s">
        <v>1144</v>
      </c>
      <c r="D277" s="463" t="s">
        <v>1143</v>
      </c>
      <c r="E277" s="367" t="s">
        <v>917</v>
      </c>
      <c r="F277" s="367" t="s">
        <v>918</v>
      </c>
      <c r="G277" s="367" t="s">
        <v>1146</v>
      </c>
      <c r="H277" s="367" t="s">
        <v>895</v>
      </c>
      <c r="I277" s="464"/>
      <c r="J277" s="464">
        <v>21800</v>
      </c>
      <c r="K277" s="464">
        <v>0</v>
      </c>
      <c r="L277" s="464">
        <v>8074851.71</v>
      </c>
      <c r="M277" s="464"/>
    </row>
    <row r="278" spans="1:13" hidden="1" outlineLevel="1">
      <c r="A278" s="367" t="s">
        <v>894</v>
      </c>
      <c r="B278" s="367" t="s">
        <v>895</v>
      </c>
      <c r="C278" s="367" t="s">
        <v>1142</v>
      </c>
      <c r="D278" s="463" t="s">
        <v>1143</v>
      </c>
      <c r="E278" s="367" t="s">
        <v>911</v>
      </c>
      <c r="F278" s="367" t="s">
        <v>912</v>
      </c>
      <c r="G278" s="367" t="s">
        <v>975</v>
      </c>
      <c r="H278" s="367" t="s">
        <v>895</v>
      </c>
      <c r="I278" s="464"/>
      <c r="J278" s="464">
        <v>9200</v>
      </c>
      <c r="K278" s="464">
        <v>0</v>
      </c>
      <c r="L278" s="464">
        <v>8084051.71</v>
      </c>
      <c r="M278" s="464"/>
    </row>
    <row r="279" spans="1:13" hidden="1" outlineLevel="1">
      <c r="A279" s="367" t="s">
        <v>894</v>
      </c>
      <c r="B279" s="367" t="s">
        <v>895</v>
      </c>
      <c r="C279" s="367" t="s">
        <v>1147</v>
      </c>
      <c r="D279" s="463" t="s">
        <v>1148</v>
      </c>
      <c r="E279" s="367" t="s">
        <v>911</v>
      </c>
      <c r="F279" s="367" t="s">
        <v>912</v>
      </c>
      <c r="G279" s="367" t="s">
        <v>1149</v>
      </c>
      <c r="H279" s="367" t="s">
        <v>895</v>
      </c>
      <c r="I279" s="464"/>
      <c r="J279" s="464">
        <v>9200</v>
      </c>
      <c r="K279" s="464">
        <v>0</v>
      </c>
      <c r="L279" s="464">
        <v>8093251.71</v>
      </c>
      <c r="M279" s="464"/>
    </row>
    <row r="280" spans="1:13" hidden="1" outlineLevel="1">
      <c r="A280" s="367" t="s">
        <v>894</v>
      </c>
      <c r="B280" s="367" t="s">
        <v>895</v>
      </c>
      <c r="C280" s="367" t="s">
        <v>1147</v>
      </c>
      <c r="D280" s="463" t="s">
        <v>1148</v>
      </c>
      <c r="E280" s="367" t="s">
        <v>911</v>
      </c>
      <c r="F280" s="367" t="s">
        <v>912</v>
      </c>
      <c r="G280" s="367" t="s">
        <v>1149</v>
      </c>
      <c r="H280" s="367" t="s">
        <v>895</v>
      </c>
      <c r="I280" s="464"/>
      <c r="J280" s="464">
        <v>9200</v>
      </c>
      <c r="K280" s="464">
        <v>0</v>
      </c>
      <c r="L280" s="464">
        <v>8102451.71</v>
      </c>
      <c r="M280" s="464"/>
    </row>
    <row r="281" spans="1:13" hidden="1" outlineLevel="1">
      <c r="A281" s="367" t="s">
        <v>894</v>
      </c>
      <c r="B281" s="367" t="s">
        <v>895</v>
      </c>
      <c r="C281" s="367" t="s">
        <v>1150</v>
      </c>
      <c r="D281" s="463" t="s">
        <v>1151</v>
      </c>
      <c r="E281" s="367" t="s">
        <v>1152</v>
      </c>
      <c r="F281" s="367" t="s">
        <v>1153</v>
      </c>
      <c r="G281" s="367" t="s">
        <v>895</v>
      </c>
      <c r="H281" s="367" t="s">
        <v>895</v>
      </c>
      <c r="I281" s="464"/>
      <c r="J281" s="464">
        <v>3000</v>
      </c>
      <c r="K281" s="464">
        <v>0</v>
      </c>
      <c r="L281" s="464">
        <v>8105451.71</v>
      </c>
      <c r="M281" s="464"/>
    </row>
    <row r="282" spans="1:13" hidden="1" outlineLevel="1">
      <c r="A282" s="367" t="s">
        <v>894</v>
      </c>
      <c r="B282" s="367" t="s">
        <v>895</v>
      </c>
      <c r="C282" s="367" t="s">
        <v>1150</v>
      </c>
      <c r="D282" s="463" t="s">
        <v>1151</v>
      </c>
      <c r="E282" s="367" t="s">
        <v>1152</v>
      </c>
      <c r="F282" s="367" t="s">
        <v>1153</v>
      </c>
      <c r="G282" s="367" t="s">
        <v>895</v>
      </c>
      <c r="H282" s="367" t="s">
        <v>895</v>
      </c>
      <c r="I282" s="464"/>
      <c r="J282" s="464">
        <v>3000</v>
      </c>
      <c r="K282" s="464">
        <v>0</v>
      </c>
      <c r="L282" s="464">
        <v>8108451.71</v>
      </c>
      <c r="M282" s="464"/>
    </row>
    <row r="283" spans="1:13" hidden="1" outlineLevel="1">
      <c r="A283" s="367" t="s">
        <v>894</v>
      </c>
      <c r="B283" s="367" t="s">
        <v>895</v>
      </c>
      <c r="C283" s="367" t="s">
        <v>1150</v>
      </c>
      <c r="D283" s="463" t="s">
        <v>1151</v>
      </c>
      <c r="E283" s="367" t="s">
        <v>1152</v>
      </c>
      <c r="F283" s="367" t="s">
        <v>1153</v>
      </c>
      <c r="G283" s="367" t="s">
        <v>895</v>
      </c>
      <c r="H283" s="367" t="s">
        <v>895</v>
      </c>
      <c r="I283" s="464"/>
      <c r="J283" s="464">
        <v>5000</v>
      </c>
      <c r="K283" s="464">
        <v>0</v>
      </c>
      <c r="L283" s="464">
        <v>8113451.71</v>
      </c>
      <c r="M283" s="464"/>
    </row>
    <row r="284" spans="1:13" hidden="1" outlineLevel="1">
      <c r="A284" s="367" t="s">
        <v>894</v>
      </c>
      <c r="B284" s="367" t="s">
        <v>895</v>
      </c>
      <c r="C284" s="367" t="s">
        <v>1154</v>
      </c>
      <c r="D284" s="463" t="s">
        <v>776</v>
      </c>
      <c r="E284" s="367" t="s">
        <v>1120</v>
      </c>
      <c r="F284" s="367" t="s">
        <v>1121</v>
      </c>
      <c r="G284" s="367" t="s">
        <v>1155</v>
      </c>
      <c r="H284" s="367" t="s">
        <v>895</v>
      </c>
      <c r="I284" s="464"/>
      <c r="J284" s="464">
        <v>4202</v>
      </c>
      <c r="K284" s="464">
        <v>0</v>
      </c>
      <c r="L284" s="464">
        <v>8117653.71</v>
      </c>
      <c r="M284" s="464"/>
    </row>
    <row r="285" spans="1:13" hidden="1" outlineLevel="1">
      <c r="A285" s="367" t="s">
        <v>894</v>
      </c>
      <c r="B285" s="367" t="s">
        <v>895</v>
      </c>
      <c r="C285" s="367" t="s">
        <v>1156</v>
      </c>
      <c r="D285" s="463" t="s">
        <v>776</v>
      </c>
      <c r="E285" s="367" t="s">
        <v>1120</v>
      </c>
      <c r="F285" s="367" t="s">
        <v>1121</v>
      </c>
      <c r="G285" s="367" t="s">
        <v>1138</v>
      </c>
      <c r="H285" s="367" t="s">
        <v>895</v>
      </c>
      <c r="I285" s="464"/>
      <c r="J285" s="464">
        <v>98200</v>
      </c>
      <c r="K285" s="464">
        <v>0</v>
      </c>
      <c r="L285" s="464">
        <v>8215853.71</v>
      </c>
      <c r="M285" s="464"/>
    </row>
    <row r="286" spans="1:13" hidden="1" outlineLevel="1">
      <c r="A286" s="367" t="s">
        <v>894</v>
      </c>
      <c r="B286" s="367" t="s">
        <v>895</v>
      </c>
      <c r="C286" s="367" t="s">
        <v>1157</v>
      </c>
      <c r="D286" s="463" t="s">
        <v>776</v>
      </c>
      <c r="E286" s="367" t="s">
        <v>911</v>
      </c>
      <c r="F286" s="367" t="s">
        <v>912</v>
      </c>
      <c r="G286" s="367" t="s">
        <v>895</v>
      </c>
      <c r="H286" s="367" t="s">
        <v>895</v>
      </c>
      <c r="I286" s="464"/>
      <c r="J286" s="464">
        <v>9200</v>
      </c>
      <c r="K286" s="464">
        <v>0</v>
      </c>
      <c r="L286" s="464">
        <v>8225053.71</v>
      </c>
      <c r="M286" s="464"/>
    </row>
    <row r="287" spans="1:13" hidden="1" outlineLevel="1">
      <c r="A287" s="367" t="s">
        <v>894</v>
      </c>
      <c r="B287" s="367" t="s">
        <v>895</v>
      </c>
      <c r="C287" s="367" t="s">
        <v>1157</v>
      </c>
      <c r="D287" s="463" t="s">
        <v>776</v>
      </c>
      <c r="E287" s="367" t="s">
        <v>911</v>
      </c>
      <c r="F287" s="367" t="s">
        <v>912</v>
      </c>
      <c r="G287" s="367" t="s">
        <v>895</v>
      </c>
      <c r="H287" s="367" t="s">
        <v>895</v>
      </c>
      <c r="I287" s="464"/>
      <c r="J287" s="464">
        <v>9200</v>
      </c>
      <c r="K287" s="464">
        <v>0</v>
      </c>
      <c r="L287" s="464">
        <v>8234253.71</v>
      </c>
      <c r="M287" s="464"/>
    </row>
    <row r="288" spans="1:13" hidden="1" outlineLevel="1">
      <c r="A288" s="367" t="s">
        <v>894</v>
      </c>
      <c r="B288" s="367" t="s">
        <v>895</v>
      </c>
      <c r="C288" s="367" t="s">
        <v>1156</v>
      </c>
      <c r="D288" s="463" t="s">
        <v>776</v>
      </c>
      <c r="E288" s="367" t="s">
        <v>1120</v>
      </c>
      <c r="F288" s="367" t="s">
        <v>1121</v>
      </c>
      <c r="G288" s="367" t="s">
        <v>1141</v>
      </c>
      <c r="H288" s="367" t="s">
        <v>895</v>
      </c>
      <c r="I288" s="464"/>
      <c r="J288" s="464">
        <v>5294.1</v>
      </c>
      <c r="K288" s="464">
        <v>0</v>
      </c>
      <c r="L288" s="464">
        <v>8239547.8099999996</v>
      </c>
      <c r="M288" s="464"/>
    </row>
    <row r="289" spans="1:13" hidden="1" outlineLevel="1">
      <c r="A289" s="367" t="s">
        <v>894</v>
      </c>
      <c r="B289" s="367" t="s">
        <v>895</v>
      </c>
      <c r="C289" s="367" t="s">
        <v>1157</v>
      </c>
      <c r="D289" s="463" t="s">
        <v>776</v>
      </c>
      <c r="E289" s="367" t="s">
        <v>911</v>
      </c>
      <c r="F289" s="367" t="s">
        <v>912</v>
      </c>
      <c r="G289" s="367" t="s">
        <v>895</v>
      </c>
      <c r="H289" s="367" t="s">
        <v>895</v>
      </c>
      <c r="I289" s="464"/>
      <c r="J289" s="464">
        <v>9200</v>
      </c>
      <c r="K289" s="464">
        <v>0</v>
      </c>
      <c r="L289" s="464">
        <v>8248747.8099999996</v>
      </c>
      <c r="M289" s="464"/>
    </row>
    <row r="290" spans="1:13" hidden="1" outlineLevel="1">
      <c r="A290" s="367" t="s">
        <v>894</v>
      </c>
      <c r="B290" s="367" t="s">
        <v>895</v>
      </c>
      <c r="C290" s="367" t="s">
        <v>1157</v>
      </c>
      <c r="D290" s="463" t="s">
        <v>776</v>
      </c>
      <c r="E290" s="367" t="s">
        <v>911</v>
      </c>
      <c r="F290" s="367" t="s">
        <v>912</v>
      </c>
      <c r="G290" s="367" t="s">
        <v>895</v>
      </c>
      <c r="H290" s="367" t="s">
        <v>895</v>
      </c>
      <c r="I290" s="464"/>
      <c r="J290" s="464">
        <v>9200</v>
      </c>
      <c r="K290" s="464">
        <v>0</v>
      </c>
      <c r="L290" s="464">
        <v>8257947.8099999996</v>
      </c>
      <c r="M290" s="464"/>
    </row>
    <row r="291" spans="1:13" hidden="1" outlineLevel="1">
      <c r="A291" s="367" t="s">
        <v>894</v>
      </c>
      <c r="B291" s="367" t="s">
        <v>895</v>
      </c>
      <c r="C291" s="367" t="s">
        <v>1157</v>
      </c>
      <c r="D291" s="463" t="s">
        <v>776</v>
      </c>
      <c r="E291" s="367" t="s">
        <v>911</v>
      </c>
      <c r="F291" s="367" t="s">
        <v>912</v>
      </c>
      <c r="G291" s="367" t="s">
        <v>895</v>
      </c>
      <c r="H291" s="367" t="s">
        <v>895</v>
      </c>
      <c r="I291" s="464"/>
      <c r="J291" s="464">
        <v>9200</v>
      </c>
      <c r="K291" s="464">
        <v>0</v>
      </c>
      <c r="L291" s="464">
        <v>8267147.8099999996</v>
      </c>
      <c r="M291" s="464"/>
    </row>
    <row r="292" spans="1:13" hidden="1" outlineLevel="1">
      <c r="A292" s="367" t="s">
        <v>894</v>
      </c>
      <c r="B292" s="367" t="s">
        <v>895</v>
      </c>
      <c r="C292" s="367" t="s">
        <v>1157</v>
      </c>
      <c r="D292" s="463" t="s">
        <v>776</v>
      </c>
      <c r="E292" s="367" t="s">
        <v>911</v>
      </c>
      <c r="F292" s="367" t="s">
        <v>912</v>
      </c>
      <c r="G292" s="367" t="s">
        <v>895</v>
      </c>
      <c r="H292" s="367" t="s">
        <v>895</v>
      </c>
      <c r="I292" s="464"/>
      <c r="J292" s="464">
        <v>9200</v>
      </c>
      <c r="K292" s="464">
        <v>0</v>
      </c>
      <c r="L292" s="464">
        <v>8276347.8099999996</v>
      </c>
      <c r="M292" s="464"/>
    </row>
    <row r="293" spans="1:13" hidden="1" outlineLevel="1">
      <c r="A293" s="367" t="s">
        <v>894</v>
      </c>
      <c r="B293" s="367" t="s">
        <v>895</v>
      </c>
      <c r="C293" s="367" t="s">
        <v>1158</v>
      </c>
      <c r="D293" s="463" t="s">
        <v>1159</v>
      </c>
      <c r="E293" s="367" t="s">
        <v>911</v>
      </c>
      <c r="F293" s="367" t="s">
        <v>912</v>
      </c>
      <c r="G293" s="367" t="s">
        <v>1160</v>
      </c>
      <c r="H293" s="367" t="s">
        <v>895</v>
      </c>
      <c r="I293" s="464"/>
      <c r="J293" s="464">
        <v>9200</v>
      </c>
      <c r="K293" s="464">
        <v>0</v>
      </c>
      <c r="L293" s="464">
        <v>8285547.8099999996</v>
      </c>
      <c r="M293" s="464"/>
    </row>
    <row r="294" spans="1:13" hidden="1" outlineLevel="1">
      <c r="A294" s="367" t="s">
        <v>894</v>
      </c>
      <c r="B294" s="367" t="s">
        <v>895</v>
      </c>
      <c r="C294" s="367" t="s">
        <v>1158</v>
      </c>
      <c r="D294" s="463" t="s">
        <v>1159</v>
      </c>
      <c r="E294" s="367" t="s">
        <v>911</v>
      </c>
      <c r="F294" s="367" t="s">
        <v>912</v>
      </c>
      <c r="G294" s="367" t="s">
        <v>1161</v>
      </c>
      <c r="H294" s="367" t="s">
        <v>895</v>
      </c>
      <c r="I294" s="464"/>
      <c r="J294" s="464">
        <v>9200</v>
      </c>
      <c r="K294" s="464">
        <v>0</v>
      </c>
      <c r="L294" s="464">
        <v>8294747.8099999996</v>
      </c>
      <c r="M294" s="464"/>
    </row>
    <row r="295" spans="1:13" hidden="1" outlineLevel="1">
      <c r="A295" s="367" t="s">
        <v>894</v>
      </c>
      <c r="B295" s="367" t="s">
        <v>895</v>
      </c>
      <c r="C295" s="367" t="s">
        <v>1162</v>
      </c>
      <c r="D295" s="463" t="s">
        <v>783</v>
      </c>
      <c r="E295" s="367" t="s">
        <v>534</v>
      </c>
      <c r="F295" s="367" t="s">
        <v>535</v>
      </c>
      <c r="G295" s="367" t="s">
        <v>1163</v>
      </c>
      <c r="H295" s="367" t="s">
        <v>895</v>
      </c>
      <c r="I295" s="464"/>
      <c r="J295" s="464">
        <v>4000</v>
      </c>
      <c r="K295" s="464">
        <v>0</v>
      </c>
      <c r="L295" s="464">
        <v>8298747.8099999996</v>
      </c>
      <c r="M295" s="464"/>
    </row>
    <row r="296" spans="1:13" hidden="1" outlineLevel="1">
      <c r="A296" s="367" t="s">
        <v>894</v>
      </c>
      <c r="B296" s="367" t="s">
        <v>895</v>
      </c>
      <c r="C296" s="367" t="s">
        <v>1164</v>
      </c>
      <c r="D296" s="463" t="s">
        <v>783</v>
      </c>
      <c r="E296" s="367" t="s">
        <v>1120</v>
      </c>
      <c r="F296" s="367" t="s">
        <v>1121</v>
      </c>
      <c r="G296" s="367" t="s">
        <v>1165</v>
      </c>
      <c r="H296" s="367" t="s">
        <v>895</v>
      </c>
      <c r="I296" s="464"/>
      <c r="J296" s="464">
        <v>4201.68</v>
      </c>
      <c r="K296" s="464">
        <v>0</v>
      </c>
      <c r="L296" s="464">
        <v>8302949.4900000002</v>
      </c>
      <c r="M296" s="464"/>
    </row>
    <row r="297" spans="1:13" hidden="1" outlineLevel="1">
      <c r="A297" s="367" t="s">
        <v>894</v>
      </c>
      <c r="B297" s="367" t="s">
        <v>895</v>
      </c>
      <c r="C297" s="367" t="s">
        <v>1166</v>
      </c>
      <c r="D297" s="463" t="s">
        <v>783</v>
      </c>
      <c r="E297" s="367" t="s">
        <v>1120</v>
      </c>
      <c r="F297" s="367" t="s">
        <v>1121</v>
      </c>
      <c r="G297" s="367" t="s">
        <v>1165</v>
      </c>
      <c r="H297" s="367" t="s">
        <v>895</v>
      </c>
      <c r="I297" s="464"/>
      <c r="J297" s="464">
        <v>4201.68</v>
      </c>
      <c r="K297" s="464">
        <v>0</v>
      </c>
      <c r="L297" s="464">
        <v>8307151.1699999999</v>
      </c>
      <c r="M297" s="464"/>
    </row>
    <row r="298" spans="1:13" hidden="1" outlineLevel="1">
      <c r="A298" s="367" t="s">
        <v>894</v>
      </c>
      <c r="B298" s="367" t="s">
        <v>895</v>
      </c>
      <c r="C298" s="367" t="s">
        <v>1167</v>
      </c>
      <c r="D298" s="463" t="s">
        <v>783</v>
      </c>
      <c r="E298" s="367" t="s">
        <v>911</v>
      </c>
      <c r="F298" s="367" t="s">
        <v>912</v>
      </c>
      <c r="G298" s="367" t="s">
        <v>1168</v>
      </c>
      <c r="H298" s="367" t="s">
        <v>895</v>
      </c>
      <c r="I298" s="464"/>
      <c r="J298" s="464">
        <v>9200</v>
      </c>
      <c r="K298" s="464">
        <v>0</v>
      </c>
      <c r="L298" s="464">
        <v>8316351.1699999999</v>
      </c>
      <c r="M298" s="464"/>
    </row>
    <row r="299" spans="1:13" hidden="1" outlineLevel="1">
      <c r="A299" s="367" t="s">
        <v>894</v>
      </c>
      <c r="B299" s="367" t="s">
        <v>895</v>
      </c>
      <c r="C299" s="367" t="s">
        <v>1169</v>
      </c>
      <c r="D299" s="463" t="s">
        <v>783</v>
      </c>
      <c r="E299" s="367" t="s">
        <v>1120</v>
      </c>
      <c r="F299" s="367" t="s">
        <v>1121</v>
      </c>
      <c r="G299" s="367" t="s">
        <v>1170</v>
      </c>
      <c r="H299" s="367" t="s">
        <v>895</v>
      </c>
      <c r="I299" s="464"/>
      <c r="J299" s="464">
        <v>4201.68</v>
      </c>
      <c r="K299" s="464">
        <v>0</v>
      </c>
      <c r="L299" s="464">
        <v>8320552.8499999996</v>
      </c>
      <c r="M299" s="464"/>
    </row>
    <row r="300" spans="1:13" hidden="1" outlineLevel="1">
      <c r="A300" s="367" t="s">
        <v>894</v>
      </c>
      <c r="B300" s="367" t="s">
        <v>895</v>
      </c>
      <c r="C300" s="367" t="s">
        <v>1171</v>
      </c>
      <c r="D300" s="463" t="s">
        <v>783</v>
      </c>
      <c r="E300" s="367" t="s">
        <v>911</v>
      </c>
      <c r="F300" s="367" t="s">
        <v>912</v>
      </c>
      <c r="G300" s="367" t="s">
        <v>1172</v>
      </c>
      <c r="H300" s="367" t="s">
        <v>895</v>
      </c>
      <c r="I300" s="464"/>
      <c r="J300" s="464">
        <v>9200</v>
      </c>
      <c r="K300" s="464">
        <v>0</v>
      </c>
      <c r="L300" s="464">
        <v>8329752.8499999996</v>
      </c>
      <c r="M300" s="464"/>
    </row>
    <row r="301" spans="1:13" hidden="1" outlineLevel="1">
      <c r="A301" s="367" t="s">
        <v>894</v>
      </c>
      <c r="B301" s="367" t="s">
        <v>895</v>
      </c>
      <c r="C301" s="367" t="s">
        <v>1173</v>
      </c>
      <c r="D301" s="463" t="s">
        <v>783</v>
      </c>
      <c r="E301" s="367" t="s">
        <v>917</v>
      </c>
      <c r="F301" s="367" t="s">
        <v>918</v>
      </c>
      <c r="G301" s="367" t="s">
        <v>1174</v>
      </c>
      <c r="H301" s="367" t="s">
        <v>895</v>
      </c>
      <c r="I301" s="464"/>
      <c r="J301" s="464">
        <v>21800</v>
      </c>
      <c r="K301" s="464">
        <v>0</v>
      </c>
      <c r="L301" s="464">
        <v>8351552.8499999996</v>
      </c>
      <c r="M301" s="464"/>
    </row>
    <row r="302" spans="1:13" hidden="1" outlineLevel="1">
      <c r="A302" s="367" t="s">
        <v>894</v>
      </c>
      <c r="B302" s="367" t="s">
        <v>895</v>
      </c>
      <c r="C302" s="367" t="s">
        <v>1173</v>
      </c>
      <c r="D302" s="463" t="s">
        <v>783</v>
      </c>
      <c r="E302" s="367" t="s">
        <v>917</v>
      </c>
      <c r="F302" s="367" t="s">
        <v>918</v>
      </c>
      <c r="G302" s="367" t="s">
        <v>1172</v>
      </c>
      <c r="H302" s="367" t="s">
        <v>895</v>
      </c>
      <c r="I302" s="464"/>
      <c r="J302" s="464">
        <v>21800</v>
      </c>
      <c r="K302" s="464">
        <v>0</v>
      </c>
      <c r="L302" s="464">
        <v>8373352.8499999996</v>
      </c>
      <c r="M302" s="464"/>
    </row>
    <row r="303" spans="1:13" hidden="1" outlineLevel="1">
      <c r="A303" s="367" t="s">
        <v>894</v>
      </c>
      <c r="B303" s="367" t="s">
        <v>895</v>
      </c>
      <c r="C303" s="367" t="s">
        <v>1171</v>
      </c>
      <c r="D303" s="463" t="s">
        <v>783</v>
      </c>
      <c r="E303" s="367" t="s">
        <v>911</v>
      </c>
      <c r="F303" s="367" t="s">
        <v>912</v>
      </c>
      <c r="G303" s="367" t="s">
        <v>1172</v>
      </c>
      <c r="H303" s="367" t="s">
        <v>895</v>
      </c>
      <c r="I303" s="464"/>
      <c r="J303" s="464">
        <v>9200</v>
      </c>
      <c r="K303" s="464">
        <v>0</v>
      </c>
      <c r="L303" s="464">
        <v>8382552.8499999996</v>
      </c>
      <c r="M303" s="464"/>
    </row>
    <row r="304" spans="1:13" hidden="1" outlineLevel="1">
      <c r="A304" s="367" t="s">
        <v>894</v>
      </c>
      <c r="B304" s="367" t="s">
        <v>895</v>
      </c>
      <c r="C304" s="367" t="s">
        <v>1167</v>
      </c>
      <c r="D304" s="463" t="s">
        <v>783</v>
      </c>
      <c r="E304" s="367" t="s">
        <v>911</v>
      </c>
      <c r="F304" s="367" t="s">
        <v>912</v>
      </c>
      <c r="G304" s="367" t="s">
        <v>1175</v>
      </c>
      <c r="H304" s="367" t="s">
        <v>895</v>
      </c>
      <c r="I304" s="464"/>
      <c r="J304" s="464">
        <v>9200</v>
      </c>
      <c r="K304" s="464">
        <v>0</v>
      </c>
      <c r="L304" s="464">
        <v>8391752.8499999996</v>
      </c>
      <c r="M304" s="464"/>
    </row>
    <row r="305" spans="1:13" hidden="1" outlineLevel="1">
      <c r="A305" s="367" t="s">
        <v>894</v>
      </c>
      <c r="B305" s="367" t="s">
        <v>895</v>
      </c>
      <c r="C305" s="367" t="s">
        <v>1171</v>
      </c>
      <c r="D305" s="463" t="s">
        <v>783</v>
      </c>
      <c r="E305" s="367" t="s">
        <v>911</v>
      </c>
      <c r="F305" s="367" t="s">
        <v>912</v>
      </c>
      <c r="G305" s="367" t="s">
        <v>1172</v>
      </c>
      <c r="H305" s="367" t="s">
        <v>895</v>
      </c>
      <c r="I305" s="464"/>
      <c r="J305" s="464">
        <v>9200</v>
      </c>
      <c r="K305" s="464">
        <v>0</v>
      </c>
      <c r="L305" s="464">
        <v>8400952.8499999996</v>
      </c>
      <c r="M305" s="464"/>
    </row>
    <row r="306" spans="1:13" hidden="1" outlineLevel="1">
      <c r="A306" s="367" t="s">
        <v>894</v>
      </c>
      <c r="B306" s="367" t="s">
        <v>895</v>
      </c>
      <c r="C306" s="367" t="s">
        <v>1171</v>
      </c>
      <c r="D306" s="463" t="s">
        <v>783</v>
      </c>
      <c r="E306" s="367" t="s">
        <v>911</v>
      </c>
      <c r="F306" s="367" t="s">
        <v>912</v>
      </c>
      <c r="G306" s="367" t="s">
        <v>1172</v>
      </c>
      <c r="H306" s="367" t="s">
        <v>895</v>
      </c>
      <c r="I306" s="464"/>
      <c r="J306" s="464">
        <v>9200</v>
      </c>
      <c r="K306" s="464">
        <v>0</v>
      </c>
      <c r="L306" s="464">
        <v>8410152.8499999996</v>
      </c>
      <c r="M306" s="464"/>
    </row>
    <row r="307" spans="1:13" hidden="1" outlineLevel="1">
      <c r="A307" s="367" t="s">
        <v>894</v>
      </c>
      <c r="B307" s="367" t="s">
        <v>895</v>
      </c>
      <c r="C307" s="367" t="s">
        <v>1171</v>
      </c>
      <c r="D307" s="463" t="s">
        <v>783</v>
      </c>
      <c r="E307" s="367" t="s">
        <v>911</v>
      </c>
      <c r="F307" s="367" t="s">
        <v>912</v>
      </c>
      <c r="G307" s="367" t="s">
        <v>1172</v>
      </c>
      <c r="H307" s="367" t="s">
        <v>895</v>
      </c>
      <c r="I307" s="464"/>
      <c r="J307" s="464">
        <v>9200</v>
      </c>
      <c r="K307" s="464">
        <v>0</v>
      </c>
      <c r="L307" s="464">
        <v>8419352.8499999996</v>
      </c>
      <c r="M307" s="464"/>
    </row>
    <row r="308" spans="1:13" hidden="1" outlineLevel="1">
      <c r="A308" s="367" t="s">
        <v>894</v>
      </c>
      <c r="B308" s="367" t="s">
        <v>895</v>
      </c>
      <c r="C308" s="367" t="s">
        <v>1176</v>
      </c>
      <c r="D308" s="463" t="s">
        <v>1177</v>
      </c>
      <c r="E308" s="367" t="s">
        <v>1120</v>
      </c>
      <c r="F308" s="367" t="s">
        <v>1121</v>
      </c>
      <c r="G308" s="367" t="s">
        <v>1178</v>
      </c>
      <c r="H308" s="367" t="s">
        <v>895</v>
      </c>
      <c r="I308" s="464"/>
      <c r="J308" s="464">
        <v>1765</v>
      </c>
      <c r="K308" s="464">
        <v>0</v>
      </c>
      <c r="L308" s="464">
        <v>8421117.8499999996</v>
      </c>
      <c r="M308" s="464"/>
    </row>
    <row r="309" spans="1:13" hidden="1" outlineLevel="1">
      <c r="A309" s="367" t="s">
        <v>894</v>
      </c>
      <c r="B309" s="367" t="s">
        <v>895</v>
      </c>
      <c r="C309" s="367" t="s">
        <v>1176</v>
      </c>
      <c r="D309" s="463" t="s">
        <v>1177</v>
      </c>
      <c r="E309" s="367" t="s">
        <v>1120</v>
      </c>
      <c r="F309" s="367" t="s">
        <v>1121</v>
      </c>
      <c r="G309" s="367" t="s">
        <v>1178</v>
      </c>
      <c r="H309" s="367" t="s">
        <v>895</v>
      </c>
      <c r="I309" s="464"/>
      <c r="J309" s="464">
        <v>43500</v>
      </c>
      <c r="K309" s="464">
        <v>0</v>
      </c>
      <c r="L309" s="464">
        <v>8464617.8499999996</v>
      </c>
      <c r="M309" s="464"/>
    </row>
    <row r="310" spans="1:13" hidden="1" outlineLevel="1">
      <c r="A310" s="367" t="s">
        <v>894</v>
      </c>
      <c r="B310" s="367" t="s">
        <v>895</v>
      </c>
      <c r="C310" s="367" t="s">
        <v>1179</v>
      </c>
      <c r="D310" s="463" t="s">
        <v>1180</v>
      </c>
      <c r="E310" s="367" t="s">
        <v>905</v>
      </c>
      <c r="F310" s="367" t="s">
        <v>906</v>
      </c>
      <c r="G310" s="367" t="s">
        <v>1174</v>
      </c>
      <c r="H310" s="367" t="s">
        <v>895</v>
      </c>
      <c r="I310" s="464"/>
      <c r="J310" s="464">
        <v>15100</v>
      </c>
      <c r="K310" s="464">
        <v>0</v>
      </c>
      <c r="L310" s="464">
        <v>8479717.8499999996</v>
      </c>
      <c r="M310" s="464"/>
    </row>
    <row r="311" spans="1:13" hidden="1" outlineLevel="1">
      <c r="A311" s="367" t="s">
        <v>894</v>
      </c>
      <c r="B311" s="367" t="s">
        <v>895</v>
      </c>
      <c r="C311" s="367" t="s">
        <v>1181</v>
      </c>
      <c r="D311" s="463" t="s">
        <v>1180</v>
      </c>
      <c r="E311" s="367" t="s">
        <v>917</v>
      </c>
      <c r="F311" s="367" t="s">
        <v>918</v>
      </c>
      <c r="G311" s="367" t="s">
        <v>1174</v>
      </c>
      <c r="H311" s="367" t="s">
        <v>895</v>
      </c>
      <c r="I311" s="464"/>
      <c r="J311" s="464">
        <v>14200</v>
      </c>
      <c r="K311" s="464">
        <v>0</v>
      </c>
      <c r="L311" s="464">
        <v>8493917.8499999996</v>
      </c>
      <c r="M311" s="464"/>
    </row>
    <row r="312" spans="1:13" hidden="1" outlineLevel="1">
      <c r="A312" s="367" t="s">
        <v>894</v>
      </c>
      <c r="B312" s="367" t="s">
        <v>895</v>
      </c>
      <c r="C312" s="367" t="s">
        <v>1182</v>
      </c>
      <c r="D312" s="463" t="s">
        <v>1180</v>
      </c>
      <c r="E312" s="367" t="s">
        <v>911</v>
      </c>
      <c r="F312" s="367" t="s">
        <v>912</v>
      </c>
      <c r="G312" s="367" t="s">
        <v>1174</v>
      </c>
      <c r="H312" s="367" t="s">
        <v>895</v>
      </c>
      <c r="I312" s="464"/>
      <c r="J312" s="464">
        <v>9200</v>
      </c>
      <c r="K312" s="464">
        <v>0</v>
      </c>
      <c r="L312" s="464">
        <v>8503117.8499999996</v>
      </c>
      <c r="M312" s="464"/>
    </row>
    <row r="313" spans="1:13" hidden="1" outlineLevel="1">
      <c r="A313" s="367" t="s">
        <v>894</v>
      </c>
      <c r="B313" s="367" t="s">
        <v>895</v>
      </c>
      <c r="C313" s="367" t="s">
        <v>1182</v>
      </c>
      <c r="D313" s="463" t="s">
        <v>1180</v>
      </c>
      <c r="E313" s="367" t="s">
        <v>911</v>
      </c>
      <c r="F313" s="367" t="s">
        <v>912</v>
      </c>
      <c r="G313" s="367" t="s">
        <v>1174</v>
      </c>
      <c r="H313" s="367" t="s">
        <v>895</v>
      </c>
      <c r="I313" s="464"/>
      <c r="J313" s="464">
        <v>9200</v>
      </c>
      <c r="K313" s="464">
        <v>0</v>
      </c>
      <c r="L313" s="464">
        <v>8512317.8499999996</v>
      </c>
      <c r="M313" s="464"/>
    </row>
    <row r="314" spans="1:13" hidden="1" outlineLevel="1">
      <c r="A314" s="367" t="s">
        <v>894</v>
      </c>
      <c r="B314" s="367" t="s">
        <v>895</v>
      </c>
      <c r="C314" s="367" t="s">
        <v>1181</v>
      </c>
      <c r="D314" s="463" t="s">
        <v>1180</v>
      </c>
      <c r="E314" s="367" t="s">
        <v>917</v>
      </c>
      <c r="F314" s="367" t="s">
        <v>918</v>
      </c>
      <c r="G314" s="367" t="s">
        <v>1174</v>
      </c>
      <c r="H314" s="367" t="s">
        <v>895</v>
      </c>
      <c r="I314" s="464"/>
      <c r="J314" s="464">
        <v>21800</v>
      </c>
      <c r="K314" s="464">
        <v>0</v>
      </c>
      <c r="L314" s="464">
        <v>8534117.8499999996</v>
      </c>
      <c r="M314" s="464"/>
    </row>
    <row r="315" spans="1:13" hidden="1" outlineLevel="1">
      <c r="A315" s="367" t="s">
        <v>894</v>
      </c>
      <c r="B315" s="367" t="s">
        <v>895</v>
      </c>
      <c r="C315" s="367" t="s">
        <v>1179</v>
      </c>
      <c r="D315" s="463" t="s">
        <v>1180</v>
      </c>
      <c r="E315" s="367" t="s">
        <v>905</v>
      </c>
      <c r="F315" s="367" t="s">
        <v>906</v>
      </c>
      <c r="G315" s="367" t="s">
        <v>1174</v>
      </c>
      <c r="H315" s="367" t="s">
        <v>895</v>
      </c>
      <c r="I315" s="464"/>
      <c r="J315" s="464">
        <v>18100</v>
      </c>
      <c r="K315" s="464">
        <v>0</v>
      </c>
      <c r="L315" s="464">
        <v>8552217.8499999996</v>
      </c>
      <c r="M315" s="464"/>
    </row>
    <row r="316" spans="1:13" hidden="1" outlineLevel="1">
      <c r="A316" s="367" t="s">
        <v>894</v>
      </c>
      <c r="B316" s="367" t="s">
        <v>895</v>
      </c>
      <c r="C316" s="367" t="s">
        <v>1179</v>
      </c>
      <c r="D316" s="463" t="s">
        <v>1180</v>
      </c>
      <c r="E316" s="367" t="s">
        <v>905</v>
      </c>
      <c r="F316" s="367" t="s">
        <v>906</v>
      </c>
      <c r="G316" s="367" t="s">
        <v>1174</v>
      </c>
      <c r="H316" s="367" t="s">
        <v>895</v>
      </c>
      <c r="I316" s="464"/>
      <c r="J316" s="464">
        <v>15100</v>
      </c>
      <c r="K316" s="464">
        <v>0</v>
      </c>
      <c r="L316" s="464">
        <v>8567317.8499999996</v>
      </c>
      <c r="M316" s="464"/>
    </row>
    <row r="317" spans="1:13" hidden="1" outlineLevel="1">
      <c r="A317" s="367" t="s">
        <v>894</v>
      </c>
      <c r="B317" s="367" t="s">
        <v>895</v>
      </c>
      <c r="C317" s="367" t="s">
        <v>1182</v>
      </c>
      <c r="D317" s="463" t="s">
        <v>1180</v>
      </c>
      <c r="E317" s="367" t="s">
        <v>911</v>
      </c>
      <c r="F317" s="367" t="s">
        <v>912</v>
      </c>
      <c r="G317" s="367" t="s">
        <v>1174</v>
      </c>
      <c r="H317" s="367" t="s">
        <v>895</v>
      </c>
      <c r="I317" s="464"/>
      <c r="J317" s="464">
        <v>9200</v>
      </c>
      <c r="K317" s="464">
        <v>0</v>
      </c>
      <c r="L317" s="464">
        <v>8576517.8499999996</v>
      </c>
      <c r="M317" s="464"/>
    </row>
    <row r="318" spans="1:13" hidden="1" outlineLevel="1">
      <c r="A318" s="367" t="s">
        <v>894</v>
      </c>
      <c r="B318" s="367" t="s">
        <v>895</v>
      </c>
      <c r="C318" s="367" t="s">
        <v>1182</v>
      </c>
      <c r="D318" s="463" t="s">
        <v>1180</v>
      </c>
      <c r="E318" s="367" t="s">
        <v>911</v>
      </c>
      <c r="F318" s="367" t="s">
        <v>912</v>
      </c>
      <c r="G318" s="367" t="s">
        <v>1174</v>
      </c>
      <c r="H318" s="367" t="s">
        <v>895</v>
      </c>
      <c r="I318" s="464"/>
      <c r="J318" s="464">
        <v>9200</v>
      </c>
      <c r="K318" s="464">
        <v>0</v>
      </c>
      <c r="L318" s="464">
        <v>8585717.8499999996</v>
      </c>
      <c r="M318" s="464"/>
    </row>
    <row r="319" spans="1:13" hidden="1" outlineLevel="1">
      <c r="A319" s="367" t="s">
        <v>894</v>
      </c>
      <c r="B319" s="367" t="s">
        <v>895</v>
      </c>
      <c r="C319" s="367" t="s">
        <v>1182</v>
      </c>
      <c r="D319" s="463" t="s">
        <v>1180</v>
      </c>
      <c r="E319" s="367" t="s">
        <v>911</v>
      </c>
      <c r="F319" s="367" t="s">
        <v>912</v>
      </c>
      <c r="G319" s="367" t="s">
        <v>1174</v>
      </c>
      <c r="H319" s="367" t="s">
        <v>895</v>
      </c>
      <c r="I319" s="464"/>
      <c r="J319" s="464">
        <v>9200</v>
      </c>
      <c r="K319" s="464">
        <v>0</v>
      </c>
      <c r="L319" s="464">
        <v>8594917.8499999996</v>
      </c>
      <c r="M319" s="464"/>
    </row>
    <row r="320" spans="1:13" hidden="1" outlineLevel="1">
      <c r="A320" s="367" t="s">
        <v>894</v>
      </c>
      <c r="B320" s="367" t="s">
        <v>895</v>
      </c>
      <c r="C320" s="367" t="s">
        <v>1182</v>
      </c>
      <c r="D320" s="463" t="s">
        <v>1180</v>
      </c>
      <c r="E320" s="367" t="s">
        <v>911</v>
      </c>
      <c r="F320" s="367" t="s">
        <v>912</v>
      </c>
      <c r="G320" s="367" t="s">
        <v>1174</v>
      </c>
      <c r="H320" s="367" t="s">
        <v>895</v>
      </c>
      <c r="I320" s="464"/>
      <c r="J320" s="464">
        <v>9200</v>
      </c>
      <c r="K320" s="464">
        <v>0</v>
      </c>
      <c r="L320" s="464">
        <v>8604117.8499999996</v>
      </c>
      <c r="M320" s="464"/>
    </row>
    <row r="321" spans="1:13" hidden="1" outlineLevel="1">
      <c r="A321" s="367" t="s">
        <v>894</v>
      </c>
      <c r="B321" s="367" t="s">
        <v>895</v>
      </c>
      <c r="C321" s="367" t="s">
        <v>1182</v>
      </c>
      <c r="D321" s="463" t="s">
        <v>1180</v>
      </c>
      <c r="E321" s="367" t="s">
        <v>911</v>
      </c>
      <c r="F321" s="367" t="s">
        <v>912</v>
      </c>
      <c r="G321" s="367" t="s">
        <v>1174</v>
      </c>
      <c r="H321" s="367" t="s">
        <v>895</v>
      </c>
      <c r="I321" s="464"/>
      <c r="J321" s="464">
        <v>9200</v>
      </c>
      <c r="K321" s="464">
        <v>0</v>
      </c>
      <c r="L321" s="464">
        <v>8613317.8499999996</v>
      </c>
      <c r="M321" s="464"/>
    </row>
    <row r="322" spans="1:13" hidden="1" outlineLevel="1">
      <c r="A322" s="367" t="s">
        <v>894</v>
      </c>
      <c r="B322" s="367" t="s">
        <v>895</v>
      </c>
      <c r="C322" s="367" t="s">
        <v>1182</v>
      </c>
      <c r="D322" s="463" t="s">
        <v>1180</v>
      </c>
      <c r="E322" s="367" t="s">
        <v>911</v>
      </c>
      <c r="F322" s="367" t="s">
        <v>912</v>
      </c>
      <c r="G322" s="367" t="s">
        <v>1174</v>
      </c>
      <c r="H322" s="367" t="s">
        <v>895</v>
      </c>
      <c r="I322" s="464"/>
      <c r="J322" s="464">
        <v>9200</v>
      </c>
      <c r="K322" s="464">
        <v>0</v>
      </c>
      <c r="L322" s="464">
        <v>8622517.8499999996</v>
      </c>
      <c r="M322" s="464"/>
    </row>
    <row r="323" spans="1:13" hidden="1" outlineLevel="1">
      <c r="A323" s="367" t="s">
        <v>894</v>
      </c>
      <c r="B323" s="367" t="s">
        <v>895</v>
      </c>
      <c r="C323" s="367" t="s">
        <v>1182</v>
      </c>
      <c r="D323" s="463" t="s">
        <v>1180</v>
      </c>
      <c r="E323" s="367" t="s">
        <v>911</v>
      </c>
      <c r="F323" s="367" t="s">
        <v>912</v>
      </c>
      <c r="G323" s="367" t="s">
        <v>1174</v>
      </c>
      <c r="H323" s="367" t="s">
        <v>895</v>
      </c>
      <c r="I323" s="464"/>
      <c r="J323" s="464">
        <v>9200</v>
      </c>
      <c r="K323" s="464">
        <v>0</v>
      </c>
      <c r="L323" s="464">
        <v>8631717.8499999996</v>
      </c>
      <c r="M323" s="464"/>
    </row>
    <row r="324" spans="1:13" hidden="1" outlineLevel="1">
      <c r="A324" s="367" t="s">
        <v>894</v>
      </c>
      <c r="B324" s="367" t="s">
        <v>895</v>
      </c>
      <c r="C324" s="367" t="s">
        <v>1183</v>
      </c>
      <c r="D324" s="463" t="s">
        <v>1184</v>
      </c>
      <c r="E324" s="367" t="s">
        <v>532</v>
      </c>
      <c r="F324" s="367" t="s">
        <v>533</v>
      </c>
      <c r="G324" s="367" t="s">
        <v>895</v>
      </c>
      <c r="H324" s="367" t="s">
        <v>895</v>
      </c>
      <c r="I324" s="464"/>
      <c r="J324" s="464">
        <v>6000</v>
      </c>
      <c r="K324" s="464">
        <v>0</v>
      </c>
      <c r="L324" s="464">
        <v>8637717.8499999996</v>
      </c>
      <c r="M324" s="464"/>
    </row>
    <row r="325" spans="1:13" hidden="1" outlineLevel="1">
      <c r="A325" s="367" t="s">
        <v>894</v>
      </c>
      <c r="B325" s="367" t="s">
        <v>895</v>
      </c>
      <c r="C325" s="367" t="s">
        <v>1185</v>
      </c>
      <c r="D325" s="463" t="s">
        <v>1186</v>
      </c>
      <c r="E325" s="367" t="s">
        <v>911</v>
      </c>
      <c r="F325" s="367" t="s">
        <v>912</v>
      </c>
      <c r="G325" s="367" t="s">
        <v>1187</v>
      </c>
      <c r="H325" s="367" t="s">
        <v>895</v>
      </c>
      <c r="I325" s="464"/>
      <c r="J325" s="464">
        <v>9200</v>
      </c>
      <c r="K325" s="464">
        <v>0</v>
      </c>
      <c r="L325" s="464">
        <v>8646917.8499999996</v>
      </c>
      <c r="M325" s="464"/>
    </row>
    <row r="326" spans="1:13" hidden="1" outlineLevel="1">
      <c r="A326" s="367" t="s">
        <v>894</v>
      </c>
      <c r="B326" s="367" t="s">
        <v>895</v>
      </c>
      <c r="C326" s="367" t="s">
        <v>1185</v>
      </c>
      <c r="D326" s="463" t="s">
        <v>1186</v>
      </c>
      <c r="E326" s="367" t="s">
        <v>911</v>
      </c>
      <c r="F326" s="367" t="s">
        <v>912</v>
      </c>
      <c r="G326" s="367" t="s">
        <v>1187</v>
      </c>
      <c r="H326" s="367" t="s">
        <v>895</v>
      </c>
      <c r="I326" s="464"/>
      <c r="J326" s="464">
        <v>9200</v>
      </c>
      <c r="K326" s="464">
        <v>0</v>
      </c>
      <c r="L326" s="464">
        <v>8656117.8499999996</v>
      </c>
      <c r="M326" s="464"/>
    </row>
    <row r="327" spans="1:13" hidden="1" outlineLevel="1">
      <c r="A327" s="367" t="s">
        <v>894</v>
      </c>
      <c r="B327" s="367" t="s">
        <v>895</v>
      </c>
      <c r="C327" s="367" t="s">
        <v>1188</v>
      </c>
      <c r="D327" s="463" t="s">
        <v>1189</v>
      </c>
      <c r="E327" s="367" t="s">
        <v>1120</v>
      </c>
      <c r="F327" s="367" t="s">
        <v>1121</v>
      </c>
      <c r="G327" s="367" t="s">
        <v>1170</v>
      </c>
      <c r="H327" s="367" t="s">
        <v>895</v>
      </c>
      <c r="I327" s="464"/>
      <c r="J327" s="464">
        <v>1260.5</v>
      </c>
      <c r="K327" s="464">
        <v>0</v>
      </c>
      <c r="L327" s="464">
        <v>8657378.3499999996</v>
      </c>
      <c r="M327" s="464"/>
    </row>
    <row r="328" spans="1:13" hidden="1" outlineLevel="1">
      <c r="A328" s="367" t="s">
        <v>894</v>
      </c>
      <c r="B328" s="367" t="s">
        <v>895</v>
      </c>
      <c r="C328" s="367" t="s">
        <v>1190</v>
      </c>
      <c r="D328" s="463" t="s">
        <v>1191</v>
      </c>
      <c r="E328" s="367" t="s">
        <v>911</v>
      </c>
      <c r="F328" s="367" t="s">
        <v>912</v>
      </c>
      <c r="G328" s="367" t="s">
        <v>1192</v>
      </c>
      <c r="H328" s="367" t="s">
        <v>895</v>
      </c>
      <c r="I328" s="464"/>
      <c r="J328" s="464">
        <v>64400</v>
      </c>
      <c r="K328" s="464">
        <v>0</v>
      </c>
      <c r="L328" s="464">
        <v>8721778.3499999996</v>
      </c>
      <c r="M328" s="464"/>
    </row>
    <row r="329" spans="1:13" hidden="1" outlineLevel="1">
      <c r="A329" s="367" t="s">
        <v>894</v>
      </c>
      <c r="B329" s="367" t="s">
        <v>895</v>
      </c>
      <c r="C329" s="367" t="s">
        <v>1193</v>
      </c>
      <c r="D329" s="463" t="s">
        <v>1191</v>
      </c>
      <c r="E329" s="367" t="s">
        <v>917</v>
      </c>
      <c r="F329" s="367" t="s">
        <v>918</v>
      </c>
      <c r="G329" s="367" t="s">
        <v>1194</v>
      </c>
      <c r="H329" s="367" t="s">
        <v>895</v>
      </c>
      <c r="I329" s="464"/>
      <c r="J329" s="464">
        <v>43600</v>
      </c>
      <c r="K329" s="464">
        <v>0</v>
      </c>
      <c r="L329" s="464">
        <v>8765378.3499999996</v>
      </c>
      <c r="M329" s="464"/>
    </row>
    <row r="330" spans="1:13" hidden="1" outlineLevel="1">
      <c r="A330" s="367" t="s">
        <v>894</v>
      </c>
      <c r="B330" s="367" t="s">
        <v>895</v>
      </c>
      <c r="C330" s="367" t="s">
        <v>1195</v>
      </c>
      <c r="D330" s="463" t="s">
        <v>1196</v>
      </c>
      <c r="E330" s="367" t="s">
        <v>905</v>
      </c>
      <c r="F330" s="367" t="s">
        <v>906</v>
      </c>
      <c r="G330" s="367" t="s">
        <v>1124</v>
      </c>
      <c r="H330" s="367" t="s">
        <v>895</v>
      </c>
      <c r="I330" s="464"/>
      <c r="J330" s="464">
        <v>15100</v>
      </c>
      <c r="K330" s="464">
        <v>0</v>
      </c>
      <c r="L330" s="464">
        <v>8780478.3499999996</v>
      </c>
      <c r="M330" s="464"/>
    </row>
    <row r="331" spans="1:13" hidden="1" outlineLevel="1">
      <c r="A331" s="367" t="s">
        <v>894</v>
      </c>
      <c r="B331" s="367" t="s">
        <v>895</v>
      </c>
      <c r="C331" s="367" t="s">
        <v>1197</v>
      </c>
      <c r="D331" s="463" t="s">
        <v>1196</v>
      </c>
      <c r="E331" s="367" t="s">
        <v>917</v>
      </c>
      <c r="F331" s="367" t="s">
        <v>918</v>
      </c>
      <c r="G331" s="367" t="s">
        <v>1125</v>
      </c>
      <c r="H331" s="367" t="s">
        <v>895</v>
      </c>
      <c r="I331" s="464"/>
      <c r="J331" s="464">
        <v>87200</v>
      </c>
      <c r="K331" s="464">
        <v>0</v>
      </c>
      <c r="L331" s="464">
        <v>8867678.3499999996</v>
      </c>
      <c r="M331" s="464"/>
    </row>
    <row r="332" spans="1:13" hidden="1" outlineLevel="1">
      <c r="A332" s="367" t="s">
        <v>894</v>
      </c>
      <c r="B332" s="367" t="s">
        <v>895</v>
      </c>
      <c r="C332" s="367" t="s">
        <v>1198</v>
      </c>
      <c r="D332" s="463" t="s">
        <v>1196</v>
      </c>
      <c r="E332" s="367" t="s">
        <v>1199</v>
      </c>
      <c r="F332" s="367" t="s">
        <v>1200</v>
      </c>
      <c r="G332" s="367" t="s">
        <v>1201</v>
      </c>
      <c r="H332" s="367" t="s">
        <v>895</v>
      </c>
      <c r="I332" s="464"/>
      <c r="J332" s="464">
        <v>55200</v>
      </c>
      <c r="K332" s="464">
        <v>0</v>
      </c>
      <c r="L332" s="464">
        <v>8922878.3499999996</v>
      </c>
      <c r="M332" s="464"/>
    </row>
    <row r="333" spans="1:13" hidden="1" outlineLevel="1">
      <c r="A333" s="367" t="s">
        <v>894</v>
      </c>
      <c r="B333" s="367" t="s">
        <v>895</v>
      </c>
      <c r="C333" s="367" t="s">
        <v>1202</v>
      </c>
      <c r="D333" s="463" t="s">
        <v>885</v>
      </c>
      <c r="E333" s="367" t="s">
        <v>1120</v>
      </c>
      <c r="F333" s="367" t="s">
        <v>1121</v>
      </c>
      <c r="G333" s="367" t="s">
        <v>1165</v>
      </c>
      <c r="H333" s="367" t="s">
        <v>895</v>
      </c>
      <c r="I333" s="464"/>
      <c r="J333" s="464">
        <v>4201.68</v>
      </c>
      <c r="K333" s="464">
        <v>0</v>
      </c>
      <c r="L333" s="464">
        <v>8927080.0299999993</v>
      </c>
      <c r="M333" s="464"/>
    </row>
    <row r="334" spans="1:13" hidden="1" outlineLevel="1">
      <c r="A334" s="367" t="s">
        <v>894</v>
      </c>
      <c r="B334" s="367" t="s">
        <v>895</v>
      </c>
      <c r="C334" s="367" t="s">
        <v>1203</v>
      </c>
      <c r="D334" s="463" t="s">
        <v>885</v>
      </c>
      <c r="E334" s="367" t="s">
        <v>1120</v>
      </c>
      <c r="F334" s="367" t="s">
        <v>1121</v>
      </c>
      <c r="G334" s="367" t="s">
        <v>1138</v>
      </c>
      <c r="H334" s="367" t="s">
        <v>895</v>
      </c>
      <c r="I334" s="464"/>
      <c r="J334" s="464">
        <v>36200</v>
      </c>
      <c r="K334" s="464">
        <v>0</v>
      </c>
      <c r="L334" s="464">
        <v>8963280.0299999993</v>
      </c>
      <c r="M334" s="464"/>
    </row>
    <row r="335" spans="1:13" hidden="1" outlineLevel="1">
      <c r="A335" s="367" t="s">
        <v>894</v>
      </c>
      <c r="B335" s="367" t="s">
        <v>895</v>
      </c>
      <c r="C335" s="367" t="s">
        <v>1204</v>
      </c>
      <c r="D335" s="463" t="s">
        <v>1205</v>
      </c>
      <c r="E335" s="367" t="s">
        <v>701</v>
      </c>
      <c r="F335" s="367" t="s">
        <v>702</v>
      </c>
      <c r="G335" s="367" t="s">
        <v>1206</v>
      </c>
      <c r="H335" s="367" t="s">
        <v>895</v>
      </c>
      <c r="I335" s="464"/>
      <c r="J335" s="464">
        <v>200000</v>
      </c>
      <c r="K335" s="464">
        <v>0</v>
      </c>
      <c r="L335" s="464">
        <v>9163280.0299999993</v>
      </c>
      <c r="M335" s="464"/>
    </row>
    <row r="336" spans="1:13" hidden="1" outlineLevel="1">
      <c r="A336" s="367" t="s">
        <v>894</v>
      </c>
      <c r="B336" s="367" t="s">
        <v>895</v>
      </c>
      <c r="C336" s="367" t="s">
        <v>1207</v>
      </c>
      <c r="D336" s="463" t="s">
        <v>1208</v>
      </c>
      <c r="E336" s="367" t="s">
        <v>1209</v>
      </c>
      <c r="F336" s="367" t="s">
        <v>1210</v>
      </c>
      <c r="G336" s="367" t="s">
        <v>1211</v>
      </c>
      <c r="H336" s="367" t="s">
        <v>895</v>
      </c>
      <c r="I336" s="464"/>
      <c r="J336" s="464">
        <v>130000</v>
      </c>
      <c r="K336" s="464">
        <v>0</v>
      </c>
      <c r="L336" s="464">
        <v>9293280.0299999993</v>
      </c>
      <c r="M336" s="464"/>
    </row>
    <row r="337" spans="1:13" hidden="1" outlineLevel="1">
      <c r="A337" s="367" t="s">
        <v>894</v>
      </c>
      <c r="B337" s="367" t="s">
        <v>895</v>
      </c>
      <c r="C337" s="367" t="s">
        <v>1212</v>
      </c>
      <c r="D337" s="463" t="s">
        <v>795</v>
      </c>
      <c r="E337" s="367" t="s">
        <v>534</v>
      </c>
      <c r="F337" s="367" t="s">
        <v>535</v>
      </c>
      <c r="G337" s="367" t="s">
        <v>1213</v>
      </c>
      <c r="H337" s="367" t="s">
        <v>895</v>
      </c>
      <c r="I337" s="464"/>
      <c r="J337" s="464">
        <v>149300</v>
      </c>
      <c r="K337" s="464">
        <v>0</v>
      </c>
      <c r="L337" s="464">
        <v>9442580.0299999993</v>
      </c>
      <c r="M337" s="464"/>
    </row>
    <row r="338" spans="1:13" hidden="1" outlineLevel="1">
      <c r="A338" s="367" t="s">
        <v>894</v>
      </c>
      <c r="B338" s="367" t="s">
        <v>895</v>
      </c>
      <c r="C338" s="367" t="s">
        <v>1214</v>
      </c>
      <c r="D338" s="463" t="s">
        <v>795</v>
      </c>
      <c r="E338" s="367" t="s">
        <v>911</v>
      </c>
      <c r="F338" s="367" t="s">
        <v>912</v>
      </c>
      <c r="G338" s="367" t="s">
        <v>895</v>
      </c>
      <c r="H338" s="367" t="s">
        <v>895</v>
      </c>
      <c r="I338" s="464"/>
      <c r="J338" s="464">
        <v>18400</v>
      </c>
      <c r="K338" s="464">
        <v>0</v>
      </c>
      <c r="L338" s="464">
        <v>9460980.0299999993</v>
      </c>
      <c r="M338" s="464"/>
    </row>
    <row r="339" spans="1:13" hidden="1" outlineLevel="1">
      <c r="A339" s="367" t="s">
        <v>894</v>
      </c>
      <c r="B339" s="367" t="s">
        <v>895</v>
      </c>
      <c r="C339" s="367" t="s">
        <v>1215</v>
      </c>
      <c r="D339" s="463" t="s">
        <v>795</v>
      </c>
      <c r="E339" s="367" t="s">
        <v>1216</v>
      </c>
      <c r="F339" s="367" t="s">
        <v>1217</v>
      </c>
      <c r="G339" s="367" t="s">
        <v>1218</v>
      </c>
      <c r="H339" s="367" t="s">
        <v>895</v>
      </c>
      <c r="I339" s="464"/>
      <c r="J339" s="464">
        <v>30000</v>
      </c>
      <c r="K339" s="464">
        <v>0</v>
      </c>
      <c r="L339" s="464">
        <v>9490980.0299999993</v>
      </c>
      <c r="M339" s="464"/>
    </row>
    <row r="340" spans="1:13" hidden="1" outlineLevel="1">
      <c r="A340" s="367" t="s">
        <v>894</v>
      </c>
      <c r="B340" s="367" t="s">
        <v>895</v>
      </c>
      <c r="C340" s="367" t="s">
        <v>1219</v>
      </c>
      <c r="D340" s="463" t="s">
        <v>795</v>
      </c>
      <c r="E340" s="367" t="s">
        <v>911</v>
      </c>
      <c r="F340" s="367" t="s">
        <v>912</v>
      </c>
      <c r="G340" s="367" t="s">
        <v>1220</v>
      </c>
      <c r="H340" s="367" t="s">
        <v>895</v>
      </c>
      <c r="I340" s="464"/>
      <c r="J340" s="464">
        <v>18400</v>
      </c>
      <c r="K340" s="464">
        <v>0</v>
      </c>
      <c r="L340" s="464">
        <v>9509380.0299999993</v>
      </c>
      <c r="M340" s="464"/>
    </row>
    <row r="341" spans="1:13" hidden="1" outlineLevel="1">
      <c r="A341" s="367" t="s">
        <v>894</v>
      </c>
      <c r="B341" s="367" t="s">
        <v>895</v>
      </c>
      <c r="C341" s="367" t="s">
        <v>1221</v>
      </c>
      <c r="D341" s="463" t="s">
        <v>795</v>
      </c>
      <c r="E341" s="367" t="s">
        <v>911</v>
      </c>
      <c r="F341" s="367" t="s">
        <v>912</v>
      </c>
      <c r="G341" s="367" t="s">
        <v>1124</v>
      </c>
      <c r="H341" s="367" t="s">
        <v>895</v>
      </c>
      <c r="I341" s="464"/>
      <c r="J341" s="464">
        <v>18400</v>
      </c>
      <c r="K341" s="464">
        <v>0</v>
      </c>
      <c r="L341" s="464">
        <v>9527780.0299999993</v>
      </c>
      <c r="M341" s="464"/>
    </row>
    <row r="342" spans="1:13" hidden="1" outlineLevel="1">
      <c r="A342" s="367" t="s">
        <v>894</v>
      </c>
      <c r="B342" s="367" t="s">
        <v>895</v>
      </c>
      <c r="C342" s="367" t="s">
        <v>1222</v>
      </c>
      <c r="D342" s="463" t="s">
        <v>795</v>
      </c>
      <c r="E342" s="367" t="s">
        <v>522</v>
      </c>
      <c r="F342" s="367" t="s">
        <v>523</v>
      </c>
      <c r="G342" s="367" t="s">
        <v>1223</v>
      </c>
      <c r="H342" s="367" t="s">
        <v>895</v>
      </c>
      <c r="I342" s="464"/>
      <c r="J342" s="464">
        <v>100000</v>
      </c>
      <c r="K342" s="464">
        <v>0</v>
      </c>
      <c r="L342" s="464">
        <v>9627780.0299999993</v>
      </c>
      <c r="M342" s="464"/>
    </row>
    <row r="343" spans="1:13" hidden="1" outlineLevel="1">
      <c r="A343" s="367" t="s">
        <v>894</v>
      </c>
      <c r="B343" s="367" t="s">
        <v>895</v>
      </c>
      <c r="C343" s="367" t="s">
        <v>1224</v>
      </c>
      <c r="D343" s="463" t="s">
        <v>1225</v>
      </c>
      <c r="E343" s="367" t="s">
        <v>1120</v>
      </c>
      <c r="F343" s="367" t="s">
        <v>1121</v>
      </c>
      <c r="G343" s="367" t="s">
        <v>1226</v>
      </c>
      <c r="H343" s="367" t="s">
        <v>895</v>
      </c>
      <c r="I343" s="464"/>
      <c r="J343" s="464">
        <v>4201.68</v>
      </c>
      <c r="K343" s="464">
        <v>0</v>
      </c>
      <c r="L343" s="464">
        <v>9631981.7100000009</v>
      </c>
      <c r="M343" s="464"/>
    </row>
    <row r="344" spans="1:13" hidden="1" outlineLevel="1">
      <c r="A344" s="367" t="s">
        <v>894</v>
      </c>
      <c r="B344" s="367" t="s">
        <v>895</v>
      </c>
      <c r="C344" s="367" t="s">
        <v>1227</v>
      </c>
      <c r="D344" s="463" t="s">
        <v>1225</v>
      </c>
      <c r="E344" s="367" t="s">
        <v>1120</v>
      </c>
      <c r="F344" s="367" t="s">
        <v>1121</v>
      </c>
      <c r="G344" s="367" t="s">
        <v>1226</v>
      </c>
      <c r="H344" s="367" t="s">
        <v>895</v>
      </c>
      <c r="I344" s="464"/>
      <c r="J344" s="464">
        <v>504.2</v>
      </c>
      <c r="K344" s="464">
        <v>0</v>
      </c>
      <c r="L344" s="464">
        <v>9632485.9100000001</v>
      </c>
      <c r="M344" s="464"/>
    </row>
    <row r="345" spans="1:13" hidden="1" outlineLevel="1">
      <c r="A345" s="367" t="s">
        <v>894</v>
      </c>
      <c r="B345" s="367" t="s">
        <v>895</v>
      </c>
      <c r="C345" s="367" t="s">
        <v>1228</v>
      </c>
      <c r="D345" s="463" t="s">
        <v>891</v>
      </c>
      <c r="E345" s="367" t="s">
        <v>1120</v>
      </c>
      <c r="F345" s="367" t="s">
        <v>1121</v>
      </c>
      <c r="G345" s="367" t="s">
        <v>1229</v>
      </c>
      <c r="H345" s="367" t="s">
        <v>895</v>
      </c>
      <c r="I345" s="464"/>
      <c r="J345" s="464">
        <v>7563.03</v>
      </c>
      <c r="K345" s="464">
        <v>0</v>
      </c>
      <c r="L345" s="464">
        <v>9640048.9399999995</v>
      </c>
      <c r="M345" s="464"/>
    </row>
    <row r="346" spans="1:13" hidden="1" outlineLevel="1">
      <c r="A346" s="367" t="s">
        <v>894</v>
      </c>
      <c r="B346" s="367" t="s">
        <v>895</v>
      </c>
      <c r="C346" s="367" t="s">
        <v>1230</v>
      </c>
      <c r="D346" s="463" t="s">
        <v>1231</v>
      </c>
      <c r="E346" s="367" t="s">
        <v>1120</v>
      </c>
      <c r="F346" s="367" t="s">
        <v>1121</v>
      </c>
      <c r="G346" s="367" t="s">
        <v>1232</v>
      </c>
      <c r="H346" s="367" t="s">
        <v>895</v>
      </c>
      <c r="I346" s="464"/>
      <c r="J346" s="464">
        <v>1512.61</v>
      </c>
      <c r="K346" s="464">
        <v>0</v>
      </c>
      <c r="L346" s="464">
        <v>9641561.5500000007</v>
      </c>
      <c r="M346" s="464"/>
    </row>
    <row r="347" spans="1:13" hidden="1" outlineLevel="1">
      <c r="A347" s="367" t="s">
        <v>894</v>
      </c>
      <c r="B347" s="367" t="s">
        <v>895</v>
      </c>
      <c r="C347" s="367" t="s">
        <v>1233</v>
      </c>
      <c r="D347" s="463" t="s">
        <v>1234</v>
      </c>
      <c r="E347" s="367" t="s">
        <v>1120</v>
      </c>
      <c r="F347" s="367" t="s">
        <v>1121</v>
      </c>
      <c r="G347" s="367" t="s">
        <v>1229</v>
      </c>
      <c r="H347" s="367" t="s">
        <v>895</v>
      </c>
      <c r="I347" s="464"/>
      <c r="J347" s="464">
        <v>10924.37</v>
      </c>
      <c r="K347" s="464">
        <v>0</v>
      </c>
      <c r="L347" s="464">
        <v>9652485.9199999999</v>
      </c>
      <c r="M347" s="464"/>
    </row>
    <row r="348" spans="1:13" hidden="1" outlineLevel="1">
      <c r="A348" s="367" t="s">
        <v>894</v>
      </c>
      <c r="B348" s="367" t="s">
        <v>895</v>
      </c>
      <c r="C348" s="367" t="s">
        <v>1235</v>
      </c>
      <c r="D348" s="463" t="s">
        <v>798</v>
      </c>
      <c r="E348" s="367" t="s">
        <v>1120</v>
      </c>
      <c r="F348" s="367" t="s">
        <v>1121</v>
      </c>
      <c r="G348" s="367" t="s">
        <v>1236</v>
      </c>
      <c r="H348" s="367" t="s">
        <v>895</v>
      </c>
      <c r="I348" s="464"/>
      <c r="J348" s="464">
        <v>4201.68</v>
      </c>
      <c r="K348" s="464">
        <v>0</v>
      </c>
      <c r="L348" s="464">
        <v>9656687.5999999996</v>
      </c>
      <c r="M348" s="464"/>
    </row>
    <row r="349" spans="1:13" hidden="1" outlineLevel="1">
      <c r="A349" s="367" t="s">
        <v>894</v>
      </c>
      <c r="B349" s="367" t="s">
        <v>895</v>
      </c>
      <c r="C349" s="367" t="s">
        <v>1237</v>
      </c>
      <c r="D349" s="463" t="s">
        <v>798</v>
      </c>
      <c r="E349" s="367" t="s">
        <v>1120</v>
      </c>
      <c r="F349" s="367" t="s">
        <v>1121</v>
      </c>
      <c r="G349" s="367" t="s">
        <v>1238</v>
      </c>
      <c r="H349" s="367" t="s">
        <v>895</v>
      </c>
      <c r="I349" s="464"/>
      <c r="J349" s="464">
        <v>4201.68</v>
      </c>
      <c r="K349" s="464">
        <v>0</v>
      </c>
      <c r="L349" s="464">
        <v>9660889.2799999993</v>
      </c>
      <c r="M349" s="464"/>
    </row>
    <row r="350" spans="1:13" collapsed="1"/>
    <row r="351" spans="1:13">
      <c r="A351" s="461" t="s">
        <v>108</v>
      </c>
      <c r="B351" s="461"/>
      <c r="C351" s="461"/>
      <c r="D351" s="461"/>
      <c r="E351" s="461"/>
      <c r="F351" s="461"/>
      <c r="G351" s="461"/>
      <c r="H351" s="461"/>
      <c r="I351" s="461"/>
      <c r="J351" s="462">
        <v>39228478.370000012</v>
      </c>
      <c r="K351" s="462">
        <v>2144075</v>
      </c>
      <c r="L351" s="461"/>
      <c r="M351" s="461"/>
    </row>
    <row r="352" spans="1:13" collapsed="1">
      <c r="A352" s="465"/>
      <c r="B352" s="465"/>
      <c r="C352" s="465"/>
      <c r="D352" s="465"/>
      <c r="E352" s="465"/>
      <c r="F352" s="465"/>
      <c r="G352" s="465"/>
      <c r="H352" s="465"/>
      <c r="I352" s="465"/>
      <c r="J352" s="465"/>
      <c r="K352" s="465"/>
      <c r="L352" s="465"/>
      <c r="M352" s="465"/>
    </row>
    <row r="353" spans="1:27" collapsed="1">
      <c r="A353" s="987" t="s">
        <v>1239</v>
      </c>
      <c r="B353" s="988"/>
      <c r="C353" s="988"/>
      <c r="D353" s="988"/>
      <c r="E353" s="988"/>
      <c r="F353" s="988"/>
      <c r="G353" s="988"/>
      <c r="H353" s="988"/>
      <c r="I353" s="988"/>
      <c r="J353" s="988"/>
      <c r="K353" s="988"/>
      <c r="L353" s="988"/>
      <c r="M353" s="988"/>
    </row>
    <row r="354" spans="1:27">
      <c r="I354" s="153" t="s">
        <v>1240</v>
      </c>
      <c r="J354" s="466">
        <f>+J351-K351</f>
        <v>37084403.370000012</v>
      </c>
    </row>
    <row r="355" spans="1:27">
      <c r="O355" s="376" t="s">
        <v>439</v>
      </c>
      <c r="P355" s="149"/>
      <c r="Q355" s="149"/>
      <c r="R355" s="149"/>
      <c r="S355" s="149"/>
      <c r="T355" s="149"/>
      <c r="U355" s="149"/>
      <c r="V355" s="149"/>
      <c r="W355" s="149"/>
      <c r="X355" s="149"/>
      <c r="Y355" s="149"/>
      <c r="Z355" s="149"/>
      <c r="AA355" s="149"/>
    </row>
    <row r="356" spans="1:27">
      <c r="O356" s="962" t="s">
        <v>1242</v>
      </c>
      <c r="P356" s="963"/>
      <c r="Q356" s="963"/>
      <c r="R356" s="963"/>
      <c r="S356" s="963"/>
      <c r="T356" s="963"/>
      <c r="U356" s="963"/>
      <c r="V356" s="963"/>
      <c r="W356" s="963"/>
      <c r="X356" s="963"/>
      <c r="Y356" s="963"/>
      <c r="Z356" s="963"/>
      <c r="AA356" s="964"/>
    </row>
    <row r="357" spans="1:27">
      <c r="O357" s="965"/>
      <c r="P357" s="966"/>
      <c r="Q357" s="966"/>
      <c r="R357" s="966"/>
      <c r="S357" s="966"/>
      <c r="T357" s="966"/>
      <c r="U357" s="966"/>
      <c r="V357" s="966"/>
      <c r="W357" s="966"/>
      <c r="X357" s="966"/>
      <c r="Y357" s="966"/>
      <c r="Z357" s="966"/>
      <c r="AA357" s="967"/>
    </row>
    <row r="358" spans="1:27">
      <c r="O358" s="965"/>
      <c r="P358" s="966"/>
      <c r="Q358" s="966"/>
      <c r="R358" s="966"/>
      <c r="S358" s="966"/>
      <c r="T358" s="966"/>
      <c r="U358" s="966"/>
      <c r="V358" s="966"/>
      <c r="W358" s="966"/>
      <c r="X358" s="966"/>
      <c r="Y358" s="966"/>
      <c r="Z358" s="966"/>
      <c r="AA358" s="967"/>
    </row>
    <row r="359" spans="1:27">
      <c r="O359" s="965"/>
      <c r="P359" s="966"/>
      <c r="Q359" s="966"/>
      <c r="R359" s="966"/>
      <c r="S359" s="966"/>
      <c r="T359" s="966"/>
      <c r="U359" s="966"/>
      <c r="V359" s="966"/>
      <c r="W359" s="966"/>
      <c r="X359" s="966"/>
      <c r="Y359" s="966"/>
      <c r="Z359" s="966"/>
      <c r="AA359" s="967"/>
    </row>
    <row r="360" spans="1:27">
      <c r="O360" s="965"/>
      <c r="P360" s="966"/>
      <c r="Q360" s="966"/>
      <c r="R360" s="966"/>
      <c r="S360" s="966"/>
      <c r="T360" s="966"/>
      <c r="U360" s="966"/>
      <c r="V360" s="966"/>
      <c r="W360" s="966"/>
      <c r="X360" s="966"/>
      <c r="Y360" s="966"/>
      <c r="Z360" s="966"/>
      <c r="AA360" s="967"/>
    </row>
    <row r="361" spans="1:27">
      <c r="O361" s="965"/>
      <c r="P361" s="966"/>
      <c r="Q361" s="966"/>
      <c r="R361" s="966"/>
      <c r="S361" s="966"/>
      <c r="T361" s="966"/>
      <c r="U361" s="966"/>
      <c r="V361" s="966"/>
      <c r="W361" s="966"/>
      <c r="X361" s="966"/>
      <c r="Y361" s="966"/>
      <c r="Z361" s="966"/>
      <c r="AA361" s="967"/>
    </row>
    <row r="362" spans="1:27">
      <c r="O362" s="965"/>
      <c r="P362" s="966"/>
      <c r="Q362" s="966"/>
      <c r="R362" s="966"/>
      <c r="S362" s="966"/>
      <c r="T362" s="966"/>
      <c r="U362" s="966"/>
      <c r="V362" s="966"/>
      <c r="W362" s="966"/>
      <c r="X362" s="966"/>
      <c r="Y362" s="966"/>
      <c r="Z362" s="966"/>
      <c r="AA362" s="967"/>
    </row>
    <row r="363" spans="1:27">
      <c r="O363" s="965"/>
      <c r="P363" s="966"/>
      <c r="Q363" s="966"/>
      <c r="R363" s="966"/>
      <c r="S363" s="966"/>
      <c r="T363" s="966"/>
      <c r="U363" s="966"/>
      <c r="V363" s="966"/>
      <c r="W363" s="966"/>
      <c r="X363" s="966"/>
      <c r="Y363" s="966"/>
      <c r="Z363" s="966"/>
      <c r="AA363" s="967"/>
    </row>
    <row r="364" spans="1:27">
      <c r="O364" s="965"/>
      <c r="P364" s="966"/>
      <c r="Q364" s="966"/>
      <c r="R364" s="966"/>
      <c r="S364" s="966"/>
      <c r="T364" s="966"/>
      <c r="U364" s="966"/>
      <c r="V364" s="966"/>
      <c r="W364" s="966"/>
      <c r="X364" s="966"/>
      <c r="Y364" s="966"/>
      <c r="Z364" s="966"/>
      <c r="AA364" s="967"/>
    </row>
    <row r="365" spans="1:27">
      <c r="O365" s="968"/>
      <c r="P365" s="969"/>
      <c r="Q365" s="969"/>
      <c r="R365" s="969"/>
      <c r="S365" s="969"/>
      <c r="T365" s="969"/>
      <c r="U365" s="969"/>
      <c r="V365" s="969"/>
      <c r="W365" s="969"/>
      <c r="X365" s="969"/>
      <c r="Y365" s="969"/>
      <c r="Z365" s="969"/>
      <c r="AA365" s="970"/>
    </row>
  </sheetData>
  <mergeCells count="5">
    <mergeCell ref="A5:M5"/>
    <mergeCell ref="A353:M353"/>
    <mergeCell ref="O356:AA359"/>
    <mergeCell ref="O360:AA361"/>
    <mergeCell ref="O362:AA365"/>
  </mergeCells>
  <phoneticPr fontId="30"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768"/>
  <sheetViews>
    <sheetView zoomScale="115" zoomScaleNormal="115" workbookViewId="0">
      <selection activeCell="B15" sqref="B15"/>
    </sheetView>
  </sheetViews>
  <sheetFormatPr baseColWidth="10" defaultRowHeight="12.75"/>
  <cols>
    <col min="1" max="1" width="18.5703125" style="6" customWidth="1"/>
    <col min="2" max="2" width="59.85546875" style="6" customWidth="1"/>
    <col min="3" max="3" width="20" style="6" bestFit="1" customWidth="1"/>
    <col min="4" max="4" width="15.7109375" style="6" customWidth="1"/>
    <col min="5" max="5" width="21.7109375" style="6" bestFit="1" customWidth="1"/>
    <col min="6" max="6" width="18.7109375" style="6" bestFit="1" customWidth="1"/>
    <col min="7" max="7" width="17" style="6" bestFit="1" customWidth="1"/>
    <col min="8" max="8" width="23.7109375" style="6" customWidth="1"/>
    <col min="9" max="10" width="18.7109375" style="6" bestFit="1" customWidth="1"/>
    <col min="11" max="11" width="16.5703125" style="6" bestFit="1" customWidth="1"/>
    <col min="12" max="13" width="16.28515625" style="6" bestFit="1" customWidth="1"/>
    <col min="14" max="14" width="16.28515625" style="6" hidden="1" customWidth="1"/>
    <col min="15" max="17" width="16" style="6" hidden="1" customWidth="1"/>
    <col min="18" max="18" width="12" style="6" hidden="1" customWidth="1"/>
    <col min="19" max="19" width="15" style="74" bestFit="1" customWidth="1"/>
    <col min="20" max="20" width="18.42578125" style="74" hidden="1" customWidth="1"/>
    <col min="21" max="21" width="17.85546875" style="74" hidden="1" customWidth="1"/>
    <col min="22" max="22" width="16.140625" style="74" hidden="1" customWidth="1"/>
    <col min="23" max="23" width="19.5703125" style="74" hidden="1" customWidth="1"/>
    <col min="24" max="24" width="17.140625" style="74" hidden="1" customWidth="1"/>
    <col min="25" max="25" width="16.42578125" style="74" hidden="1" customWidth="1"/>
    <col min="26" max="26" width="19.5703125" style="74" hidden="1" customWidth="1"/>
    <col min="27" max="27" width="18.140625" style="74" bestFit="1" customWidth="1"/>
    <col min="28" max="29" width="16.5703125" style="74" customWidth="1"/>
    <col min="30" max="30" width="19" style="74" bestFit="1" customWidth="1"/>
    <col min="31" max="31" width="19.5703125" style="74" bestFit="1" customWidth="1"/>
    <col min="32" max="32" width="18.5703125" style="6" bestFit="1" customWidth="1"/>
    <col min="33" max="16384" width="11.42578125" style="6"/>
  </cols>
  <sheetData>
    <row r="1" spans="1:33">
      <c r="B1" s="7"/>
      <c r="C1" s="8"/>
      <c r="D1" s="8"/>
      <c r="E1" s="9"/>
      <c r="F1" s="9"/>
      <c r="G1" s="9"/>
      <c r="H1" s="7"/>
      <c r="I1" s="7"/>
      <c r="J1" s="7"/>
      <c r="K1" s="7"/>
      <c r="L1" s="7"/>
    </row>
    <row r="2" spans="1:33" ht="18.75">
      <c r="A2" s="871" t="s">
        <v>58</v>
      </c>
      <c r="B2" s="871"/>
      <c r="C2" s="871"/>
      <c r="D2" s="871"/>
      <c r="E2" s="871"/>
      <c r="F2" s="871"/>
      <c r="G2" s="871"/>
      <c r="H2" s="871"/>
      <c r="I2" s="871"/>
      <c r="J2" s="871"/>
      <c r="K2" s="871"/>
      <c r="L2" s="871"/>
      <c r="M2" s="871"/>
      <c r="N2" s="871"/>
      <c r="O2" s="871"/>
      <c r="P2" s="871"/>
      <c r="Q2" s="871"/>
      <c r="R2" s="871"/>
    </row>
    <row r="3" spans="1:33" ht="18.75">
      <c r="A3" s="871" t="s">
        <v>59</v>
      </c>
      <c r="B3" s="871"/>
      <c r="C3" s="871"/>
      <c r="D3" s="871"/>
      <c r="E3" s="871"/>
      <c r="F3" s="871"/>
      <c r="G3" s="871"/>
      <c r="H3" s="871"/>
      <c r="I3" s="871"/>
      <c r="J3" s="871"/>
      <c r="K3" s="871"/>
      <c r="L3" s="871"/>
      <c r="M3" s="871"/>
      <c r="N3" s="871"/>
      <c r="O3" s="871"/>
      <c r="P3" s="871"/>
      <c r="Q3" s="871"/>
      <c r="R3" s="871"/>
    </row>
    <row r="4" spans="1:33" ht="18.75">
      <c r="A4" s="871" t="s">
        <v>60</v>
      </c>
      <c r="B4" s="871"/>
      <c r="C4" s="871"/>
      <c r="D4" s="871"/>
      <c r="E4" s="871"/>
      <c r="F4" s="871"/>
      <c r="G4" s="871"/>
      <c r="H4" s="871"/>
      <c r="I4" s="871"/>
      <c r="J4" s="871"/>
      <c r="K4" s="871"/>
      <c r="L4" s="871"/>
      <c r="M4" s="871"/>
      <c r="N4" s="871"/>
      <c r="O4" s="871"/>
      <c r="P4" s="871"/>
      <c r="Q4" s="871"/>
      <c r="R4" s="871"/>
      <c r="T4" s="75">
        <f>+SUM(F7:F12)</f>
        <v>195507301050.41162</v>
      </c>
      <c r="V4" s="73">
        <f>+SUM(F13:F32)</f>
        <v>18393281326.372002</v>
      </c>
      <c r="X4" s="75">
        <f>+SUM(F35:F39)</f>
        <v>29684824079.2034</v>
      </c>
    </row>
    <row r="5" spans="1:33">
      <c r="B5" s="7"/>
      <c r="C5" s="8"/>
      <c r="D5" s="8"/>
      <c r="E5" s="10"/>
      <c r="F5" s="10"/>
      <c r="G5" s="10"/>
      <c r="H5" s="7"/>
      <c r="I5" s="7"/>
      <c r="J5" s="7"/>
      <c r="K5" s="7"/>
      <c r="L5" s="7"/>
      <c r="T5" s="72"/>
    </row>
    <row r="6" spans="1:33" s="13" customFormat="1" ht="29.25" customHeight="1">
      <c r="A6" s="101" t="s">
        <v>70</v>
      </c>
      <c r="B6" s="101" t="s">
        <v>2</v>
      </c>
      <c r="C6" s="101" t="s">
        <v>61</v>
      </c>
      <c r="D6" s="101" t="s">
        <v>141</v>
      </c>
      <c r="E6" s="101" t="s">
        <v>142</v>
      </c>
      <c r="F6" s="101" t="s">
        <v>87</v>
      </c>
      <c r="G6" s="101" t="s">
        <v>86</v>
      </c>
      <c r="H6" s="123" t="s">
        <v>62</v>
      </c>
      <c r="I6" s="123" t="s">
        <v>226</v>
      </c>
      <c r="J6" s="123" t="s">
        <v>227</v>
      </c>
      <c r="K6" s="123" t="s">
        <v>228</v>
      </c>
      <c r="L6" s="123" t="s">
        <v>229</v>
      </c>
      <c r="M6" s="123" t="s">
        <v>230</v>
      </c>
      <c r="N6" s="123" t="s">
        <v>83</v>
      </c>
      <c r="O6" s="123" t="s">
        <v>219</v>
      </c>
      <c r="P6" s="123" t="s">
        <v>84</v>
      </c>
      <c r="Q6" s="123" t="s">
        <v>85</v>
      </c>
      <c r="R6" s="123" t="s">
        <v>63</v>
      </c>
      <c r="S6" s="76"/>
      <c r="T6" s="76"/>
      <c r="U6" s="77">
        <v>30000000000</v>
      </c>
      <c r="V6" s="76"/>
      <c r="W6" s="78">
        <f>30000000000-SUM(J7:J12)</f>
        <v>8452245165.8314285</v>
      </c>
      <c r="X6" s="76"/>
      <c r="Y6" s="77">
        <f>4025701773.28515-SUM(K13:K32)</f>
        <v>3281306275.9305801</v>
      </c>
      <c r="Z6" s="81">
        <v>4025701773.2851501</v>
      </c>
      <c r="AA6" s="125"/>
      <c r="AB6" s="125"/>
      <c r="AC6" s="125"/>
      <c r="AD6" s="73"/>
      <c r="AE6" s="77"/>
    </row>
    <row r="7" spans="1:33" ht="15" customHeight="1">
      <c r="A7" s="732" t="s">
        <v>64</v>
      </c>
      <c r="B7" s="736" t="s">
        <v>65</v>
      </c>
      <c r="C7" s="94">
        <v>860034313</v>
      </c>
      <c r="D7" s="95">
        <f>+Tabla136[[#This Row],[CAPITAL]]/SUM($F$9,$F$34)</f>
        <v>0.280249062479139</v>
      </c>
      <c r="E7" s="59">
        <v>61450391797</v>
      </c>
      <c r="F7" s="59">
        <v>54257728313.705803</v>
      </c>
      <c r="G7" s="121">
        <v>7192663483</v>
      </c>
      <c r="H7" s="60">
        <f>+Tabla136[[#This Row],[CAPITAL]]/2</f>
        <v>27128864156.852901</v>
      </c>
      <c r="I7" s="124">
        <v>17812780620.997929</v>
      </c>
      <c r="J7" s="124">
        <f>+Tabla136[[#This Row],[SALDO PROPUESTA (50%)]]-Tabla136[[#This Row],[Año 1]]</f>
        <v>9316083535.8549728</v>
      </c>
      <c r="K7" s="60">
        <v>0</v>
      </c>
      <c r="L7" s="60">
        <v>0</v>
      </c>
      <c r="M7" s="60">
        <v>0</v>
      </c>
      <c r="N7" s="60">
        <v>0</v>
      </c>
      <c r="O7" s="60"/>
      <c r="P7" s="60"/>
      <c r="Q7" s="60"/>
      <c r="R7" s="120">
        <f>+Tabla136[[#This Row],[SALDO PROPUESTA (50%)]]-SUM(Tabla136[[#This Row],[Año 1]:[Pago 2029]])</f>
        <v>0</v>
      </c>
      <c r="T7" s="79">
        <f>+Tabla136[[#This Row],[CAPITAL]]/$T$4</f>
        <v>0.27752277292046207</v>
      </c>
      <c r="U7" s="80">
        <f>+T7*$U$6</f>
        <v>8325683187.613862</v>
      </c>
      <c r="AD7" s="71"/>
      <c r="AE7" s="73"/>
    </row>
    <row r="8" spans="1:33" ht="15" customHeight="1">
      <c r="A8" s="732" t="s">
        <v>64</v>
      </c>
      <c r="B8" s="736" t="s">
        <v>66</v>
      </c>
      <c r="C8" s="94">
        <v>890903938</v>
      </c>
      <c r="D8" s="95">
        <f>+Tabla136[[#This Row],[CAPITAL]]/SUM($F$9,$F$34)</f>
        <v>0.19174192271625129</v>
      </c>
      <c r="E8" s="59">
        <v>40458329172</v>
      </c>
      <c r="F8" s="59">
        <v>37122269231</v>
      </c>
      <c r="G8" s="121">
        <v>3336059941</v>
      </c>
      <c r="H8" s="60">
        <f>+Tabla136[[#This Row],[CAPITAL]]/2</f>
        <v>18561134615.5</v>
      </c>
      <c r="I8" s="124">
        <v>12187219379.002068</v>
      </c>
      <c r="J8" s="124">
        <f>+Tabla136[[#This Row],[SALDO PROPUESTA (50%)]]-Tabla136[[#This Row],[Año 1]]</f>
        <v>6373915236.4979324</v>
      </c>
      <c r="K8" s="60">
        <v>0</v>
      </c>
      <c r="L8" s="60">
        <v>0</v>
      </c>
      <c r="M8" s="60">
        <v>0</v>
      </c>
      <c r="N8" s="60">
        <v>0</v>
      </c>
      <c r="O8" s="60"/>
      <c r="P8" s="60"/>
      <c r="Q8" s="60"/>
      <c r="R8" s="120">
        <f>+Tabla136[[#This Row],[SALDO PROPUESTA (50%)]]-SUM(Tabla136[[#This Row],[Año 1]:[Pago 2029]])</f>
        <v>0</v>
      </c>
      <c r="T8" s="79">
        <f>+Tabla136[[#This Row],[CAPITAL]]/$T$4</f>
        <v>0.18987663903880506</v>
      </c>
      <c r="U8" s="80">
        <f t="shared" ref="U8:U12" si="0">+T8*$U$6</f>
        <v>5696299171.1641521</v>
      </c>
      <c r="AD8" s="126" t="s">
        <v>220</v>
      </c>
      <c r="AE8" s="126" t="s">
        <v>221</v>
      </c>
      <c r="AF8" s="126" t="s">
        <v>222</v>
      </c>
      <c r="AG8" s="126" t="s">
        <v>223</v>
      </c>
    </row>
    <row r="9" spans="1:33" ht="15" customHeight="1">
      <c r="A9" s="130" t="s">
        <v>224</v>
      </c>
      <c r="B9" s="139"/>
      <c r="C9" s="131"/>
      <c r="D9" s="146">
        <f>SUBTOTAL(109,D7:D8)</f>
        <v>0.47199098519539029</v>
      </c>
      <c r="E9" s="133">
        <f>SUBTOTAL(109,E7:E8)</f>
        <v>101908720969</v>
      </c>
      <c r="F9" s="133">
        <f t="shared" ref="F9:H9" si="1">SUBTOTAL(109,F7:F8)</f>
        <v>91379997544.705811</v>
      </c>
      <c r="G9" s="133">
        <f t="shared" si="1"/>
        <v>10528723424</v>
      </c>
      <c r="H9" s="133">
        <f t="shared" si="1"/>
        <v>45689998772.352905</v>
      </c>
      <c r="I9" s="140"/>
      <c r="J9" s="140"/>
      <c r="K9" s="140"/>
      <c r="L9" s="140"/>
      <c r="M9" s="140"/>
      <c r="N9" s="140"/>
      <c r="O9" s="140"/>
      <c r="P9" s="140"/>
      <c r="Q9" s="140"/>
      <c r="R9" s="141">
        <v>0</v>
      </c>
      <c r="T9" s="79"/>
      <c r="U9" s="80"/>
      <c r="AB9" s="75">
        <f>30000000000-J7-J8</f>
        <v>14310001227.647095</v>
      </c>
      <c r="AD9" t="s">
        <v>64</v>
      </c>
      <c r="AE9">
        <v>2</v>
      </c>
      <c r="AF9" s="14">
        <f>+SUMIF(Tabla136[TIPO],AD9,Tabla136[CAPITAL])</f>
        <v>91379997544.705811</v>
      </c>
      <c r="AG9" s="129">
        <f>+AF9/($AF$9+$AF$10)</f>
        <v>0.47199098519539029</v>
      </c>
    </row>
    <row r="10" spans="1:33" ht="15" customHeight="1">
      <c r="A10" s="732" t="s">
        <v>67</v>
      </c>
      <c r="B10" s="733" t="s">
        <v>13</v>
      </c>
      <c r="C10" s="94">
        <v>890901176</v>
      </c>
      <c r="D10" s="95">
        <f>+Tabla136[[#This Row],[CAPITAL]]/SUM($F$9,$F$34)</f>
        <v>3.4721688537636193E-2</v>
      </c>
      <c r="E10" s="59">
        <v>7138972639</v>
      </c>
      <c r="F10" s="59">
        <v>6722305961</v>
      </c>
      <c r="G10" s="121">
        <v>416666678</v>
      </c>
      <c r="H10" s="60">
        <f>+Tabla136[[#This Row],[CAPITAL]]/2</f>
        <v>3361152980.5</v>
      </c>
      <c r="I10" s="124">
        <v>0</v>
      </c>
      <c r="J10" s="124">
        <v>3089094167.2618508</v>
      </c>
      <c r="K10" s="60">
        <f>+Tabla136[[#This Row],[SALDO PROPUESTA (50%)]]-Tabla136[[#This Row],[Año 2]]</f>
        <v>272058813.23814917</v>
      </c>
      <c r="L10" s="60">
        <v>0</v>
      </c>
      <c r="M10" s="60">
        <v>0</v>
      </c>
      <c r="N10" s="60">
        <v>0</v>
      </c>
      <c r="O10" s="60"/>
      <c r="P10" s="60"/>
      <c r="Q10" s="60"/>
      <c r="R10" s="120">
        <f>+Tabla136[[#This Row],[SALDO PROPUESTA (50%)]]-SUM(Tabla136[[#This Row],[Año 1]:[Pago 2029]])</f>
        <v>0</v>
      </c>
      <c r="T10" s="79">
        <f>+Tabla136[[#This Row],[CAPITAL]]/$T$4</f>
        <v>3.4383912646140262E-2</v>
      </c>
      <c r="U10" s="80">
        <f t="shared" si="0"/>
        <v>1031517379.3842078</v>
      </c>
      <c r="AA10" s="79">
        <f>+Tabla136[[#This Row],[CAPITAL]]/SUM($F$10:$F$32)</f>
        <v>0.21586959484627322</v>
      </c>
      <c r="AB10" s="73">
        <f>+$AB$9*AA10</f>
        <v>3089094167.2618508</v>
      </c>
      <c r="AC10" s="79"/>
      <c r="AD10" t="s">
        <v>67</v>
      </c>
      <c r="AE10">
        <v>38</v>
      </c>
      <c r="AF10" s="14">
        <f>+SUMIF(Tabla136[TIPO],AD10,Tabla136[CAPITAL])</f>
        <v>102225389869.37201</v>
      </c>
      <c r="AG10" s="129">
        <f>+AF10/($AF$9+$AF$10)</f>
        <v>0.52800901480460971</v>
      </c>
    </row>
    <row r="11" spans="1:33" s="99" customFormat="1" ht="15" customHeight="1">
      <c r="A11" s="732" t="s">
        <v>67</v>
      </c>
      <c r="B11" s="733" t="s">
        <v>16</v>
      </c>
      <c r="C11" s="94">
        <v>860007738</v>
      </c>
      <c r="D11" s="95">
        <f>+Tabla136[[#This Row],[CAPITAL]]/SUM($F$9,$F$34)</f>
        <v>2.4792698509643708E-2</v>
      </c>
      <c r="E11" s="59">
        <f>+Tabla136[[#This Row],[CAPITAL]]+Tabla136[[#This Row],[INTERESES]]</f>
        <v>5674142925.8867922</v>
      </c>
      <c r="F11" s="59">
        <v>4800000000</v>
      </c>
      <c r="G11" s="121">
        <v>874142925.88679218</v>
      </c>
      <c r="H11" s="60">
        <f>+Tabla136[[#This Row],[CAPITAL]]/2</f>
        <v>2400000000</v>
      </c>
      <c r="I11" s="124">
        <v>0</v>
      </c>
      <c r="J11" s="124">
        <v>2205738936.7399669</v>
      </c>
      <c r="K11" s="60">
        <f>+Tabla136[[#This Row],[SALDO PROPUESTA (50%)]]-Tabla136[[#This Row],[Año 2]]</f>
        <v>194261063.26003313</v>
      </c>
      <c r="L11" s="60">
        <v>0</v>
      </c>
      <c r="M11" s="60">
        <v>0</v>
      </c>
      <c r="N11" s="60">
        <v>0</v>
      </c>
      <c r="O11" s="60"/>
      <c r="P11" s="60"/>
      <c r="Q11" s="60"/>
      <c r="R11" s="120">
        <f>+Tabla136[[#This Row],[SALDO PROPUESTA (50%)]]-SUM(Tabla136[[#This Row],[Año 1]:[Pago 2029]])</f>
        <v>0</v>
      </c>
      <c r="S11" s="96"/>
      <c r="T11" s="97">
        <f>+Tabla136[[#This Row],[CAPITAL]]/$T$4</f>
        <v>2.4551512778350507E-2</v>
      </c>
      <c r="U11" s="98">
        <f t="shared" si="0"/>
        <v>736545383.35051525</v>
      </c>
      <c r="V11" s="96"/>
      <c r="W11" s="96"/>
      <c r="X11" s="96"/>
      <c r="Y11" s="96"/>
      <c r="Z11" s="96"/>
      <c r="AA11" s="79">
        <f>+Tabla136[[#This Row],[CAPITAL]]/SUM($F$10:$F$32)</f>
        <v>0.15413967487846561</v>
      </c>
      <c r="AB11" s="73">
        <f t="shared" ref="AB11:AB32" si="2">+$AB$9*AA11</f>
        <v>2205738936.7399669</v>
      </c>
      <c r="AC11" s="79"/>
      <c r="AD11" t="s">
        <v>69</v>
      </c>
      <c r="AE11">
        <v>5</v>
      </c>
      <c r="AF11" s="14">
        <f>+SUMIF(Tabla136[TIPO],AD11,Tabla136[CAPITAL])</f>
        <v>29684824079.2034</v>
      </c>
      <c r="AG11" s="23">
        <v>0</v>
      </c>
    </row>
    <row r="12" spans="1:33" ht="15" customHeight="1">
      <c r="A12" s="732" t="s">
        <v>67</v>
      </c>
      <c r="B12" s="733" t="s">
        <v>8</v>
      </c>
      <c r="C12" s="94">
        <v>890203088</v>
      </c>
      <c r="D12" s="95">
        <f>+Tabla136[[#This Row],[CAPITAL]]/SUM($F$9,$F$34)</f>
        <v>6.3273032654819882E-3</v>
      </c>
      <c r="E12" s="59">
        <f>+Tabla136[[#This Row],[CAPITAL]]+Tabla136[[#This Row],[INTERESES]]</f>
        <v>1234700873</v>
      </c>
      <c r="F12" s="59">
        <v>1225000000</v>
      </c>
      <c r="G12" s="121">
        <v>9700873</v>
      </c>
      <c r="H12" s="60">
        <f>+Tabla136[[#This Row],[CAPITAL]]/2</f>
        <v>612500000</v>
      </c>
      <c r="I12" s="124">
        <v>0</v>
      </c>
      <c r="J12" s="124">
        <v>562922957.81384575</v>
      </c>
      <c r="K12" s="60">
        <f>+Tabla136[[#This Row],[SALDO PROPUESTA (50%)]]-Tabla136[[#This Row],[Año 2]]</f>
        <v>49577042.186154246</v>
      </c>
      <c r="L12" s="60">
        <v>0</v>
      </c>
      <c r="M12" s="60">
        <v>0</v>
      </c>
      <c r="N12" s="60">
        <v>0</v>
      </c>
      <c r="O12" s="60"/>
      <c r="P12" s="60"/>
      <c r="Q12" s="60"/>
      <c r="R12" s="120">
        <f>+Tabla136[[#This Row],[SALDO PROPUESTA (50%)]]-SUM(Tabla136[[#This Row],[Año 1]:[Pago 2029]])</f>
        <v>0</v>
      </c>
      <c r="T12" s="79">
        <f>+Tabla136[[#This Row],[CAPITAL]]/$T$4</f>
        <v>6.2657506569748682E-3</v>
      </c>
      <c r="U12" s="80">
        <f t="shared" si="0"/>
        <v>187972519.70924604</v>
      </c>
      <c r="AA12" s="79">
        <f>+Tabla136[[#This Row],[CAPITAL]]/SUM($F$10:$F$32)</f>
        <v>3.9337729526275081E-2</v>
      </c>
      <c r="AB12" s="73">
        <f t="shared" si="2"/>
        <v>562922957.81384575</v>
      </c>
      <c r="AC12" s="79"/>
      <c r="AD12" s="127" t="s">
        <v>88</v>
      </c>
      <c r="AE12" s="127">
        <f>SUM(AE9:AE11)</f>
        <v>45</v>
      </c>
      <c r="AF12" s="128">
        <f>SUM(AF9:AF11)</f>
        <v>223290211493.28122</v>
      </c>
      <c r="AG12" s="128"/>
    </row>
    <row r="13" spans="1:33" ht="15" customHeight="1">
      <c r="A13" s="732" t="s">
        <v>67</v>
      </c>
      <c r="B13" s="733" t="s">
        <v>7</v>
      </c>
      <c r="C13" s="94">
        <v>860002964</v>
      </c>
      <c r="D13" s="95">
        <f>+Tabla136[[#This Row],[CAPITAL]]/SUM($F$9,$F$34)</f>
        <v>1.8078009324783394E-2</v>
      </c>
      <c r="E13" s="59">
        <v>4242298742</v>
      </c>
      <c r="F13" s="59">
        <v>3499999999</v>
      </c>
      <c r="G13" s="121">
        <v>742298743.26852548</v>
      </c>
      <c r="H13" s="60">
        <f>+Tabla136[[#This Row],[CAPITAL]]/2</f>
        <v>1749999999.5</v>
      </c>
      <c r="I13" s="60">
        <v>0</v>
      </c>
      <c r="J13" s="124">
        <v>1608351307.5800302</v>
      </c>
      <c r="K13" s="60">
        <f>+Tabla136[[#This Row],[SALDO PROPUESTA (50%)]]-Tabla136[[#This Row],[Año 2]]</f>
        <v>141648691.9199698</v>
      </c>
      <c r="L13" s="60">
        <v>0</v>
      </c>
      <c r="M13" s="60">
        <v>0</v>
      </c>
      <c r="N13" s="60">
        <v>0</v>
      </c>
      <c r="O13" s="60"/>
      <c r="P13" s="60"/>
      <c r="Q13" s="60"/>
      <c r="R13" s="120">
        <f>+Tabla136[[#This Row],[SALDO PROPUESTA (50%)]]-SUM(Tabla136[[#This Row],[Año 1]:[Pago 2029]])</f>
        <v>0</v>
      </c>
      <c r="T13" s="75"/>
      <c r="V13" s="79">
        <f>+Tabla136[[#This Row],[CAPITAL]]/$V$4</f>
        <v>0.19028687360866678</v>
      </c>
      <c r="W13" s="75">
        <f>+V13*$W$6</f>
        <v>1608351307.5800297</v>
      </c>
      <c r="AA13" s="79">
        <f>+Tabla136[[#This Row],[CAPITAL]]/SUM($F$10:$F$32)</f>
        <v>0.11239351290010208</v>
      </c>
      <c r="AB13" s="73">
        <f t="shared" si="2"/>
        <v>1608351307.5800302</v>
      </c>
      <c r="AC13" s="79"/>
      <c r="AD13" s="73"/>
    </row>
    <row r="14" spans="1:33" ht="15" customHeight="1">
      <c r="A14" s="732" t="s">
        <v>67</v>
      </c>
      <c r="B14" s="733" t="s">
        <v>8</v>
      </c>
      <c r="C14" s="94">
        <v>890203088</v>
      </c>
      <c r="D14" s="95">
        <f>+Tabla136[[#This Row],[CAPITAL]]/SUM($F$9,$F$34)</f>
        <v>3.8738590801500834E-2</v>
      </c>
      <c r="E14" s="59">
        <v>7668176304</v>
      </c>
      <c r="F14" s="59">
        <v>7499999880</v>
      </c>
      <c r="G14" s="121">
        <v>168176424</v>
      </c>
      <c r="H14" s="60">
        <f>+Tabla136[[#This Row],[CAPITAL]]/2</f>
        <v>3749999940</v>
      </c>
      <c r="I14" s="60">
        <v>0</v>
      </c>
      <c r="J14" s="124">
        <v>3446467033.5127249</v>
      </c>
      <c r="K14" s="60">
        <f>+Tabla136[[#This Row],[SALDO PROPUESTA (50%)]]-Tabla136[[#This Row],[Año 2]]</f>
        <v>303532906.48727512</v>
      </c>
      <c r="L14" s="60">
        <v>0</v>
      </c>
      <c r="M14" s="60">
        <v>0</v>
      </c>
      <c r="N14" s="60">
        <v>0</v>
      </c>
      <c r="O14" s="60"/>
      <c r="P14" s="60"/>
      <c r="Q14" s="60"/>
      <c r="R14" s="120">
        <f>+Tabla136[[#This Row],[SALDO PROPUESTA (50%)]]-SUM(Tabla136[[#This Row],[Año 1]:[Pago 2029]])</f>
        <v>0</v>
      </c>
      <c r="T14" s="75"/>
      <c r="V14" s="79">
        <f>+Tabla136[[#This Row],[CAPITAL]]/$V$4</f>
        <v>0.40775757989666672</v>
      </c>
      <c r="W14" s="75">
        <f t="shared" ref="W14:W32" si="3">+V14*$W$6</f>
        <v>3446467033.5127239</v>
      </c>
      <c r="AA14" s="79">
        <f>+Tabla136[[#This Row],[CAPITAL]]/SUM($F$10:$F$32)</f>
        <v>0.24084323814411066</v>
      </c>
      <c r="AB14" s="73">
        <f t="shared" si="2"/>
        <v>3446467033.5127249</v>
      </c>
      <c r="AC14" s="79"/>
      <c r="AD14" s="73"/>
    </row>
    <row r="15" spans="1:33" ht="15" customHeight="1">
      <c r="A15" s="732" t="s">
        <v>67</v>
      </c>
      <c r="B15" s="733" t="s">
        <v>9</v>
      </c>
      <c r="C15" s="94">
        <v>900623201</v>
      </c>
      <c r="D15" s="95">
        <f>+Tabla136[[#This Row],[CAPITAL]]/SUM($F$9,$F$34)</f>
        <v>1.7665304388896934E-4</v>
      </c>
      <c r="E15" s="59">
        <v>34200981</v>
      </c>
      <c r="F15" s="59">
        <v>34200981</v>
      </c>
      <c r="G15" s="121">
        <v>0</v>
      </c>
      <c r="H15" s="60">
        <f>+Tabla136[[#This Row],[CAPITAL]]/2</f>
        <v>17100490.5</v>
      </c>
      <c r="I15" s="60">
        <v>0</v>
      </c>
      <c r="J15" s="60">
        <v>15716340.722167462</v>
      </c>
      <c r="K15" s="60">
        <f>+Tabla136[[#This Row],[SALDO PROPUESTA (50%)]]-Tabla136[[#This Row],[Año 2]]</f>
        <v>1384149.7778325379</v>
      </c>
      <c r="L15" s="60">
        <v>0</v>
      </c>
      <c r="M15" s="60">
        <v>0</v>
      </c>
      <c r="N15" s="60">
        <v>0</v>
      </c>
      <c r="O15" s="60"/>
      <c r="P15" s="60"/>
      <c r="Q15" s="60"/>
      <c r="R15" s="120">
        <f>+Tabla136[[#This Row],[SALDO PROPUESTA (50%)]]-SUM(Tabla136[[#This Row],[Año 1]:[Pago 2029]])</f>
        <v>0</v>
      </c>
      <c r="T15" s="75"/>
      <c r="V15" s="79">
        <f>+Tabla136[[#This Row],[CAPITAL]]/$V$4</f>
        <v>1.8594279287710977E-3</v>
      </c>
      <c r="W15" s="75">
        <f t="shared" si="3"/>
        <v>15716340.722167457</v>
      </c>
      <c r="AA15" s="79">
        <f>+Tabla136[[#This Row],[CAPITAL]]/SUM($F$10:$F$32)</f>
        <v>1.0982766858051208E-3</v>
      </c>
      <c r="AB15" s="73">
        <f t="shared" si="2"/>
        <v>15716340.722167462</v>
      </c>
      <c r="AC15" s="79"/>
      <c r="AD15" s="73"/>
    </row>
    <row r="16" spans="1:33" ht="15" customHeight="1">
      <c r="A16" s="732" t="s">
        <v>67</v>
      </c>
      <c r="B16" s="733" t="s">
        <v>11</v>
      </c>
      <c r="C16" s="94">
        <v>860005050</v>
      </c>
      <c r="D16" s="95">
        <f>+Tabla136[[#This Row],[CAPITAL]]/SUM($F$9,$F$34)</f>
        <v>2.7146393342656736E-5</v>
      </c>
      <c r="E16" s="59">
        <v>5255688</v>
      </c>
      <c r="F16" s="59">
        <v>5255688</v>
      </c>
      <c r="G16" s="121">
        <v>0</v>
      </c>
      <c r="H16" s="60">
        <f>+Tabla136[[#This Row],[CAPITAL]]/2</f>
        <v>2627844</v>
      </c>
      <c r="I16" s="60">
        <v>0</v>
      </c>
      <c r="J16" s="60">
        <v>2415140.7626993759</v>
      </c>
      <c r="K16" s="60">
        <f>+Tabla136[[#This Row],[SALDO PROPUESTA (50%)]]-Tabla136[[#This Row],[Año 2]]</f>
        <v>212703.23730062414</v>
      </c>
      <c r="L16" s="60">
        <v>0</v>
      </c>
      <c r="M16" s="60">
        <v>0</v>
      </c>
      <c r="N16" s="60">
        <v>0</v>
      </c>
      <c r="O16" s="60"/>
      <c r="P16" s="60"/>
      <c r="Q16" s="60"/>
      <c r="R16" s="120">
        <f>+Tabla136[[#This Row],[SALDO PROPUESTA (50%)]]-SUM(Tabla136[[#This Row],[Año 1]:[Pago 2029]])</f>
        <v>0</v>
      </c>
      <c r="T16" s="75"/>
      <c r="V16" s="79">
        <f>+Tabla136[[#This Row],[CAPITAL]]/$V$4</f>
        <v>2.8573955384809322E-4</v>
      </c>
      <c r="W16" s="75">
        <f t="shared" si="3"/>
        <v>2415140.7626993749</v>
      </c>
      <c r="AA16" s="79">
        <f>+Tabla136[[#This Row],[CAPITAL]]/SUM($F$10:$F$32)</f>
        <v>1.6877292491305275E-4</v>
      </c>
      <c r="AB16" s="73">
        <f t="shared" si="2"/>
        <v>2415140.7626993759</v>
      </c>
      <c r="AC16" s="79"/>
      <c r="AD16" s="73"/>
    </row>
    <row r="17" spans="1:31" ht="15" customHeight="1">
      <c r="A17" s="732" t="s">
        <v>67</v>
      </c>
      <c r="B17" s="733" t="s">
        <v>12</v>
      </c>
      <c r="C17" s="94">
        <v>890901298</v>
      </c>
      <c r="D17" s="95">
        <f>+Tabla136[[#This Row],[CAPITAL]]/SUM($F$9,$F$34)</f>
        <v>3.7555179104852249E-5</v>
      </c>
      <c r="E17" s="59">
        <v>7270885</v>
      </c>
      <c r="F17" s="59">
        <v>7270885</v>
      </c>
      <c r="G17" s="121">
        <v>0</v>
      </c>
      <c r="H17" s="60">
        <f>+Tabla136[[#This Row],[CAPITAL]]/2</f>
        <v>3635442.5</v>
      </c>
      <c r="I17" s="60">
        <v>0</v>
      </c>
      <c r="J17" s="60">
        <v>3341182.114387203</v>
      </c>
      <c r="K17" s="60">
        <f>+Tabla136[[#This Row],[SALDO PROPUESTA (50%)]]-Tabla136[[#This Row],[Año 2]]</f>
        <v>294260.38561279699</v>
      </c>
      <c r="L17" s="60">
        <v>0</v>
      </c>
      <c r="M17" s="60">
        <v>0</v>
      </c>
      <c r="N17" s="60">
        <v>0</v>
      </c>
      <c r="O17" s="60"/>
      <c r="P17" s="60"/>
      <c r="Q17" s="60"/>
      <c r="R17" s="120">
        <f>+Tabla136[[#This Row],[SALDO PROPUESTA (50%)]]-SUM(Tabla136[[#This Row],[Año 1]:[Pago 2029]])</f>
        <v>0</v>
      </c>
      <c r="T17" s="75"/>
      <c r="V17" s="79">
        <f>+Tabla136[[#This Row],[CAPITAL]]/$V$4</f>
        <v>3.9530113583241495E-4</v>
      </c>
      <c r="W17" s="75">
        <f t="shared" si="3"/>
        <v>3341182.1143872021</v>
      </c>
      <c r="AA17" s="79">
        <f>+Tabla136[[#This Row],[CAPITAL]]/SUM($F$10:$F$32)</f>
        <v>2.3348580207889843E-4</v>
      </c>
      <c r="AB17" s="73">
        <f t="shared" si="2"/>
        <v>3341182.114387203</v>
      </c>
      <c r="AC17" s="79"/>
      <c r="AD17" s="73"/>
    </row>
    <row r="18" spans="1:31" ht="15" customHeight="1">
      <c r="A18" s="732" t="s">
        <v>67</v>
      </c>
      <c r="B18" s="733" t="s">
        <v>14</v>
      </c>
      <c r="C18" s="94">
        <v>860006333</v>
      </c>
      <c r="D18" s="95">
        <f>+Tabla136[[#This Row],[CAPITAL]]/SUM($F$9,$F$34)</f>
        <v>2.8161727794995977E-3</v>
      </c>
      <c r="E18" s="59">
        <v>545226222</v>
      </c>
      <c r="F18" s="59">
        <v>545226222</v>
      </c>
      <c r="G18" s="121">
        <v>0</v>
      </c>
      <c r="H18" s="60">
        <f>+Tabla136[[#This Row],[CAPITAL]]/2</f>
        <v>272613111</v>
      </c>
      <c r="I18" s="60">
        <v>0</v>
      </c>
      <c r="J18" s="60">
        <v>250547230.66604772</v>
      </c>
      <c r="K18" s="60">
        <f>+Tabla136[[#This Row],[SALDO PROPUESTA (50%)]]-Tabla136[[#This Row],[Año 2]]</f>
        <v>22065880.333952278</v>
      </c>
      <c r="L18" s="60">
        <v>0</v>
      </c>
      <c r="M18" s="60">
        <v>0</v>
      </c>
      <c r="N18" s="60">
        <v>0</v>
      </c>
      <c r="O18" s="60"/>
      <c r="P18" s="60"/>
      <c r="Q18" s="60"/>
      <c r="R18" s="120">
        <f>+Tabla136[[#This Row],[SALDO PROPUESTA (50%)]]-SUM(Tabla136[[#This Row],[Año 1]:[Pago 2029]])</f>
        <v>0</v>
      </c>
      <c r="T18" s="75"/>
      <c r="V18" s="79">
        <f>+Tabla136[[#This Row],[CAPITAL]]/$V$4</f>
        <v>2.9642683778139309E-2</v>
      </c>
      <c r="W18" s="75">
        <f t="shared" si="3"/>
        <v>250547230.66604769</v>
      </c>
      <c r="AA18" s="79">
        <f>+Tabla136[[#This Row],[CAPITAL]]/SUM($F$10:$F$32)</f>
        <v>1.7508540123811273E-2</v>
      </c>
      <c r="AB18" s="73">
        <f t="shared" si="2"/>
        <v>250547230.66604772</v>
      </c>
      <c r="AC18" s="79"/>
      <c r="AD18" s="73"/>
    </row>
    <row r="19" spans="1:31" ht="15" customHeight="1">
      <c r="A19" s="732" t="s">
        <v>67</v>
      </c>
      <c r="B19" s="733" t="s">
        <v>15</v>
      </c>
      <c r="C19" s="94">
        <v>94516724</v>
      </c>
      <c r="D19" s="95">
        <f>+Tabla136[[#This Row],[CAPITAL]]/SUM($F$9,$F$34)</f>
        <v>1.8599689027755624E-5</v>
      </c>
      <c r="E19" s="59">
        <v>3601000</v>
      </c>
      <c r="F19" s="59">
        <v>3601000</v>
      </c>
      <c r="G19" s="121">
        <v>0</v>
      </c>
      <c r="H19" s="60">
        <f>+Tabla136[[#This Row],[CAPITAL]]/2</f>
        <v>1800500</v>
      </c>
      <c r="I19" s="60">
        <v>0</v>
      </c>
      <c r="J19" s="60">
        <v>1654763.7315001294</v>
      </c>
      <c r="K19" s="60">
        <f>+Tabla136[[#This Row],[SALDO PROPUESTA (50%)]]-Tabla136[[#This Row],[Año 2]]</f>
        <v>145736.26849987055</v>
      </c>
      <c r="L19" s="60">
        <v>0</v>
      </c>
      <c r="M19" s="60">
        <v>0</v>
      </c>
      <c r="N19" s="60">
        <v>0</v>
      </c>
      <c r="O19" s="60"/>
      <c r="P19" s="60"/>
      <c r="Q19" s="60"/>
      <c r="R19" s="120">
        <f>+Tabla136[[#This Row],[SALDO PROPUESTA (50%)]]-SUM(Tabla136[[#This Row],[Año 1]:[Pago 2029]])</f>
        <v>0</v>
      </c>
      <c r="T19" s="75"/>
      <c r="V19" s="79">
        <f>+Tabla136[[#This Row],[CAPITAL]]/$V$4</f>
        <v>1.9577800916016774E-4</v>
      </c>
      <c r="W19" s="75">
        <f t="shared" si="3"/>
        <v>1654763.731500129</v>
      </c>
      <c r="AA19" s="79">
        <f>+Tabla136[[#This Row],[CAPITAL]]/SUM($F$10:$F$32)</f>
        <v>1.1563686859111557E-4</v>
      </c>
      <c r="AB19" s="73">
        <f t="shared" si="2"/>
        <v>1654763.7315001294</v>
      </c>
      <c r="AC19" s="79"/>
      <c r="AD19" s="73"/>
    </row>
    <row r="20" spans="1:31" s="99" customFormat="1" ht="15" customHeight="1">
      <c r="A20" s="732" t="s">
        <v>67</v>
      </c>
      <c r="B20" s="733" t="s">
        <v>16</v>
      </c>
      <c r="C20" s="94">
        <v>860007738</v>
      </c>
      <c r="D20" s="95">
        <f>+Tabla136[[#This Row],[CAPITAL]]/SUM($F$9,$F$34)</f>
        <v>2.6487070264384183E-2</v>
      </c>
      <c r="E20" s="59">
        <f>+Tabla136[[#This Row],[CAPITAL]]+Tabla136[[#This Row],[INTERESES]]</f>
        <v>6061922719.2902174</v>
      </c>
      <c r="F20" s="59">
        <v>5128039500</v>
      </c>
      <c r="G20" s="121">
        <v>933883219.29021704</v>
      </c>
      <c r="H20" s="60">
        <f>+Tabla136[[#This Row],[CAPITAL]]/2</f>
        <v>2564019750</v>
      </c>
      <c r="I20" s="60">
        <v>0</v>
      </c>
      <c r="J20" s="124">
        <v>2356482582.1438651</v>
      </c>
      <c r="K20" s="60">
        <f>+Tabla136[[#This Row],[SALDO PROPUESTA (50%)]]-Tabla136[[#This Row],[Año 2]]</f>
        <v>207537167.85613489</v>
      </c>
      <c r="L20" s="60">
        <v>0</v>
      </c>
      <c r="M20" s="60">
        <v>0</v>
      </c>
      <c r="N20" s="60">
        <v>0</v>
      </c>
      <c r="O20" s="60"/>
      <c r="P20" s="60"/>
      <c r="Q20" s="60"/>
      <c r="R20" s="120">
        <f>+Tabla136[[#This Row],[SALDO PROPUESTA (50%)]]-SUM(Tabla136[[#This Row],[Año 1]:[Pago 2029]])</f>
        <v>0</v>
      </c>
      <c r="S20" s="96"/>
      <c r="T20" s="100"/>
      <c r="U20" s="96"/>
      <c r="V20" s="97">
        <f>+Tabla136[[#This Row],[CAPITAL]]/$V$4</f>
        <v>0.27879960127872871</v>
      </c>
      <c r="W20" s="100">
        <f t="shared" si="3"/>
        <v>2356482582.1438646</v>
      </c>
      <c r="X20" s="96"/>
      <c r="Y20" s="96"/>
      <c r="Z20" s="96"/>
      <c r="AA20" s="79">
        <f>+Tabla136[[#This Row],[CAPITAL]]/SUM($F$10:$F$32)</f>
        <v>0.16467382110290196</v>
      </c>
      <c r="AB20" s="73">
        <f t="shared" si="2"/>
        <v>2356482582.1438651</v>
      </c>
      <c r="AC20" s="79"/>
      <c r="AD20" s="73"/>
      <c r="AE20" s="96"/>
    </row>
    <row r="21" spans="1:31" ht="15" customHeight="1">
      <c r="A21" s="732" t="s">
        <v>67</v>
      </c>
      <c r="B21" s="733" t="s">
        <v>17</v>
      </c>
      <c r="C21" s="94">
        <v>860020439</v>
      </c>
      <c r="D21" s="95">
        <f>+Tabla136[[#This Row],[CAPITAL]]/SUM($F$9,$F$34)</f>
        <v>5.9115090508931722E-4</v>
      </c>
      <c r="E21" s="59">
        <v>114450000</v>
      </c>
      <c r="F21" s="59">
        <v>114450000</v>
      </c>
      <c r="G21" s="121">
        <v>0</v>
      </c>
      <c r="H21" s="60">
        <f>+Tabla136[[#This Row],[CAPITAL]]/2</f>
        <v>57225000</v>
      </c>
      <c r="I21" s="60">
        <v>0</v>
      </c>
      <c r="J21" s="60">
        <v>52593087.772893593</v>
      </c>
      <c r="K21" s="60">
        <f>+Tabla136[[#This Row],[SALDO PROPUESTA (50%)]]-Tabla136[[#This Row],[Año 2]]</f>
        <v>4631912.2271064073</v>
      </c>
      <c r="L21" s="60">
        <v>0</v>
      </c>
      <c r="M21" s="60">
        <v>0</v>
      </c>
      <c r="N21" s="60">
        <v>0</v>
      </c>
      <c r="O21" s="60"/>
      <c r="P21" s="60"/>
      <c r="Q21" s="60"/>
      <c r="R21" s="120">
        <f>+Tabla136[[#This Row],[SALDO PROPUESTA (50%)]]-SUM(Tabla136[[#This Row],[Año 1]:[Pago 2029]])</f>
        <v>0</v>
      </c>
      <c r="T21" s="75"/>
      <c r="V21" s="79">
        <f>+Tabla136[[#This Row],[CAPITAL]]/$V$4</f>
        <v>6.2223807687812266E-3</v>
      </c>
      <c r="W21" s="75">
        <f t="shared" si="3"/>
        <v>52593087.77289357</v>
      </c>
      <c r="AA21" s="79">
        <f>+Tabla136[[#This Row],[CAPITAL]]/SUM($F$10:$F$32)</f>
        <v>3.6752678728834147E-3</v>
      </c>
      <c r="AB21" s="73">
        <f t="shared" si="2"/>
        <v>52593087.772893593</v>
      </c>
      <c r="AC21" s="79"/>
      <c r="AD21" s="73"/>
    </row>
    <row r="22" spans="1:31" ht="15" customHeight="1">
      <c r="A22" s="732" t="s">
        <v>67</v>
      </c>
      <c r="B22" s="735" t="s">
        <v>18</v>
      </c>
      <c r="C22" s="94">
        <v>890900842</v>
      </c>
      <c r="D22" s="95">
        <f>+Tabla136[[#This Row],[CAPITAL]]/SUM($F$9,$F$34)</f>
        <v>6.3918675845175184E-6</v>
      </c>
      <c r="E22" s="59">
        <v>1237500</v>
      </c>
      <c r="F22" s="59">
        <v>1237500</v>
      </c>
      <c r="G22" s="121">
        <v>0</v>
      </c>
      <c r="H22" s="60">
        <f>+Tabla136[[#This Row],[CAPITAL]]/2</f>
        <v>618750</v>
      </c>
      <c r="I22" s="60">
        <v>0</v>
      </c>
      <c r="J22" s="60">
        <v>568667.06962827279</v>
      </c>
      <c r="K22" s="60">
        <f>+Tabla136[[#This Row],[SALDO PROPUESTA (50%)]]-Tabla136[[#This Row],[Año 2]]</f>
        <v>50082.930371727212</v>
      </c>
      <c r="L22" s="60">
        <v>0</v>
      </c>
      <c r="M22" s="60">
        <v>0</v>
      </c>
      <c r="N22" s="60">
        <v>0</v>
      </c>
      <c r="O22" s="60"/>
      <c r="P22" s="60"/>
      <c r="Q22" s="60"/>
      <c r="R22" s="120">
        <f>+Tabla136[[#This Row],[SALDO PROPUESTA (50%)]]-SUM(Tabla136[[#This Row],[Año 1]:[Pago 2029]])</f>
        <v>0</v>
      </c>
      <c r="T22" s="75"/>
      <c r="V22" s="79">
        <f>+Tabla136[[#This Row],[CAPITAL]]/$V$4</f>
        <v>6.7280001759430037E-5</v>
      </c>
      <c r="W22" s="75">
        <f t="shared" si="3"/>
        <v>568667.06962827255</v>
      </c>
      <c r="AA22" s="79">
        <f>+Tabla136[[#This Row],[CAPITAL]]/SUM($F$10:$F$32)</f>
        <v>3.9739134929604416E-5</v>
      </c>
      <c r="AB22" s="73">
        <f t="shared" si="2"/>
        <v>568667.06962827279</v>
      </c>
      <c r="AC22" s="79"/>
      <c r="AD22" s="73"/>
    </row>
    <row r="23" spans="1:31" ht="15" customHeight="1">
      <c r="A23" s="732" t="s">
        <v>67</v>
      </c>
      <c r="B23" s="733" t="s">
        <v>19</v>
      </c>
      <c r="C23" s="94">
        <v>3486703</v>
      </c>
      <c r="D23" s="95">
        <f>+Tabla136[[#This Row],[CAPITAL]]/SUM($F$9,$F$34)</f>
        <v>1.757699021423282E-5</v>
      </c>
      <c r="E23" s="59">
        <v>3403000</v>
      </c>
      <c r="F23" s="59">
        <v>3403000</v>
      </c>
      <c r="G23" s="121">
        <v>0</v>
      </c>
      <c r="H23" s="60">
        <f>+Tabla136[[#This Row],[CAPITAL]]/2</f>
        <v>1701500</v>
      </c>
      <c r="I23" s="60">
        <v>0</v>
      </c>
      <c r="J23" s="60">
        <v>1563777.0003596058</v>
      </c>
      <c r="K23" s="60">
        <f>+Tabla136[[#This Row],[SALDO PROPUESTA (50%)]]-Tabla136[[#This Row],[Año 2]]</f>
        <v>137722.99964039424</v>
      </c>
      <c r="L23" s="60">
        <v>0</v>
      </c>
      <c r="M23" s="60">
        <v>0</v>
      </c>
      <c r="N23" s="60">
        <v>0</v>
      </c>
      <c r="O23" s="60"/>
      <c r="P23" s="60"/>
      <c r="Q23" s="60"/>
      <c r="R23" s="120">
        <f>+Tabla136[[#This Row],[SALDO PROPUESTA (50%)]]-SUM(Tabla136[[#This Row],[Año 1]:[Pago 2029]])</f>
        <v>0</v>
      </c>
      <c r="T23" s="75"/>
      <c r="V23" s="79">
        <f>+Tabla136[[#This Row],[CAPITAL]]/$V$4</f>
        <v>1.8501320887865893E-4</v>
      </c>
      <c r="W23" s="75">
        <f t="shared" si="3"/>
        <v>1563777.0003596053</v>
      </c>
      <c r="AA23" s="79">
        <f>+Tabla136[[#This Row],[CAPITAL]]/SUM($F$10:$F$32)</f>
        <v>1.0927860700237885E-4</v>
      </c>
      <c r="AB23" s="73">
        <f t="shared" si="2"/>
        <v>1563777.0003596058</v>
      </c>
      <c r="AC23" s="79"/>
      <c r="AD23" s="73"/>
    </row>
    <row r="24" spans="1:31" ht="15" customHeight="1">
      <c r="A24" s="732" t="s">
        <v>67</v>
      </c>
      <c r="B24" s="733" t="s">
        <v>20</v>
      </c>
      <c r="C24" s="94">
        <v>901098157</v>
      </c>
      <c r="D24" s="95">
        <f>+Tabla136[[#This Row],[CAPITAL]]/SUM($F$9,$F$34)</f>
        <v>2.0467193877849012E-5</v>
      </c>
      <c r="E24" s="59">
        <v>3962559</v>
      </c>
      <c r="F24" s="59">
        <v>3962559</v>
      </c>
      <c r="G24" s="121">
        <v>0</v>
      </c>
      <c r="H24" s="60">
        <f>+Tabla136[[#This Row],[CAPITAL]]/2</f>
        <v>1981279.5</v>
      </c>
      <c r="I24" s="60">
        <v>0</v>
      </c>
      <c r="J24" s="60">
        <v>1820910.5573811224</v>
      </c>
      <c r="K24" s="60">
        <f>+Tabla136[[#This Row],[SALDO PROPUESTA (50%)]]-Tabla136[[#This Row],[Año 2]]</f>
        <v>160368.94261887763</v>
      </c>
      <c r="L24" s="60">
        <v>0</v>
      </c>
      <c r="M24" s="60">
        <v>0</v>
      </c>
      <c r="N24" s="60">
        <v>0</v>
      </c>
      <c r="O24" s="60"/>
      <c r="P24" s="60"/>
      <c r="Q24" s="60"/>
      <c r="R24" s="120">
        <f>+Tabla136[[#This Row],[SALDO PROPUESTA (50%)]]-SUM(Tabla136[[#This Row],[Año 1]:[Pago 2029]])</f>
        <v>0</v>
      </c>
      <c r="T24" s="75"/>
      <c r="V24" s="79">
        <f>+Tabla136[[#This Row],[CAPITAL]]/$V$4</f>
        <v>2.1543513251866291E-4</v>
      </c>
      <c r="W24" s="75">
        <f t="shared" si="3"/>
        <v>1820910.5573811219</v>
      </c>
      <c r="AA24" s="79">
        <f>+Tabla136[[#This Row],[CAPITAL]]/SUM($F$10:$F$32)</f>
        <v>1.2724740748890371E-4</v>
      </c>
      <c r="AB24" s="73">
        <f t="shared" si="2"/>
        <v>1820910.5573811224</v>
      </c>
      <c r="AC24" s="79"/>
      <c r="AD24" s="73"/>
    </row>
    <row r="25" spans="1:31" ht="15" customHeight="1">
      <c r="A25" s="732" t="s">
        <v>67</v>
      </c>
      <c r="B25" s="733" t="s">
        <v>21</v>
      </c>
      <c r="C25" s="94">
        <v>890900097</v>
      </c>
      <c r="D25" s="95">
        <f>+Tabla136[[#This Row],[CAPITAL]]/SUM($F$9,$F$34)</f>
        <v>4.4734380151707689E-5</v>
      </c>
      <c r="E25" s="59">
        <v>8660817</v>
      </c>
      <c r="F25" s="59">
        <v>8660817</v>
      </c>
      <c r="G25" s="121">
        <v>0</v>
      </c>
      <c r="H25" s="60">
        <f>+Tabla136[[#This Row],[CAPITAL]]/2</f>
        <v>4330408.5</v>
      </c>
      <c r="I25" s="60">
        <v>0</v>
      </c>
      <c r="J25" s="60">
        <v>3979896.1001832145</v>
      </c>
      <c r="K25" s="60">
        <f>+Tabla136[[#This Row],[SALDO PROPUESTA (50%)]]-Tabla136[[#This Row],[Año 2]]</f>
        <v>350512.39981678547</v>
      </c>
      <c r="L25" s="60">
        <v>0</v>
      </c>
      <c r="M25" s="60">
        <v>0</v>
      </c>
      <c r="N25" s="60">
        <v>0</v>
      </c>
      <c r="O25" s="60"/>
      <c r="P25" s="60"/>
      <c r="Q25" s="60"/>
      <c r="R25" s="120">
        <f>+Tabla136[[#This Row],[SALDO PROPUESTA (50%)]]-SUM(Tabla136[[#This Row],[Año 1]:[Pago 2029]])</f>
        <v>0</v>
      </c>
      <c r="T25" s="75"/>
      <c r="V25" s="79">
        <f>+Tabla136[[#This Row],[CAPITAL]]/$V$4</f>
        <v>4.7086851151361748E-4</v>
      </c>
      <c r="W25" s="75">
        <f t="shared" si="3"/>
        <v>3979896.1001832136</v>
      </c>
      <c r="AA25" s="79">
        <f>+Tabla136[[#This Row],[CAPITAL]]/SUM($F$10:$F$32)</f>
        <v>2.7811989928372665E-4</v>
      </c>
      <c r="AB25" s="73">
        <f t="shared" si="2"/>
        <v>3979896.1001832145</v>
      </c>
      <c r="AC25" s="79"/>
      <c r="AD25" s="73"/>
    </row>
    <row r="26" spans="1:31" ht="15" customHeight="1">
      <c r="A26" s="732" t="s">
        <v>67</v>
      </c>
      <c r="B26" s="733" t="s">
        <v>22</v>
      </c>
      <c r="C26" s="94">
        <v>900491628</v>
      </c>
      <c r="D26" s="95">
        <f>+Tabla136[[#This Row],[CAPITAL]]/SUM($F$9,$F$34)</f>
        <v>1.5989565380115564E-5</v>
      </c>
      <c r="E26" s="59">
        <v>3095666</v>
      </c>
      <c r="F26" s="59">
        <v>3095666</v>
      </c>
      <c r="G26" s="121">
        <v>0</v>
      </c>
      <c r="H26" s="60">
        <f>+Tabla136[[#This Row],[CAPITAL]]/2</f>
        <v>1547833</v>
      </c>
      <c r="I26" s="60">
        <v>0</v>
      </c>
      <c r="J26" s="60">
        <v>1422548.1315295973</v>
      </c>
      <c r="K26" s="60">
        <f>+Tabla136[[#This Row],[SALDO PROPUESTA (50%)]]-Tabla136[[#This Row],[Año 2]]</f>
        <v>125284.86847040267</v>
      </c>
      <c r="L26" s="60">
        <v>0</v>
      </c>
      <c r="M26" s="60">
        <v>0</v>
      </c>
      <c r="N26" s="60">
        <v>0</v>
      </c>
      <c r="O26" s="60"/>
      <c r="P26" s="60"/>
      <c r="Q26" s="60"/>
      <c r="R26" s="120">
        <f>+Tabla136[[#This Row],[SALDO PROPUESTA (50%)]]-SUM(Tabla136[[#This Row],[Año 1]:[Pago 2029]])</f>
        <v>0</v>
      </c>
      <c r="T26" s="75"/>
      <c r="V26" s="79">
        <f>+Tabla136[[#This Row],[CAPITAL]]/$V$4</f>
        <v>1.6830417286998607E-4</v>
      </c>
      <c r="W26" s="75">
        <f t="shared" si="3"/>
        <v>1422548.1315295969</v>
      </c>
      <c r="AA26" s="79">
        <f>+Tabla136[[#This Row],[CAPITAL]]/SUM($F$10:$F$32)</f>
        <v>9.9409364744233362E-5</v>
      </c>
      <c r="AB26" s="73">
        <f t="shared" si="2"/>
        <v>1422548.1315295973</v>
      </c>
      <c r="AC26" s="79"/>
      <c r="AD26" s="73"/>
    </row>
    <row r="27" spans="1:31" ht="15" customHeight="1">
      <c r="A27" s="732" t="s">
        <v>67</v>
      </c>
      <c r="B27" s="733" t="s">
        <v>23</v>
      </c>
      <c r="C27" s="94">
        <v>901395814</v>
      </c>
      <c r="D27" s="95">
        <f>+Tabla136[[#This Row],[CAPITAL]]/SUM($F$9,$F$34)</f>
        <v>1.4419092553604273E-5</v>
      </c>
      <c r="E27" s="59">
        <v>2791614</v>
      </c>
      <c r="F27" s="59">
        <v>2791614</v>
      </c>
      <c r="G27" s="121">
        <v>0</v>
      </c>
      <c r="H27" s="60">
        <f>+Tabla136[[#This Row],[CAPITAL]]/2</f>
        <v>1395807</v>
      </c>
      <c r="I27" s="60">
        <v>0</v>
      </c>
      <c r="J27" s="60">
        <v>1282827.4366975848</v>
      </c>
      <c r="K27" s="60">
        <f>+Tabla136[[#This Row],[SALDO PROPUESTA (50%)]]-Tabla136[[#This Row],[Año 2]]</f>
        <v>112979.56330241519</v>
      </c>
      <c r="L27" s="60">
        <v>0</v>
      </c>
      <c r="M27" s="60">
        <v>0</v>
      </c>
      <c r="N27" s="60">
        <v>0</v>
      </c>
      <c r="O27" s="60"/>
      <c r="P27" s="60"/>
      <c r="Q27" s="60"/>
      <c r="R27" s="120">
        <f>+Tabla136[[#This Row],[SALDO PROPUESTA (50%)]]-SUM(Tabla136[[#This Row],[Año 1]:[Pago 2029]])</f>
        <v>0</v>
      </c>
      <c r="T27" s="75"/>
      <c r="V27" s="79">
        <f>+Tabla136[[#This Row],[CAPITAL]]/$V$4</f>
        <v>1.5177357158113094E-4</v>
      </c>
      <c r="W27" s="75">
        <f t="shared" si="3"/>
        <v>1282827.4366975843</v>
      </c>
      <c r="AA27" s="79">
        <f>+Tabla136[[#This Row],[CAPITAL]]/SUM($F$10:$F$32)</f>
        <v>8.9645515488786029E-5</v>
      </c>
      <c r="AB27" s="73">
        <f t="shared" si="2"/>
        <v>1282827.4366975848</v>
      </c>
      <c r="AC27" s="79"/>
      <c r="AD27" s="73"/>
    </row>
    <row r="28" spans="1:31" ht="15" customHeight="1">
      <c r="A28" s="732" t="s">
        <v>67</v>
      </c>
      <c r="B28" s="733" t="s">
        <v>24</v>
      </c>
      <c r="C28" s="94">
        <v>811046781</v>
      </c>
      <c r="D28" s="95">
        <f>+Tabla136[[#This Row],[CAPITAL]]/SUM($F$9,$F$34)</f>
        <v>5.4527057025647511E-5</v>
      </c>
      <c r="E28" s="59">
        <v>10556732</v>
      </c>
      <c r="F28" s="59">
        <v>10556732</v>
      </c>
      <c r="G28" s="121">
        <v>0</v>
      </c>
      <c r="H28" s="60">
        <f>+Tabla136[[#This Row],[CAPITAL]]/2</f>
        <v>5278366</v>
      </c>
      <c r="I28" s="60">
        <v>0</v>
      </c>
      <c r="J28" s="60">
        <v>4851123.9202351635</v>
      </c>
      <c r="K28" s="60">
        <f>+Tabla136[[#This Row],[SALDO PROPUESTA (50%)]]-Tabla136[[#This Row],[Año 2]]</f>
        <v>427242.07976483647</v>
      </c>
      <c r="L28" s="60">
        <v>0</v>
      </c>
      <c r="M28" s="60">
        <v>0</v>
      </c>
      <c r="N28" s="60">
        <v>0</v>
      </c>
      <c r="O28" s="60"/>
      <c r="P28" s="60"/>
      <c r="Q28" s="60"/>
      <c r="R28" s="120">
        <f>+Tabla136[[#This Row],[SALDO PROPUESTA (50%)]]-SUM(Tabla136[[#This Row],[Año 1]:[Pago 2029]])</f>
        <v>0</v>
      </c>
      <c r="T28" s="75"/>
      <c r="V28" s="79">
        <f>+Tabla136[[#This Row],[CAPITAL]]/$V$4</f>
        <v>5.7394500810814661E-4</v>
      </c>
      <c r="W28" s="75">
        <f t="shared" si="3"/>
        <v>4851123.9202351626</v>
      </c>
      <c r="AA28" s="79">
        <f>+Tabla136[[#This Row],[CAPITAL]]/SUM($F$10:$F$32)</f>
        <v>3.3900234130397795E-4</v>
      </c>
      <c r="AB28" s="73">
        <f t="shared" si="2"/>
        <v>4851123.9202351635</v>
      </c>
      <c r="AC28" s="79"/>
      <c r="AD28" s="73"/>
    </row>
    <row r="29" spans="1:31" ht="15" customHeight="1">
      <c r="A29" s="732" t="s">
        <v>67</v>
      </c>
      <c r="B29" s="733" t="s">
        <v>5</v>
      </c>
      <c r="C29" s="94">
        <v>860034313</v>
      </c>
      <c r="D29" s="95">
        <f>+Tabla136[[#This Row],[CAPITAL]]/SUM($F$9,$F$34)</f>
        <v>4.1067055034966788E-3</v>
      </c>
      <c r="E29" s="59">
        <v>795080310</v>
      </c>
      <c r="F29" s="59">
        <v>795080310</v>
      </c>
      <c r="G29" s="121">
        <v>0</v>
      </c>
      <c r="H29" s="60">
        <f>+Tabla136[[#This Row],[CAPITAL]]/2</f>
        <v>397540155</v>
      </c>
      <c r="I29" s="60">
        <v>0</v>
      </c>
      <c r="J29" s="124">
        <v>365362416.16714239</v>
      </c>
      <c r="K29" s="60">
        <f>+Tabla136[[#This Row],[SALDO PROPUESTA (50%)]]-Tabla136[[#This Row],[Año 2]]</f>
        <v>32177738.832857609</v>
      </c>
      <c r="L29" s="60">
        <v>0</v>
      </c>
      <c r="M29" s="60">
        <v>0</v>
      </c>
      <c r="N29" s="60">
        <v>0</v>
      </c>
      <c r="O29" s="60"/>
      <c r="P29" s="60"/>
      <c r="Q29" s="60"/>
      <c r="R29" s="120">
        <f>+Tabla136[[#This Row],[SALDO PROPUESTA (50%)]]-SUM(Tabla136[[#This Row],[Año 1]:[Pago 2029]])</f>
        <v>0</v>
      </c>
      <c r="T29" s="75"/>
      <c r="V29" s="79">
        <f>+Tabla136[[#This Row],[CAPITAL]]/$V$4</f>
        <v>4.3226670428838938E-2</v>
      </c>
      <c r="W29" s="75">
        <f t="shared" si="3"/>
        <v>365362416.16714227</v>
      </c>
      <c r="AA29" s="79">
        <f>+Tabla136[[#This Row],[CAPITAL]]/SUM($F$10:$F$32)</f>
        <v>2.553196260118118E-2</v>
      </c>
      <c r="AB29" s="73">
        <f t="shared" si="2"/>
        <v>365362416.16714239</v>
      </c>
      <c r="AC29" s="79"/>
      <c r="AD29" s="73"/>
    </row>
    <row r="30" spans="1:31" ht="15" customHeight="1">
      <c r="A30" s="732" t="s">
        <v>67</v>
      </c>
      <c r="B30" s="733" t="s">
        <v>25</v>
      </c>
      <c r="C30" s="94">
        <v>811029497</v>
      </c>
      <c r="D30" s="95">
        <f>+Tabla136[[#This Row],[CAPITAL]]/SUM($F$9,$F$34)</f>
        <v>4.6938234113103053E-5</v>
      </c>
      <c r="E30" s="59">
        <v>9087495</v>
      </c>
      <c r="F30" s="59">
        <v>9087495</v>
      </c>
      <c r="G30" s="121">
        <v>0</v>
      </c>
      <c r="H30" s="60">
        <f>+Tabla136[[#This Row],[CAPITAL]]/2</f>
        <v>4543747.5</v>
      </c>
      <c r="I30" s="60">
        <v>0</v>
      </c>
      <c r="J30" s="60">
        <v>4175966.9914437016</v>
      </c>
      <c r="K30" s="60">
        <f>+Tabla136[[#This Row],[SALDO PROPUESTA (50%)]]-Tabla136[[#This Row],[Año 2]]</f>
        <v>367780.50855629845</v>
      </c>
      <c r="L30" s="60">
        <v>0</v>
      </c>
      <c r="M30" s="60">
        <v>0</v>
      </c>
      <c r="N30" s="60">
        <v>0</v>
      </c>
      <c r="O30" s="60"/>
      <c r="P30" s="60"/>
      <c r="Q30" s="60"/>
      <c r="R30" s="120">
        <f>+Tabla136[[#This Row],[SALDO PROPUESTA (50%)]]-SUM(Tabla136[[#This Row],[Año 1]:[Pago 2029]])</f>
        <v>0</v>
      </c>
      <c r="T30" s="75"/>
      <c r="V30" s="79">
        <f>+Tabla136[[#This Row],[CAPITAL]]/$V$4</f>
        <v>4.9406600370813063E-4</v>
      </c>
      <c r="W30" s="75">
        <f t="shared" si="3"/>
        <v>4175966.9914436997</v>
      </c>
      <c r="AA30" s="79">
        <f>+Tabla136[[#This Row],[CAPITAL]]/SUM($F$10:$F$32)</f>
        <v>2.9182156765826707E-4</v>
      </c>
      <c r="AB30" s="73">
        <f t="shared" si="2"/>
        <v>4175966.9914437016</v>
      </c>
      <c r="AC30" s="79"/>
      <c r="AD30" s="73"/>
    </row>
    <row r="31" spans="1:31" ht="15" customHeight="1">
      <c r="A31" s="732" t="s">
        <v>67</v>
      </c>
      <c r="B31" s="733" t="s">
        <v>26</v>
      </c>
      <c r="C31" s="94">
        <v>900083408</v>
      </c>
      <c r="D31" s="95">
        <f>+Tabla136[[#This Row],[CAPITAL]]/SUM($F$9,$F$34)</f>
        <v>3.1315140972978687E-5</v>
      </c>
      <c r="E31" s="59">
        <v>6062780</v>
      </c>
      <c r="F31" s="59">
        <v>6062780</v>
      </c>
      <c r="G31" s="121">
        <v>0</v>
      </c>
      <c r="H31" s="60">
        <f>+Tabla136[[#This Row],[CAPITAL]]/2</f>
        <v>3031390</v>
      </c>
      <c r="I31" s="60">
        <v>0</v>
      </c>
      <c r="J31" s="60">
        <v>2786022.8981017368</v>
      </c>
      <c r="K31" s="60">
        <f>+Tabla136[[#This Row],[SALDO PROPUESTA (50%)]]-Tabla136[[#This Row],[Año 2]]</f>
        <v>245367.10189826321</v>
      </c>
      <c r="L31" s="60">
        <v>0</v>
      </c>
      <c r="M31" s="60">
        <v>0</v>
      </c>
      <c r="N31" s="60">
        <v>0</v>
      </c>
      <c r="O31" s="60"/>
      <c r="P31" s="60"/>
      <c r="Q31" s="60"/>
      <c r="R31" s="120">
        <f>+Tabla136[[#This Row],[SALDO PROPUESTA (50%)]]-SUM(Tabla136[[#This Row],[Año 1]:[Pago 2029]])</f>
        <v>0</v>
      </c>
      <c r="T31" s="75"/>
      <c r="V31" s="79">
        <f>+Tabla136[[#This Row],[CAPITAL]]/$V$4</f>
        <v>3.2961927197336344E-4</v>
      </c>
      <c r="W31" s="75">
        <f t="shared" si="3"/>
        <v>2786022.8981017359</v>
      </c>
      <c r="AA31" s="79">
        <f>+Tabla136[[#This Row],[CAPITAL]]/SUM($F$10:$F$32)</f>
        <v>1.9469061209576328E-4</v>
      </c>
      <c r="AB31" s="73">
        <f t="shared" si="2"/>
        <v>2786022.8981017368</v>
      </c>
      <c r="AC31" s="79"/>
      <c r="AD31" s="73"/>
    </row>
    <row r="32" spans="1:31" ht="15" customHeight="1">
      <c r="A32" s="732" t="s">
        <v>67</v>
      </c>
      <c r="B32" s="733" t="s">
        <v>27</v>
      </c>
      <c r="C32" s="94">
        <v>999999996</v>
      </c>
      <c r="D32" s="95">
        <f>+Tabla136[[#This Row],[CAPITAL]]/SUM($F$9,$F$34)</f>
        <v>3.6739612872997941E-3</v>
      </c>
      <c r="E32" s="59">
        <v>805294885</v>
      </c>
      <c r="F32" s="59">
        <v>711298698.37200069</v>
      </c>
      <c r="G32" s="121">
        <v>93996186.649075404</v>
      </c>
      <c r="H32" s="60">
        <f>+Tabla136[[#This Row],[CAPITAL]]/2</f>
        <v>355649349.18600035</v>
      </c>
      <c r="I32" s="60">
        <v>0</v>
      </c>
      <c r="J32" s="124">
        <v>326862340.55241239</v>
      </c>
      <c r="K32" s="60">
        <f>+Tabla136[[#This Row],[SALDO PROPUESTA (50%)]]-Tabla136[[#This Row],[Año 2]]</f>
        <v>28787008.633587956</v>
      </c>
      <c r="L32" s="60">
        <v>0</v>
      </c>
      <c r="M32" s="60">
        <v>0</v>
      </c>
      <c r="N32" s="60">
        <v>0</v>
      </c>
      <c r="O32" s="60"/>
      <c r="P32" s="60"/>
      <c r="Q32" s="60"/>
      <c r="R32" s="120">
        <f>+Tabla136[[#This Row],[SALDO PROPUESTA (50%)]]-SUM(Tabla136[[#This Row],[Año 1]:[Pago 2029]])</f>
        <v>0</v>
      </c>
      <c r="T32" s="75"/>
      <c r="V32" s="79">
        <f>+Tabla136[[#This Row],[CAPITAL]]/$V$4</f>
        <v>3.8671658729655355E-2</v>
      </c>
      <c r="W32" s="75">
        <f t="shared" si="3"/>
        <v>326862340.55241221</v>
      </c>
      <c r="AA32" s="79">
        <f>+Tabla136[[#This Row],[CAPITAL]]/SUM($F$10:$F$32)</f>
        <v>2.2841531272611661E-2</v>
      </c>
      <c r="AB32" s="73">
        <f t="shared" si="2"/>
        <v>326862340.55241239</v>
      </c>
      <c r="AC32" s="79"/>
      <c r="AD32" s="73"/>
    </row>
    <row r="33" spans="1:31" ht="15" customHeight="1">
      <c r="A33" s="732" t="s">
        <v>67</v>
      </c>
      <c r="B33" s="733" t="s">
        <v>82</v>
      </c>
      <c r="C33" s="94">
        <v>860007538</v>
      </c>
      <c r="D33" s="95">
        <f>+Tabla136[[#This Row],[CAPITAL]]/SUM($F$9,$F$34)</f>
        <v>0.36716334979855597</v>
      </c>
      <c r="E33" s="59">
        <f>92410243356+2072000</f>
        <v>92412315356</v>
      </c>
      <c r="F33" s="59">
        <v>71084802582</v>
      </c>
      <c r="G33" s="121">
        <v>21325440774</v>
      </c>
      <c r="H33" s="60">
        <v>0</v>
      </c>
      <c r="I33" s="60">
        <v>0</v>
      </c>
      <c r="J33" s="60">
        <v>0</v>
      </c>
      <c r="K33" s="60">
        <f>+Tabla136[[#This Row],[SALDO PROPUESTA (50%)]]-Tabla136[[#This Row],[Año 2]]</f>
        <v>0</v>
      </c>
      <c r="L33" s="60">
        <v>0</v>
      </c>
      <c r="M33" s="60">
        <v>0</v>
      </c>
      <c r="N33" s="60">
        <v>0</v>
      </c>
      <c r="O33" s="60"/>
      <c r="P33" s="60"/>
      <c r="Q33" s="60"/>
      <c r="R33" s="120">
        <f>+Tabla136[[#This Row],[SALDO PROPUESTA (50%)]]-SUM(Tabla136[[#This Row],[Año 1]:[Pago 2029]])</f>
        <v>0</v>
      </c>
      <c r="T33" s="75"/>
      <c r="V33" s="79"/>
      <c r="W33" s="75"/>
      <c r="AA33" s="79"/>
      <c r="AB33" s="79"/>
      <c r="AC33" s="79"/>
      <c r="AD33" s="73"/>
    </row>
    <row r="34" spans="1:31" s="99" customFormat="1" ht="15" customHeight="1">
      <c r="A34" s="136" t="s">
        <v>224</v>
      </c>
      <c r="B34" s="137"/>
      <c r="C34" s="138"/>
      <c r="D34" s="132">
        <f>+SUM(D10:D33)</f>
        <v>0.52800901480460971</v>
      </c>
      <c r="E34" s="144">
        <f>+SUM(E10:E33)</f>
        <v>126791767693.177</v>
      </c>
      <c r="F34" s="144">
        <f>+SUM(F10:F33)</f>
        <v>102225389869.37201</v>
      </c>
      <c r="G34" s="144">
        <f>+SUM(G10:G33)</f>
        <v>24564305824.094612</v>
      </c>
      <c r="H34" s="144">
        <f>+SUM(H10:H33)</f>
        <v>15570293643.686001</v>
      </c>
      <c r="I34" s="133"/>
      <c r="J34" s="133"/>
      <c r="K34" s="134"/>
      <c r="L34" s="134"/>
      <c r="M34" s="134"/>
      <c r="N34" s="134"/>
      <c r="O34" s="134"/>
      <c r="P34" s="134"/>
      <c r="Q34" s="134"/>
      <c r="R34" s="135">
        <v>0</v>
      </c>
      <c r="S34" s="142"/>
      <c r="T34" s="100"/>
      <c r="U34" s="96"/>
      <c r="V34" s="97"/>
      <c r="W34" s="96"/>
      <c r="X34" s="143">
        <f>+Tabla136[[#This Row],[CAPITAL]]/$X$4</f>
        <v>3.4436919550750882</v>
      </c>
      <c r="Y34" s="142">
        <f>+$Y$6*X34</f>
        <v>11299808024.559536</v>
      </c>
      <c r="Z34" s="142">
        <f>+$Z$6*X34</f>
        <v>13863276810.193588</v>
      </c>
      <c r="AA34" s="142">
        <f>+SUM(R35:R39)+SUM(K10:K32)</f>
        <v>1260292416.0389066</v>
      </c>
      <c r="AB34" s="145">
        <f>+AC34-SUM(K10:K33)</f>
        <v>4107275735.8412957</v>
      </c>
      <c r="AC34" s="142">
        <v>5367568151.8802023</v>
      </c>
      <c r="AD34" s="100"/>
      <c r="AE34" s="96"/>
    </row>
    <row r="35" spans="1:31" ht="15" customHeight="1">
      <c r="A35" s="732" t="s">
        <v>69</v>
      </c>
      <c r="B35" s="733" t="s">
        <v>3</v>
      </c>
      <c r="C35" s="102">
        <v>383978375</v>
      </c>
      <c r="D35" s="58"/>
      <c r="E35" s="59">
        <v>3999624941</v>
      </c>
      <c r="F35" s="59">
        <v>3543454416.8879995</v>
      </c>
      <c r="G35" s="121">
        <v>456170524.33770001</v>
      </c>
      <c r="H35" s="60">
        <f>+Tabla136[[#This Row],[CAPITAL]]/2</f>
        <v>1771727208.4439998</v>
      </c>
      <c r="I35" s="60">
        <v>0</v>
      </c>
      <c r="J35" s="60">
        <v>0</v>
      </c>
      <c r="K35" s="124">
        <v>490282317.61494428</v>
      </c>
      <c r="L35" s="60">
        <v>640722445.41452777</v>
      </c>
      <c r="M35" s="60">
        <v>640722445.41452777</v>
      </c>
      <c r="N35" s="60">
        <v>0</v>
      </c>
      <c r="O35" s="60"/>
      <c r="P35" s="60"/>
      <c r="Q35" s="60"/>
      <c r="R35" s="120">
        <f>+Tabla136[[#This Row],[SALDO PROPUESTA (50%)]]-SUM(Tabla136[[#This Row],[Año 1]:[Pago 2029]])</f>
        <v>0</v>
      </c>
      <c r="S35" s="73"/>
      <c r="T35" s="75"/>
      <c r="V35" s="79"/>
      <c r="X35" s="71">
        <f>+Tabla136[[#This Row],[CAPITAL]]/$X$4</f>
        <v>0.11936922406659885</v>
      </c>
      <c r="Y35" s="73">
        <f t="shared" ref="Y35:Y38" si="4">+$Y$6*X35</f>
        <v>391686984.08269447</v>
      </c>
      <c r="Z35" s="73">
        <f t="shared" ref="Z35:Z38" si="5">+$Z$6*X35</f>
        <v>480544897.00057942</v>
      </c>
      <c r="AA35" s="79">
        <f>+Tabla136[[#This Row],[CAPITAL]]/$F$40</f>
        <v>0.11936922406659885</v>
      </c>
      <c r="AB35" s="73">
        <f>+$AB$34*AA35</f>
        <v>490282317.61494428</v>
      </c>
      <c r="AC35" s="73">
        <f>+$AC$34*AA35</f>
        <v>640722445.41452777</v>
      </c>
      <c r="AD35" s="75"/>
    </row>
    <row r="36" spans="1:31" ht="15" customHeight="1">
      <c r="A36" s="732" t="s">
        <v>69</v>
      </c>
      <c r="B36" s="733" t="s">
        <v>4</v>
      </c>
      <c r="C36" s="102">
        <v>900409088</v>
      </c>
      <c r="D36" s="58"/>
      <c r="E36" s="59">
        <v>9944765699</v>
      </c>
      <c r="F36" s="59">
        <v>7654221662.3154001</v>
      </c>
      <c r="G36" s="121">
        <f>+SUM([4]Hoja1!$I$28:$I$29)</f>
        <v>2290544036.6696997</v>
      </c>
      <c r="H36" s="60">
        <f>+Tabla136[[#This Row],[CAPITAL]]/2</f>
        <v>3827110831.1577001</v>
      </c>
      <c r="I36" s="60">
        <v>0</v>
      </c>
      <c r="J36" s="60">
        <v>0</v>
      </c>
      <c r="K36" s="124">
        <v>1059059633.5183847</v>
      </c>
      <c r="L36" s="60">
        <v>1384025598.819658</v>
      </c>
      <c r="M36" s="60">
        <v>1384025598.819658</v>
      </c>
      <c r="N36" s="60">
        <v>0</v>
      </c>
      <c r="O36" s="60"/>
      <c r="P36" s="60"/>
      <c r="Q36" s="60"/>
      <c r="R36" s="120">
        <f>+Tabla136[[#This Row],[SALDO PROPUESTA (50%)]]-SUM(Tabla136[[#This Row],[Año 1]:[Pago 2029]])</f>
        <v>0</v>
      </c>
      <c r="S36" s="73"/>
      <c r="T36" s="75"/>
      <c r="V36" s="79"/>
      <c r="X36" s="71">
        <f>+Tabla136[[#This Row],[CAPITAL]]/$X$4</f>
        <v>0.25784965549712646</v>
      </c>
      <c r="Y36" s="73">
        <f t="shared" si="4"/>
        <v>846083692.82925904</v>
      </c>
      <c r="Z36" s="73">
        <f t="shared" si="5"/>
        <v>1038025815.3757471</v>
      </c>
      <c r="AA36" s="79">
        <f>+Tabla136[[#This Row],[CAPITAL]]/$F$40</f>
        <v>0.25784965549712646</v>
      </c>
      <c r="AB36" s="73">
        <f t="shared" ref="AB36:AB39" si="6">+$AB$34*AA36</f>
        <v>1059059633.5183847</v>
      </c>
      <c r="AC36" s="73">
        <f t="shared" ref="AC36:AC39" si="7">+$AC$34*AA36</f>
        <v>1384025598.819658</v>
      </c>
      <c r="AD36" s="75"/>
    </row>
    <row r="37" spans="1:31" ht="15" customHeight="1">
      <c r="A37" s="732" t="s">
        <v>69</v>
      </c>
      <c r="B37" s="733" t="s">
        <v>6</v>
      </c>
      <c r="C37" s="102">
        <v>999999999</v>
      </c>
      <c r="D37" s="58"/>
      <c r="E37" s="59">
        <v>15641914900</v>
      </c>
      <c r="F37" s="59">
        <v>10115361000</v>
      </c>
      <c r="G37" s="121">
        <v>5526553900</v>
      </c>
      <c r="H37" s="60">
        <f>+Tabla136[[#This Row],[CAPITAL]]/2</f>
        <v>5057680500</v>
      </c>
      <c r="I37" s="60">
        <v>0</v>
      </c>
      <c r="J37" s="60">
        <v>0</v>
      </c>
      <c r="K37" s="124">
        <v>1399589793.2129588</v>
      </c>
      <c r="L37" s="60">
        <v>1829045353.3935206</v>
      </c>
      <c r="M37" s="60">
        <v>1829045353.3935206</v>
      </c>
      <c r="N37" s="60">
        <v>0</v>
      </c>
      <c r="O37" s="60"/>
      <c r="P37" s="60"/>
      <c r="Q37" s="60"/>
      <c r="R37" s="120">
        <f>+Tabla136[[#This Row],[SALDO PROPUESTA (50%)]]-SUM(Tabla136[[#This Row],[Año 1]:[Pago 2029]])</f>
        <v>0</v>
      </c>
      <c r="S37" s="73"/>
      <c r="T37" s="75"/>
      <c r="V37" s="79"/>
      <c r="X37" s="71">
        <f>+Tabla136[[#This Row],[CAPITAL]]/$X$4</f>
        <v>0.34075866419186973</v>
      </c>
      <c r="Y37" s="73">
        <f t="shared" si="4"/>
        <v>1118133543.3905032</v>
      </c>
      <c r="Z37" s="73">
        <f t="shared" si="5"/>
        <v>1371792758.6994889</v>
      </c>
      <c r="AA37" s="79">
        <f>+Tabla136[[#This Row],[CAPITAL]]/$F$40</f>
        <v>0.34075866419186973</v>
      </c>
      <c r="AB37" s="73">
        <f t="shared" si="6"/>
        <v>1399589793.2129588</v>
      </c>
      <c r="AC37" s="73">
        <f t="shared" si="7"/>
        <v>1829045353.3935206</v>
      </c>
      <c r="AD37" s="75"/>
    </row>
    <row r="38" spans="1:31" ht="15" customHeight="1">
      <c r="A38" s="732" t="s">
        <v>69</v>
      </c>
      <c r="B38" s="733" t="s">
        <v>10</v>
      </c>
      <c r="C38" s="102">
        <v>890981395</v>
      </c>
      <c r="D38" s="58"/>
      <c r="E38" s="59">
        <v>5837498071</v>
      </c>
      <c r="F38" s="59">
        <v>5000000000</v>
      </c>
      <c r="G38" s="121">
        <v>837498070.66666698</v>
      </c>
      <c r="H38" s="60">
        <f>+Tabla136[[#This Row],[CAPITAL]]/2</f>
        <v>2500000000</v>
      </c>
      <c r="I38" s="60">
        <v>0</v>
      </c>
      <c r="J38" s="60">
        <v>0</v>
      </c>
      <c r="K38" s="124">
        <v>691814060.42402184</v>
      </c>
      <c r="L38" s="60">
        <v>904092969.78798914</v>
      </c>
      <c r="M38" s="60">
        <v>904092969.78798914</v>
      </c>
      <c r="N38" s="60">
        <v>0</v>
      </c>
      <c r="O38" s="60"/>
      <c r="P38" s="60"/>
      <c r="Q38" s="60"/>
      <c r="R38" s="120">
        <f>+Tabla136[[#This Row],[SALDO PROPUESTA (50%)]]-SUM(Tabla136[[#This Row],[Año 1]:[Pago 2029]])</f>
        <v>0</v>
      </c>
      <c r="S38" s="73"/>
      <c r="T38" s="75"/>
      <c r="V38" s="79"/>
      <c r="X38" s="71">
        <f>+Tabla136[[#This Row],[CAPITAL]]/$X$4</f>
        <v>0.16843623484711506</v>
      </c>
      <c r="Y38" s="73">
        <f t="shared" si="4"/>
        <v>552690874.49795568</v>
      </c>
      <c r="Z38" s="73">
        <f t="shared" si="5"/>
        <v>678074049.30950511</v>
      </c>
      <c r="AA38" s="79">
        <f>+Tabla136[[#This Row],[CAPITAL]]/$F$40</f>
        <v>0.16843623484711506</v>
      </c>
      <c r="AB38" s="73">
        <f t="shared" si="6"/>
        <v>691814060.42402184</v>
      </c>
      <c r="AC38" s="73">
        <f t="shared" si="7"/>
        <v>904092969.78798914</v>
      </c>
      <c r="AD38" s="75"/>
    </row>
    <row r="39" spans="1:31" ht="15" customHeight="1">
      <c r="A39" s="732" t="s">
        <v>69</v>
      </c>
      <c r="B39" s="734" t="s">
        <v>110</v>
      </c>
      <c r="C39" s="102">
        <v>30683059907</v>
      </c>
      <c r="D39" s="61"/>
      <c r="E39" s="62">
        <v>3986201520</v>
      </c>
      <c r="F39" s="62">
        <v>3371787000</v>
      </c>
      <c r="G39" s="122">
        <v>614414520</v>
      </c>
      <c r="H39" s="60">
        <f>+Tabla136[[#This Row],[CAPITAL]]/2</f>
        <v>1685893500</v>
      </c>
      <c r="I39" s="59">
        <v>0</v>
      </c>
      <c r="J39" s="59">
        <v>0</v>
      </c>
      <c r="K39" s="124">
        <v>466529931.07098627</v>
      </c>
      <c r="L39" s="60">
        <v>609681784.46450686</v>
      </c>
      <c r="M39" s="60">
        <v>609681784.46450686</v>
      </c>
      <c r="N39" s="60">
        <v>0</v>
      </c>
      <c r="O39" s="60"/>
      <c r="P39" s="60"/>
      <c r="Q39" s="60"/>
      <c r="R39" s="120">
        <f>+Tabla136[[#This Row],[SALDO PROPUESTA (50%)]]-SUM(Tabla136[[#This Row],[Año 1]:[Pago 2029]])</f>
        <v>0</v>
      </c>
      <c r="V39" s="79"/>
      <c r="AA39" s="79">
        <f>+Tabla136[[#This Row],[CAPITAL]]/$F$40</f>
        <v>0.11358622139728991</v>
      </c>
      <c r="AB39" s="73">
        <f t="shared" si="6"/>
        <v>466529931.07098627</v>
      </c>
      <c r="AC39" s="73">
        <f t="shared" si="7"/>
        <v>609681784.46450686</v>
      </c>
    </row>
    <row r="40" spans="1:31" ht="15" customHeight="1">
      <c r="A40" s="136" t="s">
        <v>225</v>
      </c>
      <c r="B40" s="137"/>
      <c r="C40" s="138"/>
      <c r="D40" s="132">
        <f>+SUM(D35:D39)</f>
        <v>0</v>
      </c>
      <c r="E40" s="144">
        <f t="shared" ref="E40:H40" si="8">+SUM(E35:E39)</f>
        <v>39410005131</v>
      </c>
      <c r="F40" s="144">
        <f t="shared" si="8"/>
        <v>29684824079.2034</v>
      </c>
      <c r="G40" s="144">
        <f t="shared" si="8"/>
        <v>9725181051.6740665</v>
      </c>
      <c r="H40" s="144">
        <f t="shared" si="8"/>
        <v>14842412039.6017</v>
      </c>
      <c r="I40" s="133"/>
      <c r="J40" s="133"/>
      <c r="K40" s="134"/>
      <c r="L40" s="134"/>
      <c r="M40" s="134"/>
      <c r="N40" s="134"/>
      <c r="O40" s="134"/>
      <c r="P40" s="134"/>
      <c r="Q40" s="134"/>
      <c r="R40" s="135">
        <v>0</v>
      </c>
      <c r="V40" s="79"/>
    </row>
    <row r="41" spans="1:31" ht="15" customHeight="1">
      <c r="A41" s="28" t="s">
        <v>1</v>
      </c>
      <c r="B41" s="29"/>
      <c r="C41" s="30"/>
      <c r="D41" s="30"/>
      <c r="E41" s="31">
        <f>+E40+E9+E34</f>
        <v>268110493793.177</v>
      </c>
      <c r="F41" s="31">
        <f>+F40+F9+F34</f>
        <v>223290211493.28122</v>
      </c>
      <c r="G41" s="31">
        <f>+G40+G9+G34</f>
        <v>44818210299.768677</v>
      </c>
      <c r="H41" s="31">
        <f>+H40+H9+H34</f>
        <v>76102704455.64061</v>
      </c>
      <c r="I41" s="31">
        <f>SUBTOTAL(109,Tabla136[Año 1])</f>
        <v>29999999999.999996</v>
      </c>
      <c r="J41" s="31">
        <f>SUBTOTAL(109,Tabla136[Año 2])</f>
        <v>29999999999.999996</v>
      </c>
      <c r="K41" s="32">
        <f>SUBTOTAL(109,Tabla136[Año 3])</f>
        <v>5367568151.8802032</v>
      </c>
      <c r="L41" s="32">
        <f>SUBTOTAL(109,Tabla136[Año 4])</f>
        <v>5367568151.8802023</v>
      </c>
      <c r="M41" s="32">
        <f>SUBTOTAL(109,Tabla136[Año 5])</f>
        <v>5367568151.8802023</v>
      </c>
      <c r="N41" s="32">
        <f>SUBTOTAL(109,Tabla136[Pago 2029])</f>
        <v>0</v>
      </c>
      <c r="O41" s="32"/>
      <c r="P41" s="32"/>
      <c r="Q41" s="32"/>
      <c r="R41"/>
    </row>
    <row r="42" spans="1:31" ht="15" customHeight="1">
      <c r="B42"/>
      <c r="C42"/>
      <c r="D42"/>
      <c r="E42"/>
      <c r="F42"/>
    </row>
    <row r="43" spans="1:31" ht="15" customHeight="1">
      <c r="A43" s="82"/>
      <c r="B43"/>
      <c r="C43"/>
      <c r="D43"/>
      <c r="E43"/>
      <c r="F43"/>
      <c r="G43" s="87"/>
      <c r="H43" s="63"/>
      <c r="I43" s="63"/>
      <c r="J43" s="63"/>
      <c r="K43" s="63"/>
      <c r="L43" s="63"/>
      <c r="M43" s="63"/>
      <c r="N43" s="63"/>
      <c r="O43" s="63"/>
      <c r="P43" s="63"/>
      <c r="Q43" s="63"/>
      <c r="R43" s="88"/>
    </row>
    <row r="44" spans="1:31" ht="15" customHeight="1">
      <c r="A44" s="82"/>
      <c r="B44"/>
      <c r="C44"/>
      <c r="D44"/>
      <c r="E44"/>
      <c r="F44"/>
      <c r="G44" s="87"/>
      <c r="H44" s="63"/>
      <c r="I44" s="63"/>
      <c r="J44" s="63">
        <f>+SUM(J32,J29,J7:J14,J20)</f>
        <v>29651280514.124744</v>
      </c>
      <c r="K44" s="63">
        <f>+SUM(K35:K39,K32,K29,K20,K10:K14)</f>
        <v>5336856168.2554569</v>
      </c>
      <c r="L44" s="63"/>
      <c r="M44" s="63"/>
      <c r="N44" s="63"/>
      <c r="O44" s="63"/>
      <c r="P44" s="63"/>
      <c r="Q44" s="63"/>
      <c r="R44" s="88"/>
    </row>
    <row r="45" spans="1:31" ht="15" customHeight="1">
      <c r="A45" s="82"/>
      <c r="B45"/>
      <c r="C45"/>
      <c r="D45"/>
      <c r="E45"/>
      <c r="F45"/>
      <c r="G45" s="87"/>
      <c r="H45" s="63"/>
      <c r="I45" s="63"/>
      <c r="J45" s="63"/>
      <c r="K45" s="63">
        <f>+SUM(K30:K31,K21:K28,K15:K19)</f>
        <v>30711983.624744512</v>
      </c>
      <c r="L45" s="63"/>
      <c r="M45" s="63"/>
      <c r="N45" s="63"/>
      <c r="O45" s="63"/>
      <c r="P45" s="63"/>
      <c r="Q45" s="63"/>
      <c r="R45" s="88"/>
    </row>
    <row r="46" spans="1:31" ht="15" customHeight="1">
      <c r="A46" s="82"/>
      <c r="B46"/>
      <c r="C46"/>
      <c r="D46"/>
      <c r="E46"/>
      <c r="F46"/>
      <c r="G46" s="86"/>
      <c r="H46" s="63"/>
      <c r="I46" s="63"/>
      <c r="J46" s="63"/>
      <c r="K46" s="63"/>
      <c r="L46" s="63"/>
      <c r="M46" s="63"/>
      <c r="N46" s="63"/>
      <c r="O46" s="63"/>
      <c r="P46" s="63"/>
      <c r="Q46" s="63"/>
      <c r="R46" s="88"/>
    </row>
    <row r="47" spans="1:31" ht="15" customHeight="1">
      <c r="A47" s="82"/>
      <c r="B47"/>
      <c r="C47"/>
      <c r="D47"/>
      <c r="E47"/>
      <c r="F47"/>
      <c r="G47" s="87"/>
      <c r="H47" s="63"/>
      <c r="I47" s="63"/>
      <c r="J47" s="63"/>
      <c r="K47" s="63"/>
      <c r="L47" s="63"/>
      <c r="M47" s="63"/>
      <c r="N47" s="63"/>
      <c r="O47" s="63"/>
      <c r="P47" s="63"/>
      <c r="Q47" s="63"/>
      <c r="R47" s="88"/>
    </row>
    <row r="48" spans="1:31" ht="15" customHeight="1">
      <c r="A48" s="82"/>
      <c r="B48" s="83"/>
      <c r="C48" s="84"/>
      <c r="D48" s="85"/>
      <c r="E48" s="86"/>
      <c r="F48" s="86"/>
      <c r="G48" s="87"/>
      <c r="H48" s="63"/>
      <c r="I48" s="63"/>
      <c r="J48" s="63"/>
      <c r="K48" s="63"/>
      <c r="L48" s="63"/>
      <c r="M48" s="63"/>
      <c r="N48" s="63"/>
      <c r="O48" s="63"/>
      <c r="P48" s="63"/>
      <c r="Q48" s="63"/>
      <c r="R48" s="88"/>
    </row>
    <row r="49" spans="1:21" ht="15" customHeight="1">
      <c r="A49" s="82"/>
      <c r="B49" s="83"/>
      <c r="C49" s="84"/>
      <c r="D49" s="85"/>
      <c r="E49" s="86"/>
      <c r="F49" s="86"/>
      <c r="G49" s="87"/>
      <c r="H49" s="63"/>
      <c r="I49" s="63"/>
      <c r="J49" s="63"/>
      <c r="K49" s="63"/>
      <c r="L49" s="63"/>
      <c r="M49" s="63"/>
      <c r="N49" s="63"/>
      <c r="O49" s="63"/>
      <c r="P49" s="63"/>
      <c r="Q49" s="63"/>
      <c r="R49" s="88"/>
      <c r="U49" s="93"/>
    </row>
    <row r="50" spans="1:21" ht="15" customHeight="1">
      <c r="E50" s="89"/>
      <c r="F50" s="90"/>
      <c r="G50" s="91"/>
      <c r="H50" s="67"/>
      <c r="I50" s="65"/>
      <c r="J50" s="89"/>
      <c r="K50" s="68"/>
      <c r="L50" s="68"/>
      <c r="M50" s="69"/>
      <c r="N50" s="33"/>
      <c r="O50" s="33"/>
      <c r="P50" s="33"/>
      <c r="Q50" s="33"/>
      <c r="R50" s="92"/>
    </row>
    <row r="51" spans="1:21" ht="15" customHeight="1">
      <c r="E51" s="64"/>
      <c r="F51" s="65"/>
      <c r="G51" s="66"/>
      <c r="H51" s="67"/>
      <c r="I51" s="65"/>
      <c r="J51" s="64"/>
      <c r="K51" s="68"/>
      <c r="L51" s="68"/>
      <c r="M51" s="69"/>
      <c r="N51" s="33"/>
      <c r="O51" s="33"/>
      <c r="P51" s="33"/>
      <c r="Q51" s="33"/>
      <c r="R51" s="27"/>
      <c r="U51" s="73"/>
    </row>
    <row r="52" spans="1:21" ht="15" customHeight="1">
      <c r="E52" s="64"/>
      <c r="F52" s="65"/>
      <c r="G52" s="70"/>
      <c r="H52" s="67"/>
      <c r="I52" s="65"/>
      <c r="J52" s="64"/>
      <c r="K52" s="68"/>
      <c r="L52" s="68"/>
      <c r="M52" s="69"/>
      <c r="N52" s="33"/>
      <c r="O52" s="33"/>
      <c r="P52" s="33"/>
      <c r="Q52" s="33"/>
      <c r="R52" s="27"/>
      <c r="S52" s="73"/>
      <c r="T52" s="73"/>
    </row>
    <row r="53" spans="1:21" ht="15" customHeight="1">
      <c r="E53" s="64"/>
      <c r="F53" s="65"/>
      <c r="G53" s="66"/>
      <c r="H53" s="67"/>
      <c r="I53"/>
      <c r="J53" s="64"/>
      <c r="K53" s="68"/>
      <c r="L53" s="68"/>
      <c r="M53" s="69"/>
      <c r="N53" s="33"/>
      <c r="O53" s="33"/>
      <c r="P53" s="33"/>
      <c r="Q53" s="33"/>
      <c r="R53" s="27"/>
    </row>
    <row r="54" spans="1:21" ht="15" customHeight="1">
      <c r="E54" s="64"/>
      <c r="F54" s="65"/>
      <c r="G54" s="70"/>
      <c r="H54" s="67"/>
      <c r="I54"/>
      <c r="J54" s="64"/>
      <c r="K54" s="65"/>
      <c r="L54" s="65"/>
      <c r="M54" s="69"/>
      <c r="N54" s="33"/>
      <c r="O54" s="33"/>
      <c r="P54" s="33"/>
      <c r="Q54" s="33"/>
      <c r="S54" s="73"/>
      <c r="T54" s="73"/>
    </row>
    <row r="55" spans="1:21" ht="15" customHeight="1">
      <c r="E55" s="64"/>
      <c r="F55" s="65"/>
      <c r="G55" s="70"/>
      <c r="H55" s="67"/>
      <c r="I55"/>
      <c r="J55" s="66"/>
      <c r="K55" s="65"/>
      <c r="L55" s="65"/>
      <c r="M55" s="69"/>
      <c r="N55" s="33"/>
      <c r="O55" s="33"/>
      <c r="P55" s="33"/>
      <c r="Q55" s="33"/>
    </row>
    <row r="56" spans="1:21" ht="15" customHeight="1">
      <c r="E56" s="64"/>
      <c r="F56" s="65"/>
      <c r="G56" s="66"/>
      <c r="H56" s="67"/>
      <c r="I56"/>
      <c r="J56" s="66"/>
      <c r="K56" s="65"/>
      <c r="L56" s="65"/>
      <c r="M56" s="69"/>
      <c r="N56" s="33"/>
      <c r="O56" s="33"/>
      <c r="P56" s="33"/>
      <c r="Q56" s="33"/>
    </row>
    <row r="57" spans="1:21" ht="15" customHeight="1">
      <c r="E57" s="64"/>
      <c r="F57" s="65"/>
      <c r="G57" s="70"/>
      <c r="H57" s="67"/>
      <c r="I57"/>
      <c r="J57" s="66"/>
      <c r="K57" s="65"/>
      <c r="L57" s="65"/>
      <c r="M57" s="69"/>
      <c r="N57" s="33"/>
      <c r="O57" s="33"/>
      <c r="P57" s="33"/>
      <c r="Q57" s="33"/>
    </row>
    <row r="58" spans="1:21" ht="15" customHeight="1">
      <c r="E58" s="64"/>
      <c r="F58" s="65"/>
      <c r="G58" s="70"/>
      <c r="H58" s="67"/>
      <c r="I58"/>
      <c r="J58" s="66"/>
      <c r="K58" s="65"/>
      <c r="L58" s="65"/>
      <c r="M58" s="69"/>
      <c r="N58" s="33"/>
      <c r="O58" s="33"/>
      <c r="P58" s="33"/>
      <c r="Q58" s="33"/>
    </row>
    <row r="59" spans="1:21" ht="15" customHeight="1">
      <c r="E59" s="64"/>
      <c r="F59" s="65"/>
      <c r="G59" s="70"/>
      <c r="H59" s="67"/>
      <c r="I59"/>
      <c r="J59" s="66"/>
      <c r="K59" s="65"/>
      <c r="L59" s="65"/>
      <c r="M59" s="69"/>
      <c r="N59" s="33"/>
      <c r="O59" s="33"/>
      <c r="P59" s="33"/>
      <c r="Q59" s="33"/>
    </row>
    <row r="60" spans="1:21" ht="15" customHeight="1">
      <c r="E60" s="64"/>
      <c r="F60" s="65"/>
      <c r="G60" s="70"/>
      <c r="H60" s="67"/>
      <c r="I60"/>
      <c r="J60" s="66"/>
      <c r="K60" s="65"/>
      <c r="L60" s="65"/>
      <c r="M60" s="69"/>
      <c r="N60" s="33"/>
      <c r="O60" s="33"/>
      <c r="P60" s="33"/>
      <c r="Q60" s="33"/>
    </row>
    <row r="61" spans="1:21" ht="15" customHeight="1">
      <c r="E61" s="64"/>
      <c r="F61" s="65"/>
      <c r="G61" s="70"/>
      <c r="H61" s="67"/>
      <c r="I61"/>
      <c r="J61" s="66"/>
      <c r="K61" s="65"/>
      <c r="L61" s="65"/>
      <c r="M61" s="69"/>
      <c r="N61" s="33"/>
      <c r="O61" s="33"/>
      <c r="P61" s="33"/>
      <c r="Q61" s="33"/>
    </row>
    <row r="62" spans="1:21" ht="15" customHeight="1">
      <c r="E62" s="64"/>
      <c r="F62" s="65"/>
      <c r="G62" s="70"/>
      <c r="H62" s="67"/>
      <c r="I62"/>
      <c r="J62" s="66"/>
      <c r="K62" s="65"/>
      <c r="L62" s="65"/>
      <c r="M62" s="69"/>
      <c r="N62" s="33"/>
      <c r="O62" s="33"/>
      <c r="P62" s="33"/>
      <c r="Q62" s="33"/>
    </row>
    <row r="63" spans="1:21" ht="15" customHeight="1">
      <c r="E63" s="64"/>
      <c r="F63" s="65"/>
      <c r="G63" s="70"/>
      <c r="H63" s="67"/>
      <c r="I63" s="65"/>
      <c r="J63" s="66"/>
      <c r="K63" s="65"/>
      <c r="L63" s="65"/>
      <c r="M63" s="69"/>
      <c r="N63" s="33"/>
      <c r="O63" s="33"/>
      <c r="P63" s="33"/>
      <c r="Q63" s="33"/>
    </row>
    <row r="64" spans="1:21" ht="15" customHeight="1">
      <c r="E64" s="64"/>
      <c r="F64" s="65"/>
      <c r="G64" s="70"/>
      <c r="H64" s="67"/>
      <c r="I64" s="65"/>
      <c r="J64" s="66"/>
      <c r="K64" s="65"/>
      <c r="L64" s="65"/>
      <c r="M64" s="69"/>
      <c r="N64" s="33"/>
      <c r="O64" s="33"/>
      <c r="P64" s="33"/>
      <c r="Q64" s="33"/>
    </row>
    <row r="65" spans="5:17" ht="15" customHeight="1">
      <c r="E65" s="64"/>
      <c r="F65" s="65"/>
      <c r="G65" s="70"/>
      <c r="H65" s="67"/>
      <c r="I65" s="65"/>
      <c r="J65" s="66"/>
      <c r="K65" s="65"/>
      <c r="L65" s="65"/>
      <c r="M65" s="69"/>
      <c r="N65" s="33"/>
      <c r="O65" s="33"/>
      <c r="P65" s="33"/>
      <c r="Q65" s="33"/>
    </row>
    <row r="66" spans="5:17" ht="15" customHeight="1">
      <c r="E66" s="64"/>
      <c r="F66" s="65"/>
      <c r="G66" s="70"/>
      <c r="H66" s="67"/>
      <c r="I66" s="65"/>
      <c r="J66" s="66"/>
      <c r="K66" s="65"/>
      <c r="L66" s="65"/>
      <c r="M66" s="69"/>
      <c r="N66" s="33"/>
      <c r="O66" s="33"/>
      <c r="P66" s="33"/>
      <c r="Q66" s="33"/>
    </row>
    <row r="67" spans="5:17" ht="15" customHeight="1">
      <c r="E67" s="64"/>
      <c r="F67" s="65"/>
      <c r="G67" s="70"/>
      <c r="H67" s="67"/>
      <c r="I67" s="65"/>
      <c r="J67" s="66"/>
      <c r="K67" s="65"/>
      <c r="L67" s="65"/>
      <c r="M67" s="69"/>
      <c r="N67" s="33"/>
      <c r="O67" s="33"/>
      <c r="P67" s="33"/>
      <c r="Q67" s="33"/>
    </row>
    <row r="68" spans="5:17" ht="15" customHeight="1">
      <c r="E68" s="64"/>
      <c r="F68" s="65"/>
      <c r="G68" s="70"/>
      <c r="H68" s="67"/>
      <c r="I68" s="65"/>
      <c r="J68" s="66"/>
      <c r="K68" s="65"/>
      <c r="L68" s="65"/>
      <c r="M68" s="69"/>
      <c r="N68" s="33"/>
      <c r="O68" s="33"/>
      <c r="P68" s="33"/>
      <c r="Q68" s="33"/>
    </row>
    <row r="69" spans="5:17" ht="15" customHeight="1">
      <c r="E69" s="64"/>
      <c r="F69" s="65"/>
      <c r="G69" s="70"/>
      <c r="H69" s="67"/>
      <c r="I69" s="65"/>
      <c r="J69" s="66"/>
      <c r="K69" s="65"/>
      <c r="L69" s="65"/>
      <c r="M69" s="69"/>
      <c r="N69" s="33"/>
      <c r="O69" s="33"/>
      <c r="P69" s="33"/>
      <c r="Q69" s="33"/>
    </row>
    <row r="70" spans="5:17" ht="15" customHeight="1">
      <c r="E70" s="64"/>
      <c r="F70" s="65"/>
      <c r="G70" s="70"/>
      <c r="H70" s="67"/>
      <c r="I70" s="65"/>
      <c r="J70" s="66"/>
      <c r="K70" s="65"/>
      <c r="L70" s="65"/>
      <c r="M70" s="69"/>
      <c r="N70" s="33"/>
      <c r="O70" s="33"/>
      <c r="P70" s="33"/>
      <c r="Q70" s="33"/>
    </row>
    <row r="71" spans="5:17" ht="15" customHeight="1">
      <c r="E71" s="64"/>
      <c r="F71" s="65"/>
      <c r="G71" s="70"/>
      <c r="H71" s="67"/>
      <c r="I71" s="65"/>
      <c r="J71" s="66"/>
      <c r="K71" s="65"/>
      <c r="L71" s="65"/>
      <c r="M71" s="69"/>
      <c r="N71" s="33"/>
      <c r="O71" s="33"/>
      <c r="P71" s="33"/>
      <c r="Q71" s="33"/>
    </row>
    <row r="72" spans="5:17" ht="15" customHeight="1">
      <c r="H72" s="50"/>
      <c r="I72" s="49"/>
      <c r="J72" s="11"/>
      <c r="L72" s="27"/>
      <c r="M72" s="33"/>
      <c r="N72" s="33"/>
      <c r="O72" s="33"/>
      <c r="P72" s="33"/>
      <c r="Q72" s="33"/>
    </row>
    <row r="73" spans="5:17" ht="15" customHeight="1">
      <c r="I73" s="49"/>
    </row>
    <row r="74" spans="5:17" ht="15" customHeight="1">
      <c r="I74" s="49"/>
    </row>
    <row r="75" spans="5:17" ht="15" customHeight="1">
      <c r="I75" s="49"/>
    </row>
    <row r="76" spans="5:17" ht="15" customHeight="1">
      <c r="I76" s="49"/>
    </row>
    <row r="77" spans="5:17" ht="15" customHeight="1">
      <c r="I77" s="49"/>
    </row>
    <row r="78" spans="5:17" ht="15" customHeight="1">
      <c r="I78" s="49"/>
    </row>
    <row r="79" spans="5:17" ht="15" customHeight="1">
      <c r="I79" s="49"/>
    </row>
    <row r="80" spans="5:17">
      <c r="I80" s="49"/>
    </row>
    <row r="81" spans="9:9">
      <c r="I81" s="49"/>
    </row>
    <row r="82" spans="9:9">
      <c r="I82" s="49"/>
    </row>
    <row r="83" spans="9:9">
      <c r="I83" s="49"/>
    </row>
    <row r="84" spans="9:9">
      <c r="I84" s="49"/>
    </row>
    <row r="85" spans="9:9">
      <c r="I85" s="49"/>
    </row>
    <row r="86" spans="9:9">
      <c r="I86" s="49"/>
    </row>
    <row r="87" spans="9:9">
      <c r="I87" s="49"/>
    </row>
    <row r="88" spans="9:9">
      <c r="I88" s="49"/>
    </row>
    <row r="89" spans="9:9">
      <c r="I89" s="49"/>
    </row>
    <row r="90" spans="9:9">
      <c r="I90" s="49"/>
    </row>
    <row r="91" spans="9:9">
      <c r="I91" s="49"/>
    </row>
    <row r="92" spans="9:9">
      <c r="I92" s="49"/>
    </row>
    <row r="93" spans="9:9">
      <c r="I93" s="49"/>
    </row>
    <row r="94" spans="9:9">
      <c r="I94" s="49"/>
    </row>
    <row r="95" spans="9:9">
      <c r="I95" s="49"/>
    </row>
    <row r="96" spans="9:9">
      <c r="I96" s="49"/>
    </row>
    <row r="97" spans="9:9">
      <c r="I97" s="49"/>
    </row>
    <row r="98" spans="9:9">
      <c r="I98" s="49"/>
    </row>
    <row r="99" spans="9:9">
      <c r="I99" s="49"/>
    </row>
    <row r="100" spans="9:9">
      <c r="I100" s="49"/>
    </row>
    <row r="101" spans="9:9">
      <c r="I101" s="49"/>
    </row>
    <row r="102" spans="9:9">
      <c r="I102" s="49"/>
    </row>
    <row r="103" spans="9:9">
      <c r="I103" s="49"/>
    </row>
    <row r="104" spans="9:9">
      <c r="I104" s="49"/>
    </row>
    <row r="105" spans="9:9">
      <c r="I105" s="49"/>
    </row>
    <row r="106" spans="9:9">
      <c r="I106" s="49"/>
    </row>
    <row r="107" spans="9:9">
      <c r="I107" s="49"/>
    </row>
    <row r="108" spans="9:9">
      <c r="I108" s="49"/>
    </row>
    <row r="109" spans="9:9" hidden="1">
      <c r="I109" s="49"/>
    </row>
    <row r="110" spans="9:9">
      <c r="I110" s="49"/>
    </row>
    <row r="111" spans="9:9">
      <c r="I111" s="49"/>
    </row>
    <row r="112" spans="9:9">
      <c r="I112" s="49"/>
    </row>
    <row r="113" spans="9:9">
      <c r="I113" s="49"/>
    </row>
    <row r="114" spans="9:9">
      <c r="I114" s="49"/>
    </row>
    <row r="115" spans="9:9">
      <c r="I115" s="49"/>
    </row>
    <row r="116" spans="9:9">
      <c r="I116" s="49"/>
    </row>
    <row r="117" spans="9:9">
      <c r="I117" s="49"/>
    </row>
    <row r="118" spans="9:9">
      <c r="I118" s="49"/>
    </row>
    <row r="119" spans="9:9">
      <c r="I119" s="49"/>
    </row>
    <row r="120" spans="9:9">
      <c r="I120" s="49"/>
    </row>
    <row r="121" spans="9:9">
      <c r="I121" s="49"/>
    </row>
    <row r="122" spans="9:9">
      <c r="I122" s="49"/>
    </row>
    <row r="123" spans="9:9">
      <c r="I123" s="49"/>
    </row>
    <row r="124" spans="9:9">
      <c r="I124" s="49"/>
    </row>
    <row r="125" spans="9:9">
      <c r="I125" s="49"/>
    </row>
    <row r="126" spans="9:9">
      <c r="I126" s="49"/>
    </row>
    <row r="127" spans="9:9">
      <c r="I127" s="49"/>
    </row>
    <row r="128" spans="9:9">
      <c r="I128" s="49"/>
    </row>
    <row r="129" spans="9:9">
      <c r="I129" s="49"/>
    </row>
    <row r="130" spans="9:9">
      <c r="I130" s="49"/>
    </row>
    <row r="131" spans="9:9">
      <c r="I131" s="49"/>
    </row>
    <row r="132" spans="9:9">
      <c r="I132" s="49"/>
    </row>
    <row r="133" spans="9:9">
      <c r="I133" s="49"/>
    </row>
    <row r="134" spans="9:9">
      <c r="I134" s="49"/>
    </row>
    <row r="135" spans="9:9">
      <c r="I135" s="49"/>
    </row>
    <row r="136" spans="9:9">
      <c r="I136" s="49"/>
    </row>
    <row r="137" spans="9:9">
      <c r="I137" s="49"/>
    </row>
    <row r="138" spans="9:9">
      <c r="I138" s="49"/>
    </row>
    <row r="139" spans="9:9">
      <c r="I139" s="49"/>
    </row>
    <row r="140" spans="9:9">
      <c r="I140" s="49"/>
    </row>
    <row r="141" spans="9:9">
      <c r="I141" s="49"/>
    </row>
    <row r="142" spans="9:9">
      <c r="I142" s="49"/>
    </row>
    <row r="143" spans="9:9">
      <c r="I143" s="49"/>
    </row>
    <row r="144" spans="9:9">
      <c r="I144" s="49"/>
    </row>
    <row r="145" spans="9:9">
      <c r="I145" s="49"/>
    </row>
    <row r="146" spans="9:9">
      <c r="I146" s="49"/>
    </row>
    <row r="147" spans="9:9">
      <c r="I147" s="49"/>
    </row>
    <row r="148" spans="9:9">
      <c r="I148" s="49"/>
    </row>
    <row r="149" spans="9:9">
      <c r="I149" s="49"/>
    </row>
    <row r="150" spans="9:9">
      <c r="I150" s="49"/>
    </row>
    <row r="151" spans="9:9">
      <c r="I151" s="49"/>
    </row>
    <row r="152" spans="9:9">
      <c r="I152" s="49"/>
    </row>
    <row r="153" spans="9:9">
      <c r="I153" s="49"/>
    </row>
    <row r="154" spans="9:9">
      <c r="I154" s="49"/>
    </row>
    <row r="155" spans="9:9">
      <c r="I155" s="49"/>
    </row>
    <row r="156" spans="9:9">
      <c r="I156" s="49"/>
    </row>
    <row r="157" spans="9:9">
      <c r="I157" s="49"/>
    </row>
    <row r="158" spans="9:9">
      <c r="I158" s="49"/>
    </row>
    <row r="159" spans="9:9">
      <c r="I159" s="49"/>
    </row>
    <row r="160" spans="9:9">
      <c r="I160" s="49"/>
    </row>
    <row r="161" spans="9:9">
      <c r="I161" s="49"/>
    </row>
    <row r="162" spans="9:9">
      <c r="I162" s="49"/>
    </row>
    <row r="163" spans="9:9">
      <c r="I163" s="49"/>
    </row>
    <row r="164" spans="9:9">
      <c r="I164" s="49"/>
    </row>
    <row r="165" spans="9:9">
      <c r="I165" s="49"/>
    </row>
    <row r="166" spans="9:9">
      <c r="I166" s="49"/>
    </row>
    <row r="167" spans="9:9">
      <c r="I167" s="49"/>
    </row>
    <row r="168" spans="9:9">
      <c r="I168" s="49"/>
    </row>
    <row r="169" spans="9:9">
      <c r="I169" s="49"/>
    </row>
    <row r="170" spans="9:9">
      <c r="I170" s="49"/>
    </row>
    <row r="171" spans="9:9">
      <c r="I171" s="49"/>
    </row>
    <row r="172" spans="9:9">
      <c r="I172" s="49"/>
    </row>
    <row r="173" spans="9:9">
      <c r="I173" s="49"/>
    </row>
    <row r="174" spans="9:9">
      <c r="I174" s="49"/>
    </row>
    <row r="175" spans="9:9">
      <c r="I175" s="49"/>
    </row>
    <row r="176" spans="9:9">
      <c r="I176" s="49"/>
    </row>
    <row r="177" spans="9:9">
      <c r="I177" s="49"/>
    </row>
    <row r="178" spans="9:9">
      <c r="I178" s="49"/>
    </row>
    <row r="180" spans="9:9">
      <c r="I180" s="49"/>
    </row>
    <row r="181" spans="9:9">
      <c r="I181" s="49"/>
    </row>
    <row r="182" spans="9:9">
      <c r="I182" s="49"/>
    </row>
    <row r="183" spans="9:9">
      <c r="I183" s="49"/>
    </row>
    <row r="184" spans="9:9">
      <c r="I184" s="49"/>
    </row>
    <row r="185" spans="9:9">
      <c r="I185" s="49"/>
    </row>
    <row r="186" spans="9:9">
      <c r="I186" s="49"/>
    </row>
    <row r="187" spans="9:9">
      <c r="I187" s="49"/>
    </row>
    <row r="188" spans="9:9">
      <c r="I188" s="49"/>
    </row>
    <row r="189" spans="9:9">
      <c r="I189" s="49"/>
    </row>
    <row r="190" spans="9:9">
      <c r="I190" s="49"/>
    </row>
    <row r="191" spans="9:9">
      <c r="I191" s="49"/>
    </row>
    <row r="192" spans="9:9">
      <c r="I192" s="49"/>
    </row>
    <row r="193" spans="9:9">
      <c r="I193" s="49"/>
    </row>
    <row r="196" spans="9:9">
      <c r="I196" s="49"/>
    </row>
    <row r="197" spans="9:9">
      <c r="I197" s="49"/>
    </row>
    <row r="198" spans="9:9">
      <c r="I198" s="49"/>
    </row>
    <row r="199" spans="9:9">
      <c r="I199" s="49"/>
    </row>
    <row r="200" spans="9:9">
      <c r="I200" s="49"/>
    </row>
    <row r="201" spans="9:9">
      <c r="I201" s="49"/>
    </row>
    <row r="202" spans="9:9">
      <c r="I202" s="49"/>
    </row>
    <row r="203" spans="9:9">
      <c r="I203" s="49"/>
    </row>
    <row r="204" spans="9:9">
      <c r="I204" s="49"/>
    </row>
    <row r="205" spans="9:9">
      <c r="I205" s="49"/>
    </row>
    <row r="206" spans="9:9">
      <c r="I206" s="49"/>
    </row>
    <row r="207" spans="9:9">
      <c r="I207" s="49"/>
    </row>
    <row r="612" spans="13:17">
      <c r="M612" s="12"/>
      <c r="N612" s="12"/>
      <c r="O612" s="12"/>
      <c r="P612" s="12"/>
      <c r="Q612" s="12"/>
    </row>
    <row r="613" spans="13:17" ht="15" customHeight="1">
      <c r="M613" s="12"/>
      <c r="N613" s="12"/>
      <c r="O613" s="12"/>
      <c r="P613" s="12"/>
      <c r="Q613" s="12"/>
    </row>
    <row r="614" spans="13:17" ht="15" customHeight="1">
      <c r="M614" s="12"/>
      <c r="N614" s="12"/>
      <c r="O614" s="12"/>
      <c r="P614" s="12"/>
      <c r="Q614" s="12"/>
    </row>
    <row r="615" spans="13:17" ht="15" customHeight="1">
      <c r="M615" s="12"/>
      <c r="N615" s="12"/>
      <c r="O615" s="12"/>
      <c r="P615" s="12"/>
      <c r="Q615" s="12"/>
    </row>
    <row r="616" spans="13:17" ht="15" customHeight="1">
      <c r="M616" s="12"/>
      <c r="N616" s="12"/>
      <c r="O616" s="12"/>
      <c r="P616" s="12"/>
      <c r="Q616" s="12"/>
    </row>
    <row r="617" spans="13:17" ht="15" customHeight="1">
      <c r="M617" s="12"/>
      <c r="N617" s="12"/>
      <c r="O617" s="12"/>
      <c r="P617" s="12"/>
      <c r="Q617" s="12"/>
    </row>
    <row r="618" spans="13:17" ht="15" customHeight="1">
      <c r="M618" s="12"/>
      <c r="N618" s="12"/>
      <c r="O618" s="12"/>
      <c r="P618" s="12"/>
      <c r="Q618" s="12"/>
    </row>
    <row r="619" spans="13:17" ht="15" customHeight="1">
      <c r="M619" s="12"/>
      <c r="N619" s="12"/>
      <c r="O619" s="12"/>
      <c r="P619" s="12"/>
      <c r="Q619" s="12"/>
    </row>
    <row r="620" spans="13:17" ht="15" customHeight="1">
      <c r="M620" s="12"/>
      <c r="N620" s="12"/>
      <c r="O620" s="12"/>
      <c r="P620" s="12"/>
      <c r="Q620" s="12"/>
    </row>
    <row r="621" spans="13:17" ht="15" customHeight="1">
      <c r="M621" s="12"/>
      <c r="N621" s="12"/>
      <c r="O621" s="12"/>
      <c r="P621" s="12"/>
      <c r="Q621" s="12"/>
    </row>
    <row r="622" spans="13:17" ht="15" customHeight="1">
      <c r="M622" s="12"/>
      <c r="N622" s="12"/>
      <c r="O622" s="12"/>
      <c r="P622" s="12"/>
      <c r="Q622" s="12"/>
    </row>
    <row r="623" spans="13:17" ht="15" customHeight="1">
      <c r="M623" s="12"/>
      <c r="N623" s="12"/>
      <c r="O623" s="12"/>
      <c r="P623" s="12"/>
      <c r="Q623" s="12"/>
    </row>
    <row r="624" spans="13:17" ht="15" customHeight="1">
      <c r="M624" s="12"/>
      <c r="N624" s="12"/>
      <c r="O624" s="12"/>
      <c r="P624" s="12"/>
      <c r="Q624" s="12"/>
    </row>
    <row r="625" spans="13:17" ht="15" customHeight="1">
      <c r="M625" s="12"/>
      <c r="N625" s="12"/>
      <c r="O625" s="12"/>
      <c r="P625" s="12"/>
      <c r="Q625" s="12"/>
    </row>
    <row r="626" spans="13:17" ht="15" customHeight="1">
      <c r="M626" s="12"/>
      <c r="N626" s="12"/>
      <c r="O626" s="12"/>
      <c r="P626" s="12"/>
      <c r="Q626" s="12"/>
    </row>
    <row r="627" spans="13:17" ht="15" customHeight="1">
      <c r="M627" s="12"/>
      <c r="N627" s="12"/>
      <c r="O627" s="12"/>
      <c r="P627" s="12"/>
      <c r="Q627" s="12"/>
    </row>
    <row r="628" spans="13:17" ht="15" customHeight="1">
      <c r="M628" s="12"/>
      <c r="N628" s="12"/>
      <c r="O628" s="12"/>
      <c r="P628" s="12"/>
      <c r="Q628" s="12"/>
    </row>
    <row r="629" spans="13:17" ht="15" customHeight="1">
      <c r="M629" s="12"/>
      <c r="N629" s="12"/>
      <c r="O629" s="12"/>
      <c r="P629" s="12"/>
      <c r="Q629" s="12"/>
    </row>
    <row r="630" spans="13:17" ht="15" customHeight="1">
      <c r="M630" s="12"/>
      <c r="N630" s="12"/>
      <c r="O630" s="12"/>
      <c r="P630" s="12"/>
      <c r="Q630" s="12"/>
    </row>
    <row r="631" spans="13:17" ht="15" customHeight="1">
      <c r="M631" s="12"/>
      <c r="N631" s="12"/>
      <c r="O631" s="12"/>
      <c r="P631" s="12"/>
      <c r="Q631" s="12"/>
    </row>
    <row r="632" spans="13:17" ht="15.75" customHeight="1">
      <c r="M632" s="12"/>
      <c r="N632" s="12"/>
      <c r="O632" s="12"/>
      <c r="P632" s="12"/>
      <c r="Q632" s="12"/>
    </row>
    <row r="633" spans="13:17" ht="15.75" customHeight="1">
      <c r="M633" s="12"/>
      <c r="N633" s="12"/>
      <c r="O633" s="12"/>
      <c r="P633" s="12"/>
      <c r="Q633" s="12"/>
    </row>
    <row r="634" spans="13:17" ht="15.75" customHeight="1">
      <c r="M634" s="12"/>
      <c r="N634" s="12"/>
      <c r="O634" s="12"/>
      <c r="P634" s="12"/>
      <c r="Q634" s="12"/>
    </row>
    <row r="635" spans="13:17" ht="15.75" customHeight="1">
      <c r="M635" s="12"/>
      <c r="N635" s="12"/>
      <c r="O635" s="12"/>
      <c r="P635" s="12"/>
      <c r="Q635" s="12"/>
    </row>
    <row r="636" spans="13:17">
      <c r="M636" s="12"/>
      <c r="N636" s="12"/>
      <c r="O636" s="12"/>
      <c r="P636" s="12"/>
      <c r="Q636" s="12"/>
    </row>
    <row r="637" spans="13:17">
      <c r="M637" s="12"/>
      <c r="N637" s="12"/>
      <c r="O637" s="12"/>
      <c r="P637" s="12"/>
      <c r="Q637" s="12"/>
    </row>
    <row r="638" spans="13:17">
      <c r="M638" s="12"/>
      <c r="N638" s="12"/>
      <c r="O638" s="12"/>
      <c r="P638" s="12"/>
      <c r="Q638" s="12"/>
    </row>
    <row r="639" spans="13:17">
      <c r="M639" s="12"/>
      <c r="N639" s="12"/>
      <c r="O639" s="12"/>
      <c r="P639" s="12"/>
      <c r="Q639" s="12"/>
    </row>
    <row r="640" spans="13:17">
      <c r="M640" s="12"/>
      <c r="N640" s="12"/>
      <c r="O640" s="12"/>
      <c r="P640" s="12"/>
      <c r="Q640" s="12"/>
    </row>
    <row r="641" spans="13:17">
      <c r="M641" s="12"/>
      <c r="N641" s="12"/>
      <c r="O641" s="12"/>
      <c r="P641" s="12"/>
      <c r="Q641" s="12"/>
    </row>
    <row r="642" spans="13:17">
      <c r="M642" s="12"/>
      <c r="N642" s="12"/>
      <c r="O642" s="12"/>
      <c r="P642" s="12"/>
      <c r="Q642" s="12"/>
    </row>
    <row r="643" spans="13:17">
      <c r="M643" s="12"/>
      <c r="N643" s="12"/>
      <c r="O643" s="12"/>
      <c r="P643" s="12"/>
      <c r="Q643" s="12"/>
    </row>
    <row r="644" spans="13:17">
      <c r="M644" s="12"/>
      <c r="N644" s="12"/>
      <c r="O644" s="12"/>
      <c r="P644" s="12"/>
      <c r="Q644" s="12"/>
    </row>
    <row r="645" spans="13:17">
      <c r="M645" s="12"/>
      <c r="N645" s="12"/>
      <c r="O645" s="12"/>
      <c r="P645" s="12"/>
      <c r="Q645" s="12"/>
    </row>
    <row r="646" spans="13:17">
      <c r="M646" s="12"/>
      <c r="N646" s="12"/>
      <c r="O646" s="12"/>
      <c r="P646" s="12"/>
      <c r="Q646" s="12"/>
    </row>
    <row r="647" spans="13:17">
      <c r="M647" s="12"/>
      <c r="N647" s="12"/>
      <c r="O647" s="12"/>
      <c r="P647" s="12"/>
      <c r="Q647" s="12"/>
    </row>
    <row r="648" spans="13:17">
      <c r="M648" s="12"/>
      <c r="N648" s="12"/>
      <c r="O648" s="12"/>
      <c r="P648" s="12"/>
      <c r="Q648" s="12"/>
    </row>
    <row r="649" spans="13:17">
      <c r="M649" s="12"/>
      <c r="N649" s="12"/>
      <c r="O649" s="12"/>
      <c r="P649" s="12"/>
      <c r="Q649" s="12"/>
    </row>
    <row r="650" spans="13:17">
      <c r="M650" s="12"/>
      <c r="N650" s="12"/>
      <c r="O650" s="12"/>
      <c r="P650" s="12"/>
      <c r="Q650" s="12"/>
    </row>
    <row r="651" spans="13:17">
      <c r="M651" s="12"/>
      <c r="N651" s="12"/>
      <c r="O651" s="12"/>
      <c r="P651" s="12"/>
      <c r="Q651" s="12"/>
    </row>
    <row r="652" spans="13:17">
      <c r="M652" s="12"/>
      <c r="N652" s="12"/>
      <c r="O652" s="12"/>
      <c r="P652" s="12"/>
      <c r="Q652" s="12"/>
    </row>
    <row r="653" spans="13:17">
      <c r="M653" s="12"/>
      <c r="N653" s="12"/>
      <c r="O653" s="12"/>
      <c r="P653" s="12"/>
      <c r="Q653" s="12"/>
    </row>
    <row r="654" spans="13:17">
      <c r="M654" s="12"/>
      <c r="N654" s="12"/>
      <c r="O654" s="12"/>
      <c r="P654" s="12"/>
      <c r="Q654" s="12"/>
    </row>
    <row r="655" spans="13:17">
      <c r="M655" s="12"/>
      <c r="N655" s="12"/>
      <c r="O655" s="12"/>
      <c r="P655" s="12"/>
      <c r="Q655" s="12"/>
    </row>
    <row r="656" spans="13:17">
      <c r="M656" s="12"/>
      <c r="N656" s="12"/>
      <c r="O656" s="12"/>
      <c r="P656" s="12"/>
      <c r="Q656" s="12"/>
    </row>
    <row r="657" spans="13:17">
      <c r="M657" s="12"/>
      <c r="N657" s="12"/>
      <c r="O657" s="12"/>
      <c r="P657" s="12"/>
      <c r="Q657" s="12"/>
    </row>
    <row r="658" spans="13:17">
      <c r="M658" s="12"/>
      <c r="N658" s="12"/>
      <c r="O658" s="12"/>
      <c r="P658" s="12"/>
      <c r="Q658" s="12"/>
    </row>
    <row r="659" spans="13:17">
      <c r="M659" s="12"/>
      <c r="N659" s="12"/>
      <c r="O659" s="12"/>
      <c r="P659" s="12"/>
      <c r="Q659" s="12"/>
    </row>
    <row r="660" spans="13:17">
      <c r="M660" s="12"/>
      <c r="N660" s="12"/>
      <c r="O660" s="12"/>
      <c r="P660" s="12"/>
      <c r="Q660" s="12"/>
    </row>
    <row r="661" spans="13:17">
      <c r="M661" s="12"/>
      <c r="N661" s="12"/>
      <c r="O661" s="12"/>
      <c r="P661" s="12"/>
      <c r="Q661" s="12"/>
    </row>
    <row r="662" spans="13:17">
      <c r="M662" s="12"/>
      <c r="N662" s="12"/>
      <c r="O662" s="12"/>
      <c r="P662" s="12"/>
      <c r="Q662" s="12"/>
    </row>
    <row r="663" spans="13:17">
      <c r="M663" s="12"/>
      <c r="N663" s="12"/>
      <c r="O663" s="12"/>
      <c r="P663" s="12"/>
      <c r="Q663" s="12"/>
    </row>
    <row r="664" spans="13:17">
      <c r="M664" s="12"/>
      <c r="N664" s="12"/>
      <c r="O664" s="12"/>
      <c r="P664" s="12"/>
      <c r="Q664" s="12"/>
    </row>
    <row r="665" spans="13:17">
      <c r="M665" s="12"/>
      <c r="N665" s="12"/>
      <c r="O665" s="12"/>
      <c r="P665" s="12"/>
      <c r="Q665" s="12"/>
    </row>
    <row r="666" spans="13:17">
      <c r="M666" s="12"/>
      <c r="N666" s="12"/>
      <c r="O666" s="12"/>
      <c r="P666" s="12"/>
      <c r="Q666" s="12"/>
    </row>
    <row r="667" spans="13:17">
      <c r="M667" s="12"/>
      <c r="N667" s="12"/>
      <c r="O667" s="12"/>
      <c r="P667" s="12"/>
      <c r="Q667" s="12"/>
    </row>
    <row r="668" spans="13:17">
      <c r="M668" s="12"/>
      <c r="N668" s="12"/>
      <c r="O668" s="12"/>
      <c r="P668" s="12"/>
      <c r="Q668" s="12"/>
    </row>
    <row r="669" spans="13:17">
      <c r="M669" s="12"/>
      <c r="N669" s="12"/>
      <c r="O669" s="12"/>
      <c r="P669" s="12"/>
      <c r="Q669" s="12"/>
    </row>
    <row r="670" spans="13:17">
      <c r="M670" s="12"/>
      <c r="N670" s="12"/>
      <c r="O670" s="12"/>
      <c r="P670" s="12"/>
      <c r="Q670" s="12"/>
    </row>
    <row r="671" spans="13:17">
      <c r="M671" s="12"/>
      <c r="N671" s="12"/>
      <c r="O671" s="12"/>
      <c r="P671" s="12"/>
      <c r="Q671" s="12"/>
    </row>
    <row r="672" spans="13:17">
      <c r="M672" s="12"/>
      <c r="N672" s="12"/>
      <c r="O672" s="12"/>
      <c r="P672" s="12"/>
      <c r="Q672" s="12"/>
    </row>
    <row r="673" spans="13:17">
      <c r="M673" s="12"/>
      <c r="N673" s="12"/>
      <c r="O673" s="12"/>
      <c r="P673" s="12"/>
      <c r="Q673" s="12"/>
    </row>
    <row r="674" spans="13:17">
      <c r="M674" s="12"/>
      <c r="N674" s="12"/>
      <c r="O674" s="12"/>
      <c r="P674" s="12"/>
      <c r="Q674" s="12"/>
    </row>
    <row r="675" spans="13:17">
      <c r="M675" s="12"/>
      <c r="N675" s="12"/>
      <c r="O675" s="12"/>
      <c r="P675" s="12"/>
      <c r="Q675" s="12"/>
    </row>
    <row r="676" spans="13:17">
      <c r="M676" s="12"/>
      <c r="N676" s="12"/>
      <c r="O676" s="12"/>
      <c r="P676" s="12"/>
      <c r="Q676" s="12"/>
    </row>
    <row r="677" spans="13:17">
      <c r="M677" s="12"/>
      <c r="N677" s="12"/>
      <c r="O677" s="12"/>
      <c r="P677" s="12"/>
      <c r="Q677" s="12"/>
    </row>
    <row r="678" spans="13:17">
      <c r="M678" s="12"/>
      <c r="N678" s="12"/>
      <c r="O678" s="12"/>
      <c r="P678" s="12"/>
      <c r="Q678" s="12"/>
    </row>
    <row r="679" spans="13:17">
      <c r="M679" s="12"/>
      <c r="N679" s="12"/>
      <c r="O679" s="12"/>
      <c r="P679" s="12"/>
      <c r="Q679" s="12"/>
    </row>
    <row r="680" spans="13:17">
      <c r="M680" s="12"/>
      <c r="N680" s="12"/>
      <c r="O680" s="12"/>
      <c r="P680" s="12"/>
      <c r="Q680" s="12"/>
    </row>
    <row r="681" spans="13:17">
      <c r="M681" s="12"/>
      <c r="N681" s="12"/>
      <c r="O681" s="12"/>
      <c r="P681" s="12"/>
      <c r="Q681" s="12"/>
    </row>
    <row r="682" spans="13:17">
      <c r="M682" s="12"/>
      <c r="N682" s="12"/>
      <c r="O682" s="12"/>
      <c r="P682" s="12"/>
      <c r="Q682" s="12"/>
    </row>
    <row r="683" spans="13:17">
      <c r="M683" s="12"/>
      <c r="N683" s="12"/>
      <c r="O683" s="12"/>
      <c r="P683" s="12"/>
      <c r="Q683" s="12"/>
    </row>
    <row r="684" spans="13:17">
      <c r="M684" s="12"/>
      <c r="N684" s="12"/>
      <c r="O684" s="12"/>
      <c r="P684" s="12"/>
      <c r="Q684" s="12"/>
    </row>
    <row r="685" spans="13:17">
      <c r="M685" s="12"/>
      <c r="N685" s="12"/>
      <c r="O685" s="12"/>
      <c r="P685" s="12"/>
      <c r="Q685" s="12"/>
    </row>
    <row r="686" spans="13:17">
      <c r="M686" s="12"/>
      <c r="N686" s="12"/>
      <c r="O686" s="12"/>
      <c r="P686" s="12"/>
      <c r="Q686" s="12"/>
    </row>
    <row r="687" spans="13:17">
      <c r="M687" s="12"/>
      <c r="N687" s="12"/>
      <c r="O687" s="12"/>
      <c r="P687" s="12"/>
      <c r="Q687" s="12"/>
    </row>
    <row r="688" spans="13:17">
      <c r="M688" s="12"/>
      <c r="N688" s="12"/>
      <c r="O688" s="12"/>
      <c r="P688" s="12"/>
      <c r="Q688" s="12"/>
    </row>
    <row r="689" spans="13:17">
      <c r="M689" s="12"/>
      <c r="N689" s="12"/>
      <c r="O689" s="12"/>
      <c r="P689" s="12"/>
      <c r="Q689" s="12"/>
    </row>
    <row r="690" spans="13:17">
      <c r="M690" s="12"/>
      <c r="N690" s="12"/>
      <c r="O690" s="12"/>
      <c r="P690" s="12"/>
      <c r="Q690" s="12"/>
    </row>
    <row r="691" spans="13:17">
      <c r="M691" s="12"/>
      <c r="N691" s="12"/>
      <c r="O691" s="12"/>
      <c r="P691" s="12"/>
      <c r="Q691" s="12"/>
    </row>
    <row r="692" spans="13:17">
      <c r="M692" s="12"/>
      <c r="N692" s="12"/>
      <c r="O692" s="12"/>
      <c r="P692" s="12"/>
      <c r="Q692" s="12"/>
    </row>
    <row r="693" spans="13:17">
      <c r="M693" s="12"/>
      <c r="N693" s="12"/>
      <c r="O693" s="12"/>
      <c r="P693" s="12"/>
      <c r="Q693" s="12"/>
    </row>
    <row r="694" spans="13:17">
      <c r="M694" s="12"/>
      <c r="N694" s="12"/>
      <c r="O694" s="12"/>
      <c r="P694" s="12"/>
      <c r="Q694" s="12"/>
    </row>
    <row r="695" spans="13:17">
      <c r="M695" s="12"/>
      <c r="N695" s="12"/>
      <c r="O695" s="12"/>
      <c r="P695" s="12"/>
      <c r="Q695" s="12"/>
    </row>
    <row r="696" spans="13:17">
      <c r="M696" s="12"/>
      <c r="N696" s="12"/>
      <c r="O696" s="12"/>
      <c r="P696" s="12"/>
      <c r="Q696" s="12"/>
    </row>
    <row r="697" spans="13:17">
      <c r="M697" s="12"/>
      <c r="N697" s="12"/>
      <c r="O697" s="12"/>
      <c r="P697" s="12"/>
      <c r="Q697" s="12"/>
    </row>
    <row r="698" spans="13:17">
      <c r="M698" s="12"/>
      <c r="N698" s="12"/>
      <c r="O698" s="12"/>
      <c r="P698" s="12"/>
      <c r="Q698" s="12"/>
    </row>
    <row r="699" spans="13:17">
      <c r="M699" s="12"/>
      <c r="N699" s="12"/>
      <c r="O699" s="12"/>
      <c r="P699" s="12"/>
      <c r="Q699" s="12"/>
    </row>
    <row r="700" spans="13:17">
      <c r="M700" s="12"/>
      <c r="N700" s="12"/>
      <c r="O700" s="12"/>
      <c r="P700" s="12"/>
      <c r="Q700" s="12"/>
    </row>
    <row r="701" spans="13:17">
      <c r="M701" s="12"/>
      <c r="N701" s="12"/>
      <c r="O701" s="12"/>
      <c r="P701" s="12"/>
      <c r="Q701" s="12"/>
    </row>
    <row r="702" spans="13:17">
      <c r="M702" s="12"/>
      <c r="N702" s="12"/>
      <c r="O702" s="12"/>
      <c r="P702" s="12"/>
      <c r="Q702" s="12"/>
    </row>
    <row r="703" spans="13:17">
      <c r="M703" s="12"/>
      <c r="N703" s="12"/>
      <c r="O703" s="12"/>
      <c r="P703" s="12"/>
      <c r="Q703" s="12"/>
    </row>
    <row r="704" spans="13:17">
      <c r="M704" s="12"/>
      <c r="N704" s="12"/>
      <c r="O704" s="12"/>
      <c r="P704" s="12"/>
      <c r="Q704" s="12"/>
    </row>
    <row r="705" spans="13:17">
      <c r="M705" s="12"/>
      <c r="N705" s="12"/>
      <c r="O705" s="12"/>
      <c r="P705" s="12"/>
      <c r="Q705" s="12"/>
    </row>
    <row r="706" spans="13:17">
      <c r="M706" s="12"/>
      <c r="N706" s="12"/>
      <c r="O706" s="12"/>
      <c r="P706" s="12"/>
      <c r="Q706" s="12"/>
    </row>
    <row r="707" spans="13:17">
      <c r="M707" s="12"/>
      <c r="N707" s="12"/>
      <c r="O707" s="12"/>
      <c r="P707" s="12"/>
      <c r="Q707" s="12"/>
    </row>
    <row r="708" spans="13:17">
      <c r="M708" s="12"/>
      <c r="N708" s="12"/>
      <c r="O708" s="12"/>
      <c r="P708" s="12"/>
      <c r="Q708" s="12"/>
    </row>
    <row r="709" spans="13:17">
      <c r="M709" s="12"/>
      <c r="N709" s="12"/>
      <c r="O709" s="12"/>
      <c r="P709" s="12"/>
      <c r="Q709" s="12"/>
    </row>
    <row r="710" spans="13:17">
      <c r="M710" s="12"/>
      <c r="N710" s="12"/>
      <c r="O710" s="12"/>
      <c r="P710" s="12"/>
      <c r="Q710" s="12"/>
    </row>
    <row r="711" spans="13:17">
      <c r="M711" s="12"/>
      <c r="N711" s="12"/>
      <c r="O711" s="12"/>
      <c r="P711" s="12"/>
      <c r="Q711" s="12"/>
    </row>
    <row r="712" spans="13:17">
      <c r="M712" s="12"/>
      <c r="N712" s="12"/>
      <c r="O712" s="12"/>
      <c r="P712" s="12"/>
      <c r="Q712" s="12"/>
    </row>
    <row r="713" spans="13:17">
      <c r="M713" s="12"/>
      <c r="N713" s="12"/>
      <c r="O713" s="12"/>
      <c r="P713" s="12"/>
      <c r="Q713" s="12"/>
    </row>
    <row r="714" spans="13:17">
      <c r="M714" s="12"/>
      <c r="N714" s="12"/>
      <c r="O714" s="12"/>
      <c r="P714" s="12"/>
      <c r="Q714" s="12"/>
    </row>
    <row r="715" spans="13:17">
      <c r="M715" s="12"/>
      <c r="N715" s="12"/>
      <c r="O715" s="12"/>
      <c r="P715" s="12"/>
      <c r="Q715" s="12"/>
    </row>
    <row r="716" spans="13:17">
      <c r="M716" s="12"/>
      <c r="N716" s="12"/>
      <c r="O716" s="12"/>
      <c r="P716" s="12"/>
      <c r="Q716" s="12"/>
    </row>
    <row r="717" spans="13:17">
      <c r="M717" s="12"/>
      <c r="N717" s="12"/>
      <c r="O717" s="12"/>
      <c r="P717" s="12"/>
      <c r="Q717" s="12"/>
    </row>
    <row r="718" spans="13:17">
      <c r="M718" s="12"/>
      <c r="N718" s="12"/>
      <c r="O718" s="12"/>
      <c r="P718" s="12"/>
      <c r="Q718" s="12"/>
    </row>
    <row r="719" spans="13:17">
      <c r="M719" s="12"/>
      <c r="N719" s="12"/>
      <c r="O719" s="12"/>
      <c r="P719" s="12"/>
      <c r="Q719" s="12"/>
    </row>
    <row r="720" spans="13:17">
      <c r="M720" s="12"/>
      <c r="N720" s="12"/>
      <c r="O720" s="12"/>
      <c r="P720" s="12"/>
      <c r="Q720" s="12"/>
    </row>
    <row r="721" spans="13:17">
      <c r="M721" s="12"/>
      <c r="N721" s="12"/>
      <c r="O721" s="12"/>
      <c r="P721" s="12"/>
      <c r="Q721" s="12"/>
    </row>
    <row r="722" spans="13:17">
      <c r="M722" s="12"/>
      <c r="N722" s="12"/>
      <c r="O722" s="12"/>
      <c r="P722" s="12"/>
      <c r="Q722" s="12"/>
    </row>
    <row r="723" spans="13:17">
      <c r="M723" s="12"/>
      <c r="N723" s="12"/>
      <c r="O723" s="12"/>
      <c r="P723" s="12"/>
      <c r="Q723" s="12"/>
    </row>
    <row r="724" spans="13:17">
      <c r="M724" s="12"/>
      <c r="N724" s="12"/>
      <c r="O724" s="12"/>
      <c r="P724" s="12"/>
      <c r="Q724" s="12"/>
    </row>
    <row r="725" spans="13:17">
      <c r="M725" s="12"/>
      <c r="N725" s="12"/>
      <c r="O725" s="12"/>
      <c r="P725" s="12"/>
      <c r="Q725" s="12"/>
    </row>
    <row r="726" spans="13:17">
      <c r="M726" s="12"/>
      <c r="N726" s="12"/>
      <c r="O726" s="12"/>
      <c r="P726" s="12"/>
      <c r="Q726" s="12"/>
    </row>
    <row r="727" spans="13:17">
      <c r="M727" s="12"/>
      <c r="N727" s="12"/>
      <c r="O727" s="12"/>
      <c r="P727" s="12"/>
      <c r="Q727" s="12"/>
    </row>
    <row r="728" spans="13:17">
      <c r="M728" s="12"/>
      <c r="N728" s="12"/>
      <c r="O728" s="12"/>
      <c r="P728" s="12"/>
      <c r="Q728" s="12"/>
    </row>
    <row r="729" spans="13:17">
      <c r="M729" s="12"/>
      <c r="N729" s="12"/>
      <c r="O729" s="12"/>
      <c r="P729" s="12"/>
      <c r="Q729" s="12"/>
    </row>
    <row r="730" spans="13:17">
      <c r="M730" s="12"/>
      <c r="N730" s="12"/>
      <c r="O730" s="12"/>
      <c r="P730" s="12"/>
      <c r="Q730" s="12"/>
    </row>
    <row r="731" spans="13:17">
      <c r="M731" s="12"/>
      <c r="N731" s="12"/>
      <c r="O731" s="12"/>
      <c r="P731" s="12"/>
      <c r="Q731" s="12"/>
    </row>
    <row r="732" spans="13:17">
      <c r="M732" s="12"/>
      <c r="N732" s="12"/>
      <c r="O732" s="12"/>
      <c r="P732" s="12"/>
      <c r="Q732" s="12"/>
    </row>
    <row r="733" spans="13:17">
      <c r="M733" s="12"/>
      <c r="N733" s="12"/>
      <c r="O733" s="12"/>
      <c r="P733" s="12"/>
      <c r="Q733" s="12"/>
    </row>
    <row r="734" spans="13:17">
      <c r="M734" s="12"/>
      <c r="N734" s="12"/>
      <c r="O734" s="12"/>
      <c r="P734" s="12"/>
      <c r="Q734" s="12"/>
    </row>
    <row r="735" spans="13:17">
      <c r="M735" s="12"/>
      <c r="N735" s="12"/>
      <c r="O735" s="12"/>
      <c r="P735" s="12"/>
      <c r="Q735" s="12"/>
    </row>
    <row r="736" spans="13:17">
      <c r="M736" s="12"/>
      <c r="N736" s="12"/>
      <c r="O736" s="12"/>
      <c r="P736" s="12"/>
      <c r="Q736" s="12"/>
    </row>
    <row r="737" spans="13:17">
      <c r="M737" s="12"/>
      <c r="N737" s="12"/>
      <c r="O737" s="12"/>
      <c r="P737" s="12"/>
      <c r="Q737" s="12"/>
    </row>
    <row r="738" spans="13:17">
      <c r="M738" s="12"/>
      <c r="N738" s="12"/>
      <c r="O738" s="12"/>
      <c r="P738" s="12"/>
      <c r="Q738" s="12"/>
    </row>
    <row r="739" spans="13:17">
      <c r="M739" s="12"/>
      <c r="N739" s="12"/>
      <c r="O739" s="12"/>
      <c r="P739" s="12"/>
      <c r="Q739" s="12"/>
    </row>
    <row r="740" spans="13:17">
      <c r="M740" s="12"/>
      <c r="N740" s="12"/>
      <c r="O740" s="12"/>
      <c r="P740" s="12"/>
      <c r="Q740" s="12"/>
    </row>
    <row r="741" spans="13:17">
      <c r="M741" s="12"/>
      <c r="N741" s="12"/>
      <c r="O741" s="12"/>
      <c r="P741" s="12"/>
      <c r="Q741" s="12"/>
    </row>
    <row r="742" spans="13:17">
      <c r="M742" s="12"/>
      <c r="N742" s="12"/>
      <c r="O742" s="12"/>
      <c r="P742" s="12"/>
      <c r="Q742" s="12"/>
    </row>
    <row r="743" spans="13:17">
      <c r="M743" s="12"/>
      <c r="N743" s="12"/>
      <c r="O743" s="12"/>
      <c r="P743" s="12"/>
      <c r="Q743" s="12"/>
    </row>
    <row r="744" spans="13:17">
      <c r="M744" s="12"/>
      <c r="N744" s="12"/>
      <c r="O744" s="12"/>
      <c r="P744" s="12"/>
      <c r="Q744" s="12"/>
    </row>
    <row r="745" spans="13:17">
      <c r="M745" s="12"/>
      <c r="N745" s="12"/>
      <c r="O745" s="12"/>
      <c r="P745" s="12"/>
      <c r="Q745" s="12"/>
    </row>
    <row r="746" spans="13:17">
      <c r="M746" s="12"/>
      <c r="N746" s="12"/>
      <c r="O746" s="12"/>
      <c r="P746" s="12"/>
      <c r="Q746" s="12"/>
    </row>
    <row r="750" spans="13:17">
      <c r="M750" s="12"/>
      <c r="N750" s="12"/>
      <c r="O750" s="12"/>
      <c r="P750" s="12"/>
      <c r="Q750" s="12"/>
    </row>
    <row r="751" spans="13:17">
      <c r="M751" s="12"/>
      <c r="N751" s="12"/>
      <c r="O751" s="12"/>
      <c r="P751" s="12"/>
      <c r="Q751" s="12"/>
    </row>
    <row r="752" spans="13:17">
      <c r="M752" s="12"/>
      <c r="N752" s="12"/>
      <c r="O752" s="12"/>
      <c r="P752" s="12"/>
      <c r="Q752" s="12"/>
    </row>
    <row r="753" spans="13:17">
      <c r="M753" s="12"/>
      <c r="N753" s="12"/>
      <c r="O753" s="12"/>
      <c r="P753" s="12"/>
      <c r="Q753" s="12"/>
    </row>
    <row r="754" spans="13:17">
      <c r="M754" s="12"/>
      <c r="N754" s="12"/>
      <c r="O754" s="12"/>
      <c r="P754" s="12"/>
      <c r="Q754" s="12"/>
    </row>
    <row r="755" spans="13:17">
      <c r="M755" s="12"/>
      <c r="N755" s="12"/>
      <c r="O755" s="12"/>
      <c r="P755" s="12"/>
      <c r="Q755" s="12"/>
    </row>
    <row r="756" spans="13:17">
      <c r="M756" s="12"/>
      <c r="N756" s="12"/>
      <c r="O756" s="12"/>
      <c r="P756" s="12"/>
      <c r="Q756" s="12"/>
    </row>
    <row r="757" spans="13:17">
      <c r="M757" s="12"/>
      <c r="N757" s="12"/>
      <c r="O757" s="12"/>
      <c r="P757" s="12"/>
      <c r="Q757" s="12"/>
    </row>
    <row r="758" spans="13:17">
      <c r="M758" s="12"/>
      <c r="N758" s="12"/>
      <c r="O758" s="12"/>
      <c r="P758" s="12"/>
      <c r="Q758" s="12"/>
    </row>
    <row r="759" spans="13:17">
      <c r="M759" s="12"/>
      <c r="N759" s="12"/>
      <c r="O759" s="12"/>
      <c r="P759" s="12"/>
      <c r="Q759" s="12"/>
    </row>
    <row r="760" spans="13:17">
      <c r="M760" s="12"/>
      <c r="N760" s="12"/>
      <c r="O760" s="12"/>
      <c r="P760" s="12"/>
      <c r="Q760" s="12"/>
    </row>
    <row r="761" spans="13:17">
      <c r="M761" s="12"/>
      <c r="N761" s="12"/>
      <c r="O761" s="12"/>
      <c r="P761" s="12"/>
      <c r="Q761" s="12"/>
    </row>
    <row r="762" spans="13:17">
      <c r="M762" s="12"/>
      <c r="N762" s="12"/>
      <c r="O762" s="12"/>
      <c r="P762" s="12"/>
      <c r="Q762" s="12"/>
    </row>
    <row r="763" spans="13:17">
      <c r="M763" s="12"/>
      <c r="N763" s="12"/>
      <c r="O763" s="12"/>
      <c r="P763" s="12"/>
      <c r="Q763" s="12"/>
    </row>
    <row r="764" spans="13:17">
      <c r="M764" s="12"/>
      <c r="N764" s="12"/>
      <c r="O764" s="12"/>
      <c r="P764" s="12"/>
      <c r="Q764" s="12"/>
    </row>
    <row r="765" spans="13:17">
      <c r="M765" s="12"/>
      <c r="N765" s="12"/>
      <c r="O765" s="12"/>
      <c r="P765" s="12"/>
      <c r="Q765" s="12"/>
    </row>
    <row r="766" spans="13:17">
      <c r="M766" s="12"/>
      <c r="N766" s="12"/>
      <c r="O766" s="12"/>
      <c r="P766" s="12"/>
      <c r="Q766" s="12"/>
    </row>
    <row r="767" spans="13:17">
      <c r="M767" s="12"/>
      <c r="N767" s="12"/>
      <c r="O767" s="12"/>
      <c r="P767" s="12"/>
      <c r="Q767" s="12"/>
    </row>
    <row r="768" spans="13:17">
      <c r="M768" s="12"/>
      <c r="N768" s="12"/>
      <c r="O768" s="12"/>
      <c r="P768" s="12"/>
      <c r="Q768" s="12"/>
    </row>
  </sheetData>
  <mergeCells count="3">
    <mergeCell ref="A2:R2"/>
    <mergeCell ref="A3:R3"/>
    <mergeCell ref="A4:R4"/>
  </mergeCells>
  <phoneticPr fontId="30" type="noConversion"/>
  <pageMargins left="0.7" right="0.7" top="0.75" bottom="0.75" header="0.3" footer="0.3"/>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O107"/>
  <sheetViews>
    <sheetView showGridLines="0" workbookViewId="0">
      <pane ySplit="6" topLeftCell="A64" activePane="bottomLeft" state="frozen"/>
      <selection pane="bottomLeft"/>
    </sheetView>
  </sheetViews>
  <sheetFormatPr baseColWidth="10" defaultRowHeight="12.75"/>
  <cols>
    <col min="1" max="1" width="20.7109375" style="148" customWidth="1"/>
    <col min="2" max="2" width="51.42578125" style="148" customWidth="1"/>
    <col min="3" max="12" width="14.7109375" style="177" customWidth="1"/>
    <col min="13" max="13" width="39.140625" style="193" customWidth="1"/>
    <col min="14" max="16384" width="11.42578125" style="148"/>
  </cols>
  <sheetData>
    <row r="1" spans="1:13">
      <c r="D1" s="468" t="s">
        <v>436</v>
      </c>
      <c r="E1" s="468"/>
      <c r="F1" s="468"/>
      <c r="G1" s="468"/>
      <c r="H1" s="468"/>
      <c r="I1" s="468"/>
      <c r="J1" s="468"/>
      <c r="K1" s="468"/>
      <c r="L1" s="468"/>
      <c r="M1" s="469"/>
    </row>
    <row r="2" spans="1:13">
      <c r="C2" s="148"/>
      <c r="D2" s="199">
        <v>2025</v>
      </c>
      <c r="E2" s="199">
        <v>2026</v>
      </c>
      <c r="F2" s="199">
        <v>2027</v>
      </c>
      <c r="G2" s="199">
        <v>2028</v>
      </c>
      <c r="H2" s="199">
        <v>2029</v>
      </c>
      <c r="I2" s="199">
        <v>2030</v>
      </c>
      <c r="J2" s="199">
        <v>2031</v>
      </c>
      <c r="K2" s="199">
        <v>2032</v>
      </c>
      <c r="L2" s="199">
        <v>2033</v>
      </c>
      <c r="M2" s="469"/>
    </row>
    <row r="3" spans="1:13">
      <c r="A3" s="165"/>
      <c r="C3" s="148"/>
      <c r="D3" s="470">
        <f>+'IPC - CAFÉ'!E24</f>
        <v>0.06</v>
      </c>
      <c r="E3" s="470">
        <f>+'IPC - CAFÉ'!F24</f>
        <v>4.5975144331782153E-2</v>
      </c>
      <c r="F3" s="470">
        <f>+'IPC - CAFÉ'!G24</f>
        <v>4.7225144331782154E-2</v>
      </c>
      <c r="G3" s="470">
        <f>+'IPC - CAFÉ'!H24</f>
        <v>4.8475144331782155E-2</v>
      </c>
      <c r="H3" s="470">
        <f>+'IPC - CAFÉ'!I24</f>
        <v>4.9725144331782156E-2</v>
      </c>
      <c r="I3" s="470">
        <f>+'IPC - CAFÉ'!J24</f>
        <v>5.0975144331782157E-2</v>
      </c>
      <c r="J3" s="470">
        <f>+'IPC - CAFÉ'!K24</f>
        <v>5.2225144331782158E-2</v>
      </c>
      <c r="K3" s="470">
        <f>+'IPC - CAFÉ'!L24</f>
        <v>5.347514433178216E-2</v>
      </c>
      <c r="L3" s="470">
        <f>+'IPC - CAFÉ'!M24</f>
        <v>5.4725144331782161E-2</v>
      </c>
    </row>
    <row r="4" spans="1:13" ht="16.149999999999999" customHeight="1"/>
    <row r="5" spans="1:13" ht="16.149999999999999" customHeight="1">
      <c r="C5" s="991" t="s">
        <v>1291</v>
      </c>
      <c r="D5" s="991"/>
      <c r="E5" s="991"/>
      <c r="F5" s="991"/>
      <c r="G5" s="991"/>
      <c r="H5" s="748"/>
      <c r="I5" s="748"/>
      <c r="J5" s="748"/>
      <c r="K5" s="748"/>
      <c r="L5" s="748"/>
    </row>
    <row r="6" spans="1:13">
      <c r="A6" s="197" t="s">
        <v>1243</v>
      </c>
      <c r="B6" s="197" t="s">
        <v>505</v>
      </c>
      <c r="C6" s="471" t="s">
        <v>226</v>
      </c>
      <c r="D6" s="471" t="s">
        <v>227</v>
      </c>
      <c r="E6" s="471" t="s">
        <v>228</v>
      </c>
      <c r="F6" s="471" t="s">
        <v>229</v>
      </c>
      <c r="G6" s="471" t="s">
        <v>230</v>
      </c>
      <c r="H6" s="471" t="s">
        <v>231</v>
      </c>
      <c r="I6" s="471" t="s">
        <v>232</v>
      </c>
      <c r="J6" s="471" t="s">
        <v>233</v>
      </c>
      <c r="K6" s="471" t="s">
        <v>3010</v>
      </c>
      <c r="L6" s="471" t="s">
        <v>3011</v>
      </c>
      <c r="M6" s="471" t="s">
        <v>1244</v>
      </c>
    </row>
    <row r="7" spans="1:13" ht="25.5">
      <c r="A7" s="989" t="s">
        <v>1245</v>
      </c>
      <c r="B7" s="472" t="s">
        <v>1246</v>
      </c>
      <c r="C7" s="473">
        <v>8500000</v>
      </c>
      <c r="D7" s="473">
        <f>C7*(1+$D$3)</f>
        <v>9010000</v>
      </c>
      <c r="E7" s="473">
        <v>0</v>
      </c>
      <c r="F7" s="473">
        <v>0</v>
      </c>
      <c r="G7" s="473">
        <v>0</v>
      </c>
      <c r="H7" s="473">
        <v>1</v>
      </c>
      <c r="I7" s="473">
        <v>2</v>
      </c>
      <c r="J7" s="473">
        <v>3</v>
      </c>
      <c r="K7" s="473">
        <v>4</v>
      </c>
      <c r="L7" s="473">
        <v>5</v>
      </c>
      <c r="M7" s="474" t="s">
        <v>1247</v>
      </c>
    </row>
    <row r="8" spans="1:13">
      <c r="A8" s="989"/>
      <c r="B8" s="472" t="s">
        <v>1248</v>
      </c>
      <c r="C8" s="473">
        <v>500000</v>
      </c>
      <c r="D8" s="473">
        <f>C8*(1+$D$3)</f>
        <v>530000</v>
      </c>
      <c r="E8" s="473">
        <f>D8*(1+$E$3)</f>
        <v>554366.82649584452</v>
      </c>
      <c r="F8" s="473">
        <f>E8*(1+$F$3)</f>
        <v>580546.87988986284</v>
      </c>
      <c r="G8" s="473">
        <f>F8*(1+$G$3)</f>
        <v>608688.97368388972</v>
      </c>
      <c r="H8" s="473">
        <f t="shared" ref="H8:L8" si="0">G8*(1+$G$3)</f>
        <v>638195.25953638065</v>
      </c>
      <c r="I8" s="473">
        <f t="shared" si="0"/>
        <v>669131.8668542658</v>
      </c>
      <c r="J8" s="473">
        <f t="shared" si="0"/>
        <v>701568.13067702111</v>
      </c>
      <c r="K8" s="473">
        <f t="shared" si="0"/>
        <v>735576.74707016826</v>
      </c>
      <c r="L8" s="473">
        <f t="shared" si="0"/>
        <v>771233.93605149747</v>
      </c>
      <c r="M8" s="474" t="s">
        <v>1249</v>
      </c>
    </row>
    <row r="9" spans="1:13">
      <c r="A9" s="989"/>
      <c r="B9" s="217" t="s">
        <v>396</v>
      </c>
      <c r="C9" s="475">
        <f>SUM(C7:C8)</f>
        <v>9000000</v>
      </c>
      <c r="D9" s="475">
        <f>SUM(D7:D8)</f>
        <v>9540000</v>
      </c>
      <c r="E9" s="475">
        <f>SUM(E7:E8)</f>
        <v>554366.82649584452</v>
      </c>
      <c r="F9" s="475">
        <f>SUM(F7:F8)</f>
        <v>580546.87988986284</v>
      </c>
      <c r="G9" s="475">
        <f>SUM(G7:G8)</f>
        <v>608688.97368388972</v>
      </c>
      <c r="H9" s="475">
        <f t="shared" ref="H9:L9" si="1">SUM(H7:H8)</f>
        <v>638196.25953638065</v>
      </c>
      <c r="I9" s="475">
        <f t="shared" si="1"/>
        <v>669133.8668542658</v>
      </c>
      <c r="J9" s="475">
        <f t="shared" si="1"/>
        <v>701571.13067702111</v>
      </c>
      <c r="K9" s="475">
        <f t="shared" si="1"/>
        <v>735580.74707016826</v>
      </c>
      <c r="L9" s="475">
        <f t="shared" si="1"/>
        <v>771238.93605149747</v>
      </c>
      <c r="M9" s="474"/>
    </row>
    <row r="10" spans="1:13">
      <c r="A10" s="989" t="s">
        <v>1250</v>
      </c>
      <c r="B10" s="472" t="s">
        <v>1251</v>
      </c>
      <c r="C10" s="473">
        <v>10000000</v>
      </c>
      <c r="D10" s="473">
        <f t="shared" ref="D10:D11" si="2">C10*(1+$D$3)</f>
        <v>10600000</v>
      </c>
      <c r="E10" s="473">
        <f t="shared" ref="E10:E11" si="3">D10*(1+$E$3)</f>
        <v>11087336.529916892</v>
      </c>
      <c r="F10" s="473">
        <f t="shared" ref="F10:F11" si="4">E10*(1+$F$3)</f>
        <v>11610937.597797258</v>
      </c>
      <c r="G10" s="473">
        <f t="shared" ref="G10:G11" si="5">F10*(1+$G$3)</f>
        <v>12173779.473677795</v>
      </c>
      <c r="H10" s="473">
        <f t="shared" ref="H10:H11" si="6">G10*(1+$G$3)</f>
        <v>12763905.190727614</v>
      </c>
      <c r="I10" s="473">
        <f t="shared" ref="I10:I11" si="7">H10*(1+$G$3)</f>
        <v>13382637.337085318</v>
      </c>
      <c r="J10" s="473">
        <f t="shared" ref="J10:J11" si="8">I10*(1+$G$3)</f>
        <v>14031362.613540426</v>
      </c>
      <c r="K10" s="473">
        <f t="shared" ref="K10:K11" si="9">J10*(1+$G$3)</f>
        <v>14711534.94140337</v>
      </c>
      <c r="L10" s="473">
        <f t="shared" ref="L10:L11" si="10">K10*(1+$G$3)</f>
        <v>15424678.721029954</v>
      </c>
      <c r="M10" s="474"/>
    </row>
    <row r="11" spans="1:13">
      <c r="A11" s="989"/>
      <c r="B11" s="472" t="s">
        <v>1252</v>
      </c>
      <c r="C11" s="473">
        <v>1500000</v>
      </c>
      <c r="D11" s="473">
        <f t="shared" si="2"/>
        <v>1590000</v>
      </c>
      <c r="E11" s="473">
        <f t="shared" si="3"/>
        <v>1663100.4794875337</v>
      </c>
      <c r="F11" s="473">
        <f t="shared" si="4"/>
        <v>1741640.6396695885</v>
      </c>
      <c r="G11" s="473">
        <f t="shared" si="5"/>
        <v>1826066.9210516692</v>
      </c>
      <c r="H11" s="473">
        <f t="shared" si="6"/>
        <v>1914585.7786091419</v>
      </c>
      <c r="I11" s="473">
        <f t="shared" si="7"/>
        <v>2007395.6005627976</v>
      </c>
      <c r="J11" s="473">
        <f t="shared" si="8"/>
        <v>2104704.3920310638</v>
      </c>
      <c r="K11" s="473">
        <f t="shared" si="9"/>
        <v>2206730.2412105054</v>
      </c>
      <c r="L11" s="473">
        <f t="shared" si="10"/>
        <v>2313701.8081544931</v>
      </c>
      <c r="M11" s="474"/>
    </row>
    <row r="12" spans="1:13">
      <c r="A12" s="989"/>
      <c r="B12" s="217" t="s">
        <v>396</v>
      </c>
      <c r="C12" s="475">
        <f>SUM(C10:C11)</f>
        <v>11500000</v>
      </c>
      <c r="D12" s="475">
        <f>SUM(D10:D11)</f>
        <v>12190000</v>
      </c>
      <c r="E12" s="475">
        <f>SUM(E10:E11)</f>
        <v>12750437.009404425</v>
      </c>
      <c r="F12" s="475">
        <f>SUM(F10:F11)</f>
        <v>13352578.237466846</v>
      </c>
      <c r="G12" s="475">
        <f>SUM(G10:G11)</f>
        <v>13999846.394729465</v>
      </c>
      <c r="H12" s="475">
        <f t="shared" ref="H12:L12" si="11">SUM(H10:H11)</f>
        <v>14678490.969336756</v>
      </c>
      <c r="I12" s="475">
        <f t="shared" si="11"/>
        <v>15390032.937648116</v>
      </c>
      <c r="J12" s="475">
        <f t="shared" si="11"/>
        <v>16136067.00557149</v>
      </c>
      <c r="K12" s="475">
        <f t="shared" si="11"/>
        <v>16918265.182613876</v>
      </c>
      <c r="L12" s="475">
        <f t="shared" si="11"/>
        <v>17738380.529184446</v>
      </c>
      <c r="M12" s="474"/>
    </row>
    <row r="13" spans="1:13" ht="25.5">
      <c r="A13" s="989" t="s">
        <v>1253</v>
      </c>
      <c r="B13" s="472"/>
      <c r="C13" s="473">
        <v>0</v>
      </c>
      <c r="D13" s="473">
        <v>0</v>
      </c>
      <c r="E13" s="473">
        <v>0</v>
      </c>
      <c r="F13" s="473">
        <v>0</v>
      </c>
      <c r="G13" s="473">
        <v>0</v>
      </c>
      <c r="H13" s="473">
        <v>0</v>
      </c>
      <c r="I13" s="473">
        <v>0</v>
      </c>
      <c r="J13" s="473">
        <v>0</v>
      </c>
      <c r="K13" s="473">
        <v>0</v>
      </c>
      <c r="L13" s="473">
        <v>0</v>
      </c>
      <c r="M13" s="474" t="s">
        <v>1254</v>
      </c>
    </row>
    <row r="14" spans="1:13">
      <c r="A14" s="989"/>
      <c r="B14" s="472"/>
      <c r="C14" s="473">
        <v>0</v>
      </c>
      <c r="D14" s="473">
        <v>0</v>
      </c>
      <c r="E14" s="473">
        <v>0</v>
      </c>
      <c r="F14" s="473">
        <v>0</v>
      </c>
      <c r="G14" s="473">
        <v>0</v>
      </c>
      <c r="H14" s="473">
        <v>0</v>
      </c>
      <c r="I14" s="473">
        <v>0</v>
      </c>
      <c r="J14" s="473">
        <v>0</v>
      </c>
      <c r="K14" s="473">
        <v>0</v>
      </c>
      <c r="L14" s="473">
        <v>0</v>
      </c>
      <c r="M14" s="474"/>
    </row>
    <row r="15" spans="1:13">
      <c r="A15" s="989"/>
      <c r="B15" s="217" t="s">
        <v>396</v>
      </c>
      <c r="C15" s="475">
        <f>SUM(C13:C14)</f>
        <v>0</v>
      </c>
      <c r="D15" s="475">
        <f>SUM(D13:D14)</f>
        <v>0</v>
      </c>
      <c r="E15" s="475">
        <f>SUM(E13:E14)</f>
        <v>0</v>
      </c>
      <c r="F15" s="475">
        <f>SUM(F13:F14)</f>
        <v>0</v>
      </c>
      <c r="G15" s="475">
        <f>SUM(G13:G14)</f>
        <v>0</v>
      </c>
      <c r="H15" s="475">
        <f t="shared" ref="H15:L15" si="12">SUM(H13:H14)</f>
        <v>0</v>
      </c>
      <c r="I15" s="475">
        <f t="shared" si="12"/>
        <v>0</v>
      </c>
      <c r="J15" s="475">
        <f t="shared" si="12"/>
        <v>0</v>
      </c>
      <c r="K15" s="475">
        <f t="shared" si="12"/>
        <v>0</v>
      </c>
      <c r="L15" s="475">
        <f t="shared" si="12"/>
        <v>0</v>
      </c>
      <c r="M15" s="474"/>
    </row>
    <row r="16" spans="1:13" ht="51">
      <c r="A16" s="989" t="s">
        <v>1255</v>
      </c>
      <c r="B16" s="472" t="s">
        <v>1256</v>
      </c>
      <c r="C16" s="473">
        <v>6000000</v>
      </c>
      <c r="D16" s="473">
        <f>C16*(1+$D$3)</f>
        <v>6360000</v>
      </c>
      <c r="E16" s="473">
        <f>D16*(1+$E$3)</f>
        <v>6652401.9179501347</v>
      </c>
      <c r="F16" s="473">
        <f>E16*(1+$F$3)</f>
        <v>6966562.5586783541</v>
      </c>
      <c r="G16" s="473">
        <f>F16*(1+$G$3)</f>
        <v>7304267.6842066767</v>
      </c>
      <c r="H16" s="473">
        <f t="shared" ref="H16:L16" si="13">G16*(1+$G$3)</f>
        <v>7658343.1144365678</v>
      </c>
      <c r="I16" s="473">
        <f t="shared" si="13"/>
        <v>8029582.4022511905</v>
      </c>
      <c r="J16" s="473">
        <f t="shared" si="13"/>
        <v>8418817.5681242552</v>
      </c>
      <c r="K16" s="473">
        <f t="shared" si="13"/>
        <v>8826920.9648420215</v>
      </c>
      <c r="L16" s="473">
        <f t="shared" si="13"/>
        <v>9254807.2326179724</v>
      </c>
      <c r="M16" s="476" t="s">
        <v>1257</v>
      </c>
    </row>
    <row r="17" spans="1:15">
      <c r="A17" s="989"/>
      <c r="B17" s="472" t="s">
        <v>1258</v>
      </c>
      <c r="C17" s="473">
        <v>280000</v>
      </c>
      <c r="D17" s="473">
        <f>C17*(1+$D$3)</f>
        <v>296800</v>
      </c>
      <c r="E17" s="473">
        <f>D17*(1+$E$3)</f>
        <v>310445.42283767293</v>
      </c>
      <c r="F17" s="473">
        <f>E17*(1+$F$3)</f>
        <v>325106.25273832318</v>
      </c>
      <c r="G17" s="473">
        <f>F17*(1+$G$3)</f>
        <v>340865.82526297821</v>
      </c>
      <c r="H17" s="473">
        <f t="shared" ref="H17:L17" si="14">G17*(1+$G$3)</f>
        <v>357389.34534037311</v>
      </c>
      <c r="I17" s="473">
        <f t="shared" si="14"/>
        <v>374713.84543838882</v>
      </c>
      <c r="J17" s="473">
        <f t="shared" si="14"/>
        <v>392878.1531791318</v>
      </c>
      <c r="K17" s="473">
        <f t="shared" si="14"/>
        <v>411922.97835929424</v>
      </c>
      <c r="L17" s="473">
        <f t="shared" si="14"/>
        <v>431891.00418883859</v>
      </c>
      <c r="M17" s="474" t="s">
        <v>1259</v>
      </c>
      <c r="N17" s="477"/>
      <c r="O17" s="477"/>
    </row>
    <row r="18" spans="1:15">
      <c r="A18" s="989"/>
      <c r="B18" s="472" t="s">
        <v>1260</v>
      </c>
      <c r="C18" s="473">
        <v>2000000</v>
      </c>
      <c r="D18" s="473">
        <f>C18*(1+$D$3)</f>
        <v>2120000</v>
      </c>
      <c r="E18" s="473">
        <f>D18*(1+$E$3)</f>
        <v>2217467.3059833781</v>
      </c>
      <c r="F18" s="473">
        <f>E18*(1+$F$3)</f>
        <v>2322187.5195594514</v>
      </c>
      <c r="G18" s="473">
        <f>F18*(1+$G$3)</f>
        <v>2434755.8947355589</v>
      </c>
      <c r="H18" s="473">
        <f t="shared" ref="H18:L18" si="15">G18*(1+$G$3)</f>
        <v>2552781.0381455226</v>
      </c>
      <c r="I18" s="473">
        <f t="shared" si="15"/>
        <v>2676527.4674170632</v>
      </c>
      <c r="J18" s="473">
        <f t="shared" si="15"/>
        <v>2806272.5227080844</v>
      </c>
      <c r="K18" s="473">
        <f t="shared" si="15"/>
        <v>2942306.988280673</v>
      </c>
      <c r="L18" s="473">
        <f t="shared" si="15"/>
        <v>3084935.7442059899</v>
      </c>
      <c r="M18" s="474" t="s">
        <v>1261</v>
      </c>
      <c r="N18" s="477"/>
    </row>
    <row r="19" spans="1:15" ht="25.5">
      <c r="A19" s="989"/>
      <c r="B19" s="472" t="s">
        <v>1262</v>
      </c>
      <c r="C19" s="473">
        <v>2500000</v>
      </c>
      <c r="D19" s="473">
        <f>C19*(1+$D$3)</f>
        <v>2650000</v>
      </c>
      <c r="E19" s="473">
        <f>D19*(1+$E$3)</f>
        <v>2771834.132479223</v>
      </c>
      <c r="F19" s="473">
        <f>E19*(1+$F$3)</f>
        <v>2902734.3994493145</v>
      </c>
      <c r="G19" s="473">
        <f>F19*(1+$G$3)</f>
        <v>3043444.8684194488</v>
      </c>
      <c r="H19" s="473">
        <f t="shared" ref="H19:L19" si="16">G19*(1+$G$3)</f>
        <v>3190976.2976819035</v>
      </c>
      <c r="I19" s="473">
        <f t="shared" si="16"/>
        <v>3345659.3342713295</v>
      </c>
      <c r="J19" s="473">
        <f t="shared" si="16"/>
        <v>3507840.6533851065</v>
      </c>
      <c r="K19" s="473">
        <f t="shared" si="16"/>
        <v>3677883.7353508426</v>
      </c>
      <c r="L19" s="473">
        <f t="shared" si="16"/>
        <v>3856169.6802574885</v>
      </c>
      <c r="M19" s="472" t="s">
        <v>1257</v>
      </c>
      <c r="N19" s="477"/>
    </row>
    <row r="20" spans="1:15">
      <c r="A20" s="989"/>
      <c r="B20" s="472" t="s">
        <v>1263</v>
      </c>
      <c r="C20" s="473">
        <v>3000000</v>
      </c>
      <c r="D20" s="473">
        <f>C20*(1+$D$3)</f>
        <v>3180000</v>
      </c>
      <c r="E20" s="473">
        <f>D20*(1+$E$3)</f>
        <v>3326200.9589750674</v>
      </c>
      <c r="F20" s="473">
        <f>E20*(1+$F$3)</f>
        <v>3483281.2793391771</v>
      </c>
      <c r="G20" s="473">
        <f>F20*(1+$G$3)</f>
        <v>3652133.8421033383</v>
      </c>
      <c r="H20" s="473">
        <f t="shared" ref="H20:L20" si="17">G20*(1+$G$3)</f>
        <v>3829171.5572182839</v>
      </c>
      <c r="I20" s="473">
        <f t="shared" si="17"/>
        <v>4014791.2011255953</v>
      </c>
      <c r="J20" s="473">
        <f t="shared" si="17"/>
        <v>4209408.7840621276</v>
      </c>
      <c r="K20" s="473">
        <f t="shared" si="17"/>
        <v>4413460.4824210107</v>
      </c>
      <c r="L20" s="473">
        <f t="shared" si="17"/>
        <v>4627403.6163089862</v>
      </c>
      <c r="M20" s="474" t="s">
        <v>1257</v>
      </c>
      <c r="N20" s="477"/>
    </row>
    <row r="21" spans="1:15">
      <c r="A21" s="989"/>
      <c r="B21" s="217" t="s">
        <v>396</v>
      </c>
      <c r="C21" s="475">
        <f>SUM(C16:C20)</f>
        <v>13780000</v>
      </c>
      <c r="D21" s="475">
        <f>SUM(D16:D20)</f>
        <v>14606800</v>
      </c>
      <c r="E21" s="475">
        <f>SUM(E16:E20)</f>
        <v>15278349.738225475</v>
      </c>
      <c r="F21" s="475">
        <f>SUM(F16:F20)</f>
        <v>15999872.009764621</v>
      </c>
      <c r="G21" s="475">
        <f>SUM(G16:G20)</f>
        <v>16775468.114728002</v>
      </c>
      <c r="H21" s="475">
        <f t="shared" ref="H21:L21" si="18">SUM(H16:H20)</f>
        <v>17588661.35282265</v>
      </c>
      <c r="I21" s="475">
        <f t="shared" si="18"/>
        <v>18441274.250503566</v>
      </c>
      <c r="J21" s="475">
        <f t="shared" si="18"/>
        <v>19335217.681458704</v>
      </c>
      <c r="K21" s="475">
        <f t="shared" si="18"/>
        <v>20272495.149253841</v>
      </c>
      <c r="L21" s="475">
        <f t="shared" si="18"/>
        <v>21255207.277579278</v>
      </c>
      <c r="M21" s="474"/>
    </row>
    <row r="22" spans="1:15" ht="25.5">
      <c r="A22" s="989" t="s">
        <v>1264</v>
      </c>
      <c r="B22" s="472" t="s">
        <v>1265</v>
      </c>
      <c r="C22" s="473">
        <v>2000000</v>
      </c>
      <c r="D22" s="473">
        <f>C22*(1+$D$3)</f>
        <v>2120000</v>
      </c>
      <c r="E22" s="473">
        <f>D22*(1+$E$3)</f>
        <v>2217467.3059833781</v>
      </c>
      <c r="F22" s="473">
        <f>E22*(1+$F$3)</f>
        <v>2322187.5195594514</v>
      </c>
      <c r="G22" s="473">
        <f>F22*(1+$G$3)</f>
        <v>2434755.8947355589</v>
      </c>
      <c r="H22" s="473">
        <f t="shared" ref="H22:L22" si="19">G22*(1+$G$3)</f>
        <v>2552781.0381455226</v>
      </c>
      <c r="I22" s="473">
        <f t="shared" si="19"/>
        <v>2676527.4674170632</v>
      </c>
      <c r="J22" s="473">
        <f t="shared" si="19"/>
        <v>2806272.5227080844</v>
      </c>
      <c r="K22" s="473">
        <f t="shared" si="19"/>
        <v>2942306.988280673</v>
      </c>
      <c r="L22" s="473">
        <f t="shared" si="19"/>
        <v>3084935.7442059899</v>
      </c>
      <c r="M22" s="472" t="s">
        <v>1257</v>
      </c>
    </row>
    <row r="23" spans="1:15" ht="25.5">
      <c r="A23" s="989"/>
      <c r="B23" s="472" t="s">
        <v>1266</v>
      </c>
      <c r="C23" s="473">
        <v>800000</v>
      </c>
      <c r="D23" s="473">
        <f>C23*(1+$D$3)</f>
        <v>848000</v>
      </c>
      <c r="E23" s="473">
        <f>D23*(1+$E$3)</f>
        <v>886986.92239335133</v>
      </c>
      <c r="F23" s="473">
        <f>E23*(1+$F$3)</f>
        <v>928875.00782378064</v>
      </c>
      <c r="G23" s="473">
        <f>F23*(1+$G$3)</f>
        <v>973902.35789422365</v>
      </c>
      <c r="H23" s="473">
        <f t="shared" ref="H23:L23" si="20">G23*(1+$G$3)</f>
        <v>1021112.4152582091</v>
      </c>
      <c r="I23" s="473">
        <f t="shared" si="20"/>
        <v>1070610.9869668253</v>
      </c>
      <c r="J23" s="473">
        <f t="shared" si="20"/>
        <v>1122509.009083234</v>
      </c>
      <c r="K23" s="473">
        <f t="shared" si="20"/>
        <v>1176922.7953122696</v>
      </c>
      <c r="L23" s="473">
        <f t="shared" si="20"/>
        <v>1233974.2976823964</v>
      </c>
      <c r="M23" s="472" t="s">
        <v>1257</v>
      </c>
    </row>
    <row r="24" spans="1:15">
      <c r="A24" s="989"/>
      <c r="B24" s="217" t="s">
        <v>396</v>
      </c>
      <c r="C24" s="475">
        <f>SUM(C22:C23)</f>
        <v>2800000</v>
      </c>
      <c r="D24" s="475">
        <f>SUM(D22:D23)</f>
        <v>2968000</v>
      </c>
      <c r="E24" s="475">
        <f>SUM(E22:E23)</f>
        <v>3104454.2283767294</v>
      </c>
      <c r="F24" s="475">
        <f>SUM(F22:F23)</f>
        <v>3251062.527383232</v>
      </c>
      <c r="G24" s="475">
        <f>SUM(G22:G23)</f>
        <v>3408658.2526297825</v>
      </c>
      <c r="H24" s="475">
        <f t="shared" ref="H24:L24" si="21">SUM(H22:H23)</f>
        <v>3573893.4534037318</v>
      </c>
      <c r="I24" s="475">
        <f t="shared" si="21"/>
        <v>3747138.4543838883</v>
      </c>
      <c r="J24" s="475">
        <f t="shared" si="21"/>
        <v>3928781.5317913182</v>
      </c>
      <c r="K24" s="475">
        <f t="shared" si="21"/>
        <v>4119229.7835929426</v>
      </c>
      <c r="L24" s="475">
        <f t="shared" si="21"/>
        <v>4318910.041888386</v>
      </c>
      <c r="M24" s="474"/>
    </row>
    <row r="25" spans="1:15" ht="25.5">
      <c r="A25" s="989" t="s">
        <v>1267</v>
      </c>
      <c r="B25" s="472" t="s">
        <v>1265</v>
      </c>
      <c r="C25" s="473">
        <v>1500000</v>
      </c>
      <c r="D25" s="473">
        <f>C25*(1+$D$3)</f>
        <v>1590000</v>
      </c>
      <c r="E25" s="473">
        <f>D25*(1+$E$3)</f>
        <v>1663100.4794875337</v>
      </c>
      <c r="F25" s="473">
        <f>E25*(1+$F$3)</f>
        <v>1741640.6396695885</v>
      </c>
      <c r="G25" s="473">
        <f>F25*(1+$G$3)</f>
        <v>1826066.9210516692</v>
      </c>
      <c r="H25" s="473">
        <f t="shared" ref="H25:L25" si="22">G25*(1+$G$3)</f>
        <v>1914585.7786091419</v>
      </c>
      <c r="I25" s="473">
        <f t="shared" si="22"/>
        <v>2007395.6005627976</v>
      </c>
      <c r="J25" s="473">
        <f t="shared" si="22"/>
        <v>2104704.3920310638</v>
      </c>
      <c r="K25" s="473">
        <f t="shared" si="22"/>
        <v>2206730.2412105054</v>
      </c>
      <c r="L25" s="473">
        <f t="shared" si="22"/>
        <v>2313701.8081544931</v>
      </c>
      <c r="M25" s="472" t="s">
        <v>1257</v>
      </c>
    </row>
    <row r="26" spans="1:15" ht="25.5">
      <c r="A26" s="989"/>
      <c r="B26" s="472" t="s">
        <v>1268</v>
      </c>
      <c r="C26" s="473">
        <v>800000</v>
      </c>
      <c r="D26" s="473">
        <f>C26*(1+$D$3)</f>
        <v>848000</v>
      </c>
      <c r="E26" s="473">
        <f>D26*(1+$E$3)</f>
        <v>886986.92239335133</v>
      </c>
      <c r="F26" s="473">
        <f>E26*(1+$F$3)</f>
        <v>928875.00782378064</v>
      </c>
      <c r="G26" s="473">
        <f>F26*(1+$G$3)</f>
        <v>973902.35789422365</v>
      </c>
      <c r="H26" s="473">
        <f t="shared" ref="H26:L26" si="23">G26*(1+$G$3)</f>
        <v>1021112.4152582091</v>
      </c>
      <c r="I26" s="473">
        <f t="shared" si="23"/>
        <v>1070610.9869668253</v>
      </c>
      <c r="J26" s="473">
        <f t="shared" si="23"/>
        <v>1122509.009083234</v>
      </c>
      <c r="K26" s="473">
        <f t="shared" si="23"/>
        <v>1176922.7953122696</v>
      </c>
      <c r="L26" s="473">
        <f t="shared" si="23"/>
        <v>1233974.2976823964</v>
      </c>
      <c r="M26" s="472" t="s">
        <v>1257</v>
      </c>
    </row>
    <row r="27" spans="1:15">
      <c r="A27" s="989"/>
      <c r="B27" s="217" t="s">
        <v>396</v>
      </c>
      <c r="C27" s="475">
        <f>SUM(C25:C26)</f>
        <v>2300000</v>
      </c>
      <c r="D27" s="475">
        <f>SUM(D25:D26)</f>
        <v>2438000</v>
      </c>
      <c r="E27" s="475">
        <f>SUM(E25:E26)</f>
        <v>2550087.401880885</v>
      </c>
      <c r="F27" s="475">
        <f>SUM(F25:F26)</f>
        <v>2670515.6474933689</v>
      </c>
      <c r="G27" s="475">
        <f>SUM(G25:G26)</f>
        <v>2799969.278945893</v>
      </c>
      <c r="H27" s="475">
        <f t="shared" ref="H27:L27" si="24">SUM(H25:H26)</f>
        <v>2935698.1938673509</v>
      </c>
      <c r="I27" s="475">
        <f t="shared" si="24"/>
        <v>3078006.5875296229</v>
      </c>
      <c r="J27" s="475">
        <f t="shared" si="24"/>
        <v>3227213.401114298</v>
      </c>
      <c r="K27" s="475">
        <f t="shared" si="24"/>
        <v>3383653.036522775</v>
      </c>
      <c r="L27" s="475">
        <f t="shared" si="24"/>
        <v>3547676.1058368897</v>
      </c>
      <c r="M27" s="474"/>
    </row>
    <row r="28" spans="1:15">
      <c r="A28" s="989" t="s">
        <v>1269</v>
      </c>
      <c r="B28" s="472" t="s">
        <v>1270</v>
      </c>
      <c r="C28" s="473">
        <v>500000</v>
      </c>
      <c r="D28" s="473">
        <f t="shared" ref="D28:D29" si="25">C28*(1+$D$3)</f>
        <v>530000</v>
      </c>
      <c r="E28" s="473">
        <f t="shared" ref="E28:E29" si="26">D28*(1+$E$3)</f>
        <v>554366.82649584452</v>
      </c>
      <c r="F28" s="473">
        <f t="shared" ref="F28:F29" si="27">E28*(1+$F$3)</f>
        <v>580546.87988986284</v>
      </c>
      <c r="G28" s="473">
        <f t="shared" ref="G28:G29" si="28">F28*(1+$G$3)</f>
        <v>608688.97368388972</v>
      </c>
      <c r="H28" s="473">
        <f t="shared" ref="H28:H29" si="29">G28*(1+$G$3)</f>
        <v>638195.25953638065</v>
      </c>
      <c r="I28" s="473">
        <f t="shared" ref="I28:I29" si="30">H28*(1+$G$3)</f>
        <v>669131.8668542658</v>
      </c>
      <c r="J28" s="473">
        <f t="shared" ref="J28:J29" si="31">I28*(1+$G$3)</f>
        <v>701568.13067702111</v>
      </c>
      <c r="K28" s="473">
        <f t="shared" ref="K28:K29" si="32">J28*(1+$G$3)</f>
        <v>735576.74707016826</v>
      </c>
      <c r="L28" s="473">
        <f t="shared" ref="L28:L29" si="33">K28*(1+$G$3)</f>
        <v>771233.93605149747</v>
      </c>
      <c r="M28" s="472"/>
    </row>
    <row r="29" spans="1:15">
      <c r="A29" s="989"/>
      <c r="B29" s="472" t="s">
        <v>1260</v>
      </c>
      <c r="C29" s="473">
        <v>2000000</v>
      </c>
      <c r="D29" s="473">
        <f t="shared" si="25"/>
        <v>2120000</v>
      </c>
      <c r="E29" s="473">
        <f t="shared" si="26"/>
        <v>2217467.3059833781</v>
      </c>
      <c r="F29" s="473">
        <f t="shared" si="27"/>
        <v>2322187.5195594514</v>
      </c>
      <c r="G29" s="473">
        <f t="shared" si="28"/>
        <v>2434755.8947355589</v>
      </c>
      <c r="H29" s="473">
        <f t="shared" si="29"/>
        <v>2552781.0381455226</v>
      </c>
      <c r="I29" s="473">
        <f t="shared" si="30"/>
        <v>2676527.4674170632</v>
      </c>
      <c r="J29" s="473">
        <f t="shared" si="31"/>
        <v>2806272.5227080844</v>
      </c>
      <c r="K29" s="473">
        <f t="shared" si="32"/>
        <v>2942306.988280673</v>
      </c>
      <c r="L29" s="473">
        <f t="shared" si="33"/>
        <v>3084935.7442059899</v>
      </c>
      <c r="M29" s="472"/>
    </row>
    <row r="30" spans="1:15">
      <c r="A30" s="989"/>
      <c r="B30" s="217" t="s">
        <v>396</v>
      </c>
      <c r="C30" s="475">
        <f>SUM(C28:C29)</f>
        <v>2500000</v>
      </c>
      <c r="D30" s="475">
        <f>SUM(D28:D29)</f>
        <v>2650000</v>
      </c>
      <c r="E30" s="475">
        <f>SUM(E28:E29)</f>
        <v>2771834.1324792225</v>
      </c>
      <c r="F30" s="475">
        <f>SUM(F28:F29)</f>
        <v>2902734.399449314</v>
      </c>
      <c r="G30" s="475">
        <f>SUM(G28:G29)</f>
        <v>3043444.8684194488</v>
      </c>
      <c r="H30" s="475">
        <f t="shared" ref="H30:L30" si="34">SUM(H28:H29)</f>
        <v>3190976.2976819035</v>
      </c>
      <c r="I30" s="475">
        <f t="shared" si="34"/>
        <v>3345659.334271329</v>
      </c>
      <c r="J30" s="475">
        <f t="shared" si="34"/>
        <v>3507840.6533851055</v>
      </c>
      <c r="K30" s="475">
        <f t="shared" si="34"/>
        <v>3677883.7353508412</v>
      </c>
      <c r="L30" s="475">
        <f t="shared" si="34"/>
        <v>3856169.6802574871</v>
      </c>
      <c r="M30" s="474"/>
    </row>
    <row r="31" spans="1:15" ht="25.5">
      <c r="A31" s="989" t="s">
        <v>392</v>
      </c>
      <c r="B31" s="472" t="s">
        <v>1271</v>
      </c>
      <c r="C31" s="473">
        <v>4000000</v>
      </c>
      <c r="D31" s="473">
        <f>C31*(1+$D$3)</f>
        <v>4240000</v>
      </c>
      <c r="E31" s="473">
        <f>D31*(1+$E$3)</f>
        <v>4434934.6119667562</v>
      </c>
      <c r="F31" s="473">
        <f>E31*(1+$F$3)</f>
        <v>4644375.0391189028</v>
      </c>
      <c r="G31" s="473">
        <f>F31*(1+$G$3)</f>
        <v>4869511.7894711178</v>
      </c>
      <c r="H31" s="473">
        <f t="shared" ref="H31:L31" si="35">G31*(1+$G$3)</f>
        <v>5105562.0762910452</v>
      </c>
      <c r="I31" s="473">
        <f t="shared" si="35"/>
        <v>5353054.9348341264</v>
      </c>
      <c r="J31" s="473">
        <f t="shared" si="35"/>
        <v>5612545.0454161689</v>
      </c>
      <c r="K31" s="473">
        <f t="shared" si="35"/>
        <v>5884613.9765613461</v>
      </c>
      <c r="L31" s="473">
        <f t="shared" si="35"/>
        <v>6169871.4884119797</v>
      </c>
      <c r="M31" s="472" t="s">
        <v>1257</v>
      </c>
    </row>
    <row r="32" spans="1:15">
      <c r="A32" s="989"/>
      <c r="B32" s="472" t="s">
        <v>1258</v>
      </c>
      <c r="C32" s="473">
        <v>210000</v>
      </c>
      <c r="D32" s="473">
        <f>C32*(1+$D$3)</f>
        <v>222600</v>
      </c>
      <c r="E32" s="473">
        <f>D32*(1+$E$3)</f>
        <v>232834.06712825471</v>
      </c>
      <c r="F32" s="473">
        <f>E32*(1+$F$3)</f>
        <v>243829.68955374238</v>
      </c>
      <c r="G32" s="473">
        <f>F32*(1+$G$3)</f>
        <v>255649.36894723368</v>
      </c>
      <c r="H32" s="473">
        <f t="shared" ref="H32:L32" si="36">G32*(1+$G$3)</f>
        <v>268042.00900527986</v>
      </c>
      <c r="I32" s="473">
        <f t="shared" si="36"/>
        <v>281035.38407879166</v>
      </c>
      <c r="J32" s="473">
        <f t="shared" si="36"/>
        <v>294658.61488434894</v>
      </c>
      <c r="K32" s="473">
        <f t="shared" si="36"/>
        <v>308942.23376947077</v>
      </c>
      <c r="L32" s="473">
        <f t="shared" si="36"/>
        <v>323918.25314162904</v>
      </c>
      <c r="M32" s="474" t="s">
        <v>1259</v>
      </c>
    </row>
    <row r="33" spans="1:13">
      <c r="A33" s="989"/>
      <c r="B33" s="472" t="s">
        <v>1272</v>
      </c>
      <c r="C33" s="473">
        <v>600000</v>
      </c>
      <c r="D33" s="473">
        <f>C33*(1+$D$3)</f>
        <v>636000</v>
      </c>
      <c r="E33" s="473">
        <f>D33*(1+$E$3)</f>
        <v>665240.1917950135</v>
      </c>
      <c r="F33" s="473">
        <f>E33*(1+$F$3)</f>
        <v>696656.25586783548</v>
      </c>
      <c r="G33" s="473">
        <f>F33*(1+$G$3)</f>
        <v>730426.76842066774</v>
      </c>
      <c r="H33" s="473">
        <f t="shared" ref="H33:L33" si="37">G33*(1+$G$3)</f>
        <v>765834.3114436568</v>
      </c>
      <c r="I33" s="473">
        <f t="shared" si="37"/>
        <v>802958.24022511905</v>
      </c>
      <c r="J33" s="473">
        <f t="shared" si="37"/>
        <v>841881.75681242545</v>
      </c>
      <c r="K33" s="473">
        <f t="shared" si="37"/>
        <v>882692.09648420208</v>
      </c>
      <c r="L33" s="473">
        <f t="shared" si="37"/>
        <v>925480.7232617971</v>
      </c>
      <c r="M33" s="474" t="s">
        <v>1261</v>
      </c>
    </row>
    <row r="34" spans="1:13">
      <c r="A34" s="989"/>
      <c r="B34" s="472" t="s">
        <v>1273</v>
      </c>
      <c r="C34" s="473">
        <v>500000</v>
      </c>
      <c r="D34" s="473">
        <f>C34*(1+$D$3)</f>
        <v>530000</v>
      </c>
      <c r="E34" s="473">
        <f>D34*(1+$E$3)</f>
        <v>554366.82649584452</v>
      </c>
      <c r="F34" s="473">
        <f>E34*(1+$F$3)</f>
        <v>580546.87988986284</v>
      </c>
      <c r="G34" s="473">
        <f>F34*(1+$G$3)</f>
        <v>608688.97368388972</v>
      </c>
      <c r="H34" s="473">
        <f t="shared" ref="H34:L34" si="38">G34*(1+$G$3)</f>
        <v>638195.25953638065</v>
      </c>
      <c r="I34" s="473">
        <f t="shared" si="38"/>
        <v>669131.8668542658</v>
      </c>
      <c r="J34" s="473">
        <f t="shared" si="38"/>
        <v>701568.13067702111</v>
      </c>
      <c r="K34" s="473">
        <f t="shared" si="38"/>
        <v>735576.74707016826</v>
      </c>
      <c r="L34" s="473">
        <f t="shared" si="38"/>
        <v>771233.93605149747</v>
      </c>
      <c r="M34" s="474" t="s">
        <v>1257</v>
      </c>
    </row>
    <row r="35" spans="1:13">
      <c r="A35" s="989"/>
      <c r="B35" s="472" t="s">
        <v>1263</v>
      </c>
      <c r="C35" s="473">
        <v>300000</v>
      </c>
      <c r="D35" s="473">
        <f>C35*(1+$D$3)</f>
        <v>318000</v>
      </c>
      <c r="E35" s="473">
        <f>D35*(1+$E$3)</f>
        <v>332620.09589750675</v>
      </c>
      <c r="F35" s="473">
        <f>E35*(1+$F$3)</f>
        <v>348328.12793391774</v>
      </c>
      <c r="G35" s="473">
        <f>F35*(1+$G$3)</f>
        <v>365213.38421033387</v>
      </c>
      <c r="H35" s="473">
        <f t="shared" ref="H35:L35" si="39">G35*(1+$G$3)</f>
        <v>382917.1557218284</v>
      </c>
      <c r="I35" s="473">
        <f t="shared" si="39"/>
        <v>401479.12011255953</v>
      </c>
      <c r="J35" s="473">
        <f t="shared" si="39"/>
        <v>420940.87840621272</v>
      </c>
      <c r="K35" s="473">
        <f t="shared" si="39"/>
        <v>441346.04824210104</v>
      </c>
      <c r="L35" s="473">
        <f t="shared" si="39"/>
        <v>462740.36163089855</v>
      </c>
      <c r="M35" s="474" t="s">
        <v>1257</v>
      </c>
    </row>
    <row r="36" spans="1:13">
      <c r="A36" s="989"/>
      <c r="B36" s="217" t="s">
        <v>396</v>
      </c>
      <c r="C36" s="475">
        <f>SUM(C31:C35)</f>
        <v>5610000</v>
      </c>
      <c r="D36" s="475">
        <f>SUM(D31:D35)</f>
        <v>5946600</v>
      </c>
      <c r="E36" s="475">
        <f>SUM(E31:E35)</f>
        <v>6219995.7932833768</v>
      </c>
      <c r="F36" s="475">
        <f>SUM(F31:F35)</f>
        <v>6513735.9923642604</v>
      </c>
      <c r="G36" s="475">
        <f>SUM(G31:G35)</f>
        <v>6829490.2847332433</v>
      </c>
      <c r="H36" s="475">
        <f t="shared" ref="H36:L36" si="40">SUM(H31:H35)</f>
        <v>7160550.8119981913</v>
      </c>
      <c r="I36" s="475">
        <f t="shared" si="40"/>
        <v>7507659.5461048624</v>
      </c>
      <c r="J36" s="475">
        <f t="shared" si="40"/>
        <v>7871594.4261961766</v>
      </c>
      <c r="K36" s="475">
        <f t="shared" si="40"/>
        <v>8253171.1021272885</v>
      </c>
      <c r="L36" s="475">
        <f t="shared" si="40"/>
        <v>8653244.7624978013</v>
      </c>
      <c r="M36" s="474"/>
    </row>
    <row r="37" spans="1:13" ht="25.5">
      <c r="A37" s="989" t="s">
        <v>393</v>
      </c>
      <c r="B37" s="472" t="s">
        <v>1271</v>
      </c>
      <c r="C37" s="473">
        <v>1000000</v>
      </c>
      <c r="D37" s="473">
        <f>C37*(1+$D$3)</f>
        <v>1060000</v>
      </c>
      <c r="E37" s="473">
        <f>D37*(1+$E$3)</f>
        <v>1108733.652991689</v>
      </c>
      <c r="F37" s="473">
        <f>E37*(1+$F$3)</f>
        <v>1161093.7597797257</v>
      </c>
      <c r="G37" s="473">
        <f>F37*(1+$G$3)</f>
        <v>1217377.9473677794</v>
      </c>
      <c r="H37" s="473">
        <f t="shared" ref="H37:L37" si="41">G37*(1+$G$3)</f>
        <v>1276390.5190727613</v>
      </c>
      <c r="I37" s="473">
        <f t="shared" si="41"/>
        <v>1338263.7337085316</v>
      </c>
      <c r="J37" s="473">
        <f t="shared" si="41"/>
        <v>1403136.2613540422</v>
      </c>
      <c r="K37" s="473">
        <f t="shared" si="41"/>
        <v>1471153.4941403365</v>
      </c>
      <c r="L37" s="473">
        <f t="shared" si="41"/>
        <v>1542467.8721029949</v>
      </c>
      <c r="M37" s="472" t="s">
        <v>1257</v>
      </c>
    </row>
    <row r="38" spans="1:13">
      <c r="A38" s="989"/>
      <c r="B38" s="472" t="s">
        <v>1258</v>
      </c>
      <c r="C38" s="473">
        <v>210000</v>
      </c>
      <c r="D38" s="473">
        <f>C38*(1+$D$3)</f>
        <v>222600</v>
      </c>
      <c r="E38" s="473">
        <f>D38*(1+$E$3)</f>
        <v>232834.06712825471</v>
      </c>
      <c r="F38" s="473">
        <f>E38*(1+$F$3)</f>
        <v>243829.68955374238</v>
      </c>
      <c r="G38" s="473">
        <f>F38*(1+$G$3)</f>
        <v>255649.36894723368</v>
      </c>
      <c r="H38" s="473">
        <f t="shared" ref="H38:L38" si="42">G38*(1+$G$3)</f>
        <v>268042.00900527986</v>
      </c>
      <c r="I38" s="473">
        <f t="shared" si="42"/>
        <v>281035.38407879166</v>
      </c>
      <c r="J38" s="473">
        <f t="shared" si="42"/>
        <v>294658.61488434894</v>
      </c>
      <c r="K38" s="473">
        <f t="shared" si="42"/>
        <v>308942.23376947077</v>
      </c>
      <c r="L38" s="473">
        <f t="shared" si="42"/>
        <v>323918.25314162904</v>
      </c>
      <c r="M38" s="474" t="s">
        <v>1259</v>
      </c>
    </row>
    <row r="39" spans="1:13">
      <c r="A39" s="989"/>
      <c r="B39" s="472" t="s">
        <v>1272</v>
      </c>
      <c r="C39" s="473">
        <v>600000</v>
      </c>
      <c r="D39" s="473">
        <f>C39*(1+$D$3)</f>
        <v>636000</v>
      </c>
      <c r="E39" s="473">
        <f>D39*(1+$E$3)</f>
        <v>665240.1917950135</v>
      </c>
      <c r="F39" s="473">
        <f>E39*(1+$F$3)</f>
        <v>696656.25586783548</v>
      </c>
      <c r="G39" s="473">
        <f>F39*(1+$G$3)</f>
        <v>730426.76842066774</v>
      </c>
      <c r="H39" s="473">
        <f t="shared" ref="H39:L39" si="43">G39*(1+$G$3)</f>
        <v>765834.3114436568</v>
      </c>
      <c r="I39" s="473">
        <f t="shared" si="43"/>
        <v>802958.24022511905</v>
      </c>
      <c r="J39" s="473">
        <f t="shared" si="43"/>
        <v>841881.75681242545</v>
      </c>
      <c r="K39" s="473">
        <f t="shared" si="43"/>
        <v>882692.09648420208</v>
      </c>
      <c r="L39" s="473">
        <f t="shared" si="43"/>
        <v>925480.7232617971</v>
      </c>
      <c r="M39" s="474" t="s">
        <v>1261</v>
      </c>
    </row>
    <row r="40" spans="1:13">
      <c r="A40" s="989"/>
      <c r="B40" s="472" t="s">
        <v>1273</v>
      </c>
      <c r="C40" s="473">
        <v>500000</v>
      </c>
      <c r="D40" s="473">
        <f>C40*(1+$D$3)</f>
        <v>530000</v>
      </c>
      <c r="E40" s="473">
        <f>D40*(1+$E$3)</f>
        <v>554366.82649584452</v>
      </c>
      <c r="F40" s="473">
        <f>E40*(1+$F$3)</f>
        <v>580546.87988986284</v>
      </c>
      <c r="G40" s="473">
        <f>F40*(1+$G$3)</f>
        <v>608688.97368388972</v>
      </c>
      <c r="H40" s="473">
        <f t="shared" ref="H40:L40" si="44">G40*(1+$G$3)</f>
        <v>638195.25953638065</v>
      </c>
      <c r="I40" s="473">
        <f t="shared" si="44"/>
        <v>669131.8668542658</v>
      </c>
      <c r="J40" s="473">
        <f t="shared" si="44"/>
        <v>701568.13067702111</v>
      </c>
      <c r="K40" s="473">
        <f t="shared" si="44"/>
        <v>735576.74707016826</v>
      </c>
      <c r="L40" s="473">
        <f t="shared" si="44"/>
        <v>771233.93605149747</v>
      </c>
      <c r="M40" s="474" t="s">
        <v>1257</v>
      </c>
    </row>
    <row r="41" spans="1:13">
      <c r="A41" s="989"/>
      <c r="B41" s="472" t="s">
        <v>1263</v>
      </c>
      <c r="C41" s="473">
        <v>300000</v>
      </c>
      <c r="D41" s="473">
        <f>C41*(1+$D$3)</f>
        <v>318000</v>
      </c>
      <c r="E41" s="473">
        <f>D41*(1+$E$3)</f>
        <v>332620.09589750675</v>
      </c>
      <c r="F41" s="473">
        <f>E41*(1+$F$3)</f>
        <v>348328.12793391774</v>
      </c>
      <c r="G41" s="473">
        <f>F41*(1+$G$3)</f>
        <v>365213.38421033387</v>
      </c>
      <c r="H41" s="473">
        <f t="shared" ref="H41:L41" si="45">G41*(1+$G$3)</f>
        <v>382917.1557218284</v>
      </c>
      <c r="I41" s="473">
        <f t="shared" si="45"/>
        <v>401479.12011255953</v>
      </c>
      <c r="J41" s="473">
        <f t="shared" si="45"/>
        <v>420940.87840621272</v>
      </c>
      <c r="K41" s="473">
        <f t="shared" si="45"/>
        <v>441346.04824210104</v>
      </c>
      <c r="L41" s="473">
        <f t="shared" si="45"/>
        <v>462740.36163089855</v>
      </c>
      <c r="M41" s="474" t="s">
        <v>1257</v>
      </c>
    </row>
    <row r="42" spans="1:13">
      <c r="A42" s="989"/>
      <c r="B42" s="217" t="s">
        <v>396</v>
      </c>
      <c r="C42" s="475">
        <f>SUM(C37:C41)</f>
        <v>2610000</v>
      </c>
      <c r="D42" s="475">
        <f>SUM(D37:D41)</f>
        <v>2766600</v>
      </c>
      <c r="E42" s="475">
        <f>SUM(E37:E41)</f>
        <v>2893794.8343083085</v>
      </c>
      <c r="F42" s="475">
        <f>SUM(F37:F41)</f>
        <v>3030454.7130250838</v>
      </c>
      <c r="G42" s="475">
        <f>SUM(G37:G41)</f>
        <v>3177356.442629904</v>
      </c>
      <c r="H42" s="475">
        <f t="shared" ref="H42:L42" si="46">SUM(H37:H41)</f>
        <v>3331379.2547799069</v>
      </c>
      <c r="I42" s="475">
        <f t="shared" si="46"/>
        <v>3492868.3449792676</v>
      </c>
      <c r="J42" s="475">
        <f t="shared" si="46"/>
        <v>3662185.6421340504</v>
      </c>
      <c r="K42" s="475">
        <f t="shared" si="46"/>
        <v>3839710.6197062787</v>
      </c>
      <c r="L42" s="475">
        <f t="shared" si="46"/>
        <v>4025841.1461888165</v>
      </c>
      <c r="M42" s="474"/>
    </row>
    <row r="43" spans="1:13" ht="25.5">
      <c r="A43" s="989" t="s">
        <v>394</v>
      </c>
      <c r="B43" s="472" t="s">
        <v>1271</v>
      </c>
      <c r="C43" s="473">
        <v>3000000</v>
      </c>
      <c r="D43" s="473">
        <f>C43*(1+$D$3)</f>
        <v>3180000</v>
      </c>
      <c r="E43" s="473">
        <f>D43*(1+$E$3)</f>
        <v>3326200.9589750674</v>
      </c>
      <c r="F43" s="473">
        <f>E43*(1+$F$3)</f>
        <v>3483281.2793391771</v>
      </c>
      <c r="G43" s="473">
        <f>F43*(1+$G$3)</f>
        <v>3652133.8421033383</v>
      </c>
      <c r="H43" s="473">
        <f t="shared" ref="H43:L43" si="47">G43*(1+$G$3)</f>
        <v>3829171.5572182839</v>
      </c>
      <c r="I43" s="473">
        <f t="shared" si="47"/>
        <v>4014791.2011255953</v>
      </c>
      <c r="J43" s="473">
        <f t="shared" si="47"/>
        <v>4209408.7840621276</v>
      </c>
      <c r="K43" s="473">
        <f t="shared" si="47"/>
        <v>4413460.4824210107</v>
      </c>
      <c r="L43" s="473">
        <f t="shared" si="47"/>
        <v>4627403.6163089862</v>
      </c>
      <c r="M43" s="472" t="s">
        <v>1257</v>
      </c>
    </row>
    <row r="44" spans="1:13">
      <c r="A44" s="989"/>
      <c r="B44" s="472" t="s">
        <v>1258</v>
      </c>
      <c r="C44" s="473">
        <v>210000</v>
      </c>
      <c r="D44" s="473">
        <f>C44*(1+$D$3)</f>
        <v>222600</v>
      </c>
      <c r="E44" s="473">
        <f>D44*(1+$E$3)</f>
        <v>232834.06712825471</v>
      </c>
      <c r="F44" s="473">
        <f>E44*(1+$F$3)</f>
        <v>243829.68955374238</v>
      </c>
      <c r="G44" s="473">
        <f>F44*(1+$G$3)</f>
        <v>255649.36894723368</v>
      </c>
      <c r="H44" s="473">
        <f t="shared" ref="H44:L44" si="48">G44*(1+$G$3)</f>
        <v>268042.00900527986</v>
      </c>
      <c r="I44" s="473">
        <f t="shared" si="48"/>
        <v>281035.38407879166</v>
      </c>
      <c r="J44" s="473">
        <f t="shared" si="48"/>
        <v>294658.61488434894</v>
      </c>
      <c r="K44" s="473">
        <f t="shared" si="48"/>
        <v>308942.23376947077</v>
      </c>
      <c r="L44" s="473">
        <f t="shared" si="48"/>
        <v>323918.25314162904</v>
      </c>
      <c r="M44" s="474" t="s">
        <v>1259</v>
      </c>
    </row>
    <row r="45" spans="1:13">
      <c r="A45" s="989"/>
      <c r="B45" s="472" t="s">
        <v>1272</v>
      </c>
      <c r="C45" s="473">
        <v>600000</v>
      </c>
      <c r="D45" s="473">
        <f>C45*(1+$D$3)</f>
        <v>636000</v>
      </c>
      <c r="E45" s="473">
        <f>D45*(1+$E$3)</f>
        <v>665240.1917950135</v>
      </c>
      <c r="F45" s="473">
        <f>E45*(1+$F$3)</f>
        <v>696656.25586783548</v>
      </c>
      <c r="G45" s="473">
        <f>F45*(1+$G$3)</f>
        <v>730426.76842066774</v>
      </c>
      <c r="H45" s="473">
        <f t="shared" ref="H45:L45" si="49">G45*(1+$G$3)</f>
        <v>765834.3114436568</v>
      </c>
      <c r="I45" s="473">
        <f t="shared" si="49"/>
        <v>802958.24022511905</v>
      </c>
      <c r="J45" s="473">
        <f t="shared" si="49"/>
        <v>841881.75681242545</v>
      </c>
      <c r="K45" s="473">
        <f t="shared" si="49"/>
        <v>882692.09648420208</v>
      </c>
      <c r="L45" s="473">
        <f t="shared" si="49"/>
        <v>925480.7232617971</v>
      </c>
      <c r="M45" s="474" t="s">
        <v>1261</v>
      </c>
    </row>
    <row r="46" spans="1:13">
      <c r="A46" s="989"/>
      <c r="B46" s="472" t="s">
        <v>1273</v>
      </c>
      <c r="C46" s="473">
        <v>500000</v>
      </c>
      <c r="D46" s="473">
        <f>C46*(1+$D$3)</f>
        <v>530000</v>
      </c>
      <c r="E46" s="473">
        <f>D46*(1+$E$3)</f>
        <v>554366.82649584452</v>
      </c>
      <c r="F46" s="473">
        <f>E46*(1+$F$3)</f>
        <v>580546.87988986284</v>
      </c>
      <c r="G46" s="473">
        <f>F46*(1+$G$3)</f>
        <v>608688.97368388972</v>
      </c>
      <c r="H46" s="473">
        <f t="shared" ref="H46:L46" si="50">G46*(1+$G$3)</f>
        <v>638195.25953638065</v>
      </c>
      <c r="I46" s="473">
        <f t="shared" si="50"/>
        <v>669131.8668542658</v>
      </c>
      <c r="J46" s="473">
        <f t="shared" si="50"/>
        <v>701568.13067702111</v>
      </c>
      <c r="K46" s="473">
        <f t="shared" si="50"/>
        <v>735576.74707016826</v>
      </c>
      <c r="L46" s="473">
        <f t="shared" si="50"/>
        <v>771233.93605149747</v>
      </c>
      <c r="M46" s="474" t="s">
        <v>1257</v>
      </c>
    </row>
    <row r="47" spans="1:13">
      <c r="A47" s="989"/>
      <c r="B47" s="472" t="s">
        <v>1263</v>
      </c>
      <c r="C47" s="473">
        <v>300000</v>
      </c>
      <c r="D47" s="473">
        <f>C47*(1+$D$3)</f>
        <v>318000</v>
      </c>
      <c r="E47" s="473">
        <f>D47*(1+$E$3)</f>
        <v>332620.09589750675</v>
      </c>
      <c r="F47" s="473">
        <f>E47*(1+$F$3)</f>
        <v>348328.12793391774</v>
      </c>
      <c r="G47" s="473">
        <f>F47*(1+$G$3)</f>
        <v>365213.38421033387</v>
      </c>
      <c r="H47" s="473">
        <f t="shared" ref="H47:L47" si="51">G47*(1+$G$3)</f>
        <v>382917.1557218284</v>
      </c>
      <c r="I47" s="473">
        <f t="shared" si="51"/>
        <v>401479.12011255953</v>
      </c>
      <c r="J47" s="473">
        <f t="shared" si="51"/>
        <v>420940.87840621272</v>
      </c>
      <c r="K47" s="473">
        <f t="shared" si="51"/>
        <v>441346.04824210104</v>
      </c>
      <c r="L47" s="473">
        <f t="shared" si="51"/>
        <v>462740.36163089855</v>
      </c>
      <c r="M47" s="474" t="s">
        <v>1257</v>
      </c>
    </row>
    <row r="48" spans="1:13">
      <c r="A48" s="989"/>
      <c r="B48" s="217" t="s">
        <v>396</v>
      </c>
      <c r="C48" s="475">
        <f>SUM(C43:C47)</f>
        <v>4610000</v>
      </c>
      <c r="D48" s="475">
        <f>SUM(D43:D47)</f>
        <v>4886600</v>
      </c>
      <c r="E48" s="475">
        <f>SUM(E43:E47)</f>
        <v>5111262.1402916871</v>
      </c>
      <c r="F48" s="475">
        <f>SUM(F43:F47)</f>
        <v>5352642.2325845351</v>
      </c>
      <c r="G48" s="475">
        <f>SUM(G43:G47)</f>
        <v>5612112.3373654634</v>
      </c>
      <c r="H48" s="475">
        <f t="shared" ref="H48:L48" si="52">SUM(H43:H47)</f>
        <v>5884160.2929254295</v>
      </c>
      <c r="I48" s="475">
        <f t="shared" si="52"/>
        <v>6169395.8123963317</v>
      </c>
      <c r="J48" s="475">
        <f t="shared" si="52"/>
        <v>6468458.1648421353</v>
      </c>
      <c r="K48" s="475">
        <f t="shared" si="52"/>
        <v>6782017.6079869531</v>
      </c>
      <c r="L48" s="475">
        <f t="shared" si="52"/>
        <v>7110776.8903948087</v>
      </c>
      <c r="M48" s="474"/>
    </row>
    <row r="49" spans="1:13" ht="25.5">
      <c r="A49" s="989" t="s">
        <v>1274</v>
      </c>
      <c r="B49" s="472" t="s">
        <v>1271</v>
      </c>
      <c r="C49" s="473">
        <v>1500000</v>
      </c>
      <c r="D49" s="473">
        <f>C49*(1+$D$3)</f>
        <v>1590000</v>
      </c>
      <c r="E49" s="473">
        <f>D49*(1+$E$3)</f>
        <v>1663100.4794875337</v>
      </c>
      <c r="F49" s="473">
        <f>E49*(1+$F$3)</f>
        <v>1741640.6396695885</v>
      </c>
      <c r="G49" s="473">
        <f>F49*(1+$G$3)</f>
        <v>1826066.9210516692</v>
      </c>
      <c r="H49" s="473">
        <f t="shared" ref="H49:L49" si="53">G49*(1+$G$3)</f>
        <v>1914585.7786091419</v>
      </c>
      <c r="I49" s="473">
        <f t="shared" si="53"/>
        <v>2007395.6005627976</v>
      </c>
      <c r="J49" s="473">
        <f t="shared" si="53"/>
        <v>2104704.3920310638</v>
      </c>
      <c r="K49" s="473">
        <f t="shared" si="53"/>
        <v>2206730.2412105054</v>
      </c>
      <c r="L49" s="473">
        <f t="shared" si="53"/>
        <v>2313701.8081544931</v>
      </c>
      <c r="M49" s="472" t="s">
        <v>1257</v>
      </c>
    </row>
    <row r="50" spans="1:13">
      <c r="A50" s="989"/>
      <c r="B50" s="472" t="s">
        <v>1258</v>
      </c>
      <c r="C50" s="473">
        <v>210000</v>
      </c>
      <c r="D50" s="473">
        <f>C50*(1+$D$3)</f>
        <v>222600</v>
      </c>
      <c r="E50" s="473">
        <f>D50*(1+$E$3)</f>
        <v>232834.06712825471</v>
      </c>
      <c r="F50" s="473">
        <f>E50*(1+$F$3)</f>
        <v>243829.68955374238</v>
      </c>
      <c r="G50" s="473">
        <f>F50*(1+$G$3)</f>
        <v>255649.36894723368</v>
      </c>
      <c r="H50" s="473">
        <f t="shared" ref="H50:L50" si="54">G50*(1+$G$3)</f>
        <v>268042.00900527986</v>
      </c>
      <c r="I50" s="473">
        <f t="shared" si="54"/>
        <v>281035.38407879166</v>
      </c>
      <c r="J50" s="473">
        <f t="shared" si="54"/>
        <v>294658.61488434894</v>
      </c>
      <c r="K50" s="473">
        <f t="shared" si="54"/>
        <v>308942.23376947077</v>
      </c>
      <c r="L50" s="473">
        <f t="shared" si="54"/>
        <v>323918.25314162904</v>
      </c>
      <c r="M50" s="474" t="s">
        <v>1259</v>
      </c>
    </row>
    <row r="51" spans="1:13">
      <c r="A51" s="989"/>
      <c r="B51" s="472" t="s">
        <v>1272</v>
      </c>
      <c r="C51" s="473">
        <v>600000</v>
      </c>
      <c r="D51" s="473">
        <f>C51*(1+$D$3)</f>
        <v>636000</v>
      </c>
      <c r="E51" s="473">
        <f>D51*(1+$E$3)</f>
        <v>665240.1917950135</v>
      </c>
      <c r="F51" s="473">
        <f>E51*(1+$F$3)</f>
        <v>696656.25586783548</v>
      </c>
      <c r="G51" s="473">
        <f>F51*(1+$G$3)</f>
        <v>730426.76842066774</v>
      </c>
      <c r="H51" s="473">
        <f t="shared" ref="H51:L51" si="55">G51*(1+$G$3)</f>
        <v>765834.3114436568</v>
      </c>
      <c r="I51" s="473">
        <f t="shared" si="55"/>
        <v>802958.24022511905</v>
      </c>
      <c r="J51" s="473">
        <f t="shared" si="55"/>
        <v>841881.75681242545</v>
      </c>
      <c r="K51" s="473">
        <f t="shared" si="55"/>
        <v>882692.09648420208</v>
      </c>
      <c r="L51" s="473">
        <f t="shared" si="55"/>
        <v>925480.7232617971</v>
      </c>
      <c r="M51" s="474" t="s">
        <v>1261</v>
      </c>
    </row>
    <row r="52" spans="1:13">
      <c r="A52" s="989"/>
      <c r="B52" s="472" t="s">
        <v>1273</v>
      </c>
      <c r="C52" s="473">
        <v>500000</v>
      </c>
      <c r="D52" s="473">
        <f>C52*(1+$D$3)</f>
        <v>530000</v>
      </c>
      <c r="E52" s="473">
        <f>D52*(1+$E$3)</f>
        <v>554366.82649584452</v>
      </c>
      <c r="F52" s="473">
        <f>E52*(1+$F$3)</f>
        <v>580546.87988986284</v>
      </c>
      <c r="G52" s="473">
        <f>F52*(1+$G$3)</f>
        <v>608688.97368388972</v>
      </c>
      <c r="H52" s="473">
        <f t="shared" ref="H52:L52" si="56">G52*(1+$G$3)</f>
        <v>638195.25953638065</v>
      </c>
      <c r="I52" s="473">
        <f t="shared" si="56"/>
        <v>669131.8668542658</v>
      </c>
      <c r="J52" s="473">
        <f t="shared" si="56"/>
        <v>701568.13067702111</v>
      </c>
      <c r="K52" s="473">
        <f t="shared" si="56"/>
        <v>735576.74707016826</v>
      </c>
      <c r="L52" s="473">
        <f t="shared" si="56"/>
        <v>771233.93605149747</v>
      </c>
      <c r="M52" s="474" t="s">
        <v>1257</v>
      </c>
    </row>
    <row r="53" spans="1:13">
      <c r="A53" s="989"/>
      <c r="B53" s="472" t="s">
        <v>1263</v>
      </c>
      <c r="C53" s="473">
        <v>300000</v>
      </c>
      <c r="D53" s="473">
        <f>C53*(1+$D$3)</f>
        <v>318000</v>
      </c>
      <c r="E53" s="473">
        <f>D53*(1+$E$3)</f>
        <v>332620.09589750675</v>
      </c>
      <c r="F53" s="473">
        <f>E53*(1+$F$3)</f>
        <v>348328.12793391774</v>
      </c>
      <c r="G53" s="473">
        <f>F53*(1+$G$3)</f>
        <v>365213.38421033387</v>
      </c>
      <c r="H53" s="473">
        <f t="shared" ref="H53:L53" si="57">G53*(1+$G$3)</f>
        <v>382917.1557218284</v>
      </c>
      <c r="I53" s="473">
        <f t="shared" si="57"/>
        <v>401479.12011255953</v>
      </c>
      <c r="J53" s="473">
        <f t="shared" si="57"/>
        <v>420940.87840621272</v>
      </c>
      <c r="K53" s="473">
        <f t="shared" si="57"/>
        <v>441346.04824210104</v>
      </c>
      <c r="L53" s="473">
        <f t="shared" si="57"/>
        <v>462740.36163089855</v>
      </c>
      <c r="M53" s="474" t="s">
        <v>1257</v>
      </c>
    </row>
    <row r="54" spans="1:13">
      <c r="A54" s="989"/>
      <c r="B54" s="217" t="s">
        <v>396</v>
      </c>
      <c r="C54" s="475">
        <f>SUM(C49:C53)</f>
        <v>3110000</v>
      </c>
      <c r="D54" s="475">
        <f>SUM(D49:D53)</f>
        <v>3296600</v>
      </c>
      <c r="E54" s="475">
        <f>SUM(E49:E53)</f>
        <v>3448161.6608041534</v>
      </c>
      <c r="F54" s="475">
        <f>SUM(F49:F53)</f>
        <v>3611001.5929149464</v>
      </c>
      <c r="G54" s="475">
        <f>SUM(G49:G53)</f>
        <v>3786045.416313794</v>
      </c>
      <c r="H54" s="475">
        <f t="shared" ref="H54:L54" si="58">SUM(H49:H53)</f>
        <v>3969574.5143162878</v>
      </c>
      <c r="I54" s="475">
        <f t="shared" si="58"/>
        <v>4162000.2118335338</v>
      </c>
      <c r="J54" s="475">
        <f t="shared" si="58"/>
        <v>4363753.7728110719</v>
      </c>
      <c r="K54" s="475">
        <f t="shared" si="58"/>
        <v>4575287.3667764477</v>
      </c>
      <c r="L54" s="475">
        <f t="shared" si="58"/>
        <v>4797075.0822403152</v>
      </c>
      <c r="M54" s="474"/>
    </row>
    <row r="55" spans="1:13" ht="25.5">
      <c r="A55" s="989" t="s">
        <v>1275</v>
      </c>
      <c r="B55" s="472" t="s">
        <v>1276</v>
      </c>
      <c r="C55" s="473">
        <v>2500000</v>
      </c>
      <c r="D55" s="473">
        <v>1000000</v>
      </c>
      <c r="E55" s="473">
        <f>D55*(1+$E$3)</f>
        <v>1045975.1443317821</v>
      </c>
      <c r="F55" s="473">
        <f>E55*(1+$F$3)</f>
        <v>1095371.4714903072</v>
      </c>
      <c r="G55" s="473">
        <f>F55*(1+$G$3)</f>
        <v>1148469.7616677165</v>
      </c>
      <c r="H55" s="473">
        <f t="shared" ref="H55:L55" si="59">G55*(1+$G$3)</f>
        <v>1204141.9991252464</v>
      </c>
      <c r="I55" s="473">
        <f t="shared" si="59"/>
        <v>1262512.9563288034</v>
      </c>
      <c r="J55" s="473">
        <f t="shared" si="59"/>
        <v>1323713.4541075872</v>
      </c>
      <c r="K55" s="473">
        <f t="shared" si="59"/>
        <v>1387880.6548493744</v>
      </c>
      <c r="L55" s="473">
        <f t="shared" si="59"/>
        <v>1455158.3699084863</v>
      </c>
      <c r="M55" s="472" t="s">
        <v>1257</v>
      </c>
    </row>
    <row r="56" spans="1:13">
      <c r="A56" s="989"/>
      <c r="B56" s="472" t="s">
        <v>1258</v>
      </c>
      <c r="C56" s="473">
        <v>110000</v>
      </c>
      <c r="D56" s="473">
        <f>C56*(1+$D$3)</f>
        <v>116600</v>
      </c>
      <c r="E56" s="473">
        <f>D56*(1+$E$3)</f>
        <v>121960.7018290858</v>
      </c>
      <c r="F56" s="473">
        <f>E56*(1+$F$3)</f>
        <v>127720.31357576982</v>
      </c>
      <c r="G56" s="473">
        <f>F56*(1+$G$3)</f>
        <v>133911.57421045573</v>
      </c>
      <c r="H56" s="473">
        <f t="shared" ref="H56:L56" si="60">G56*(1+$G$3)</f>
        <v>140402.95709800371</v>
      </c>
      <c r="I56" s="473">
        <f t="shared" si="60"/>
        <v>147209.01070793846</v>
      </c>
      <c r="J56" s="473">
        <f t="shared" si="60"/>
        <v>154344.98874894463</v>
      </c>
      <c r="K56" s="473">
        <f t="shared" si="60"/>
        <v>161826.88435543701</v>
      </c>
      <c r="L56" s="473">
        <f t="shared" si="60"/>
        <v>169671.46593132944</v>
      </c>
      <c r="M56" s="474" t="s">
        <v>1259</v>
      </c>
    </row>
    <row r="57" spans="1:13">
      <c r="A57" s="989"/>
      <c r="B57" s="472" t="s">
        <v>1272</v>
      </c>
      <c r="C57" s="473">
        <v>600000</v>
      </c>
      <c r="D57" s="473">
        <f>C57*(1+$D$3)</f>
        <v>636000</v>
      </c>
      <c r="E57" s="473">
        <f>D57*(1+$E$3)</f>
        <v>665240.1917950135</v>
      </c>
      <c r="F57" s="473">
        <f>E57*(1+$F$3)</f>
        <v>696656.25586783548</v>
      </c>
      <c r="G57" s="473">
        <f>F57*(1+$G$3)</f>
        <v>730426.76842066774</v>
      </c>
      <c r="H57" s="473">
        <f t="shared" ref="H57:L57" si="61">G57*(1+$G$3)</f>
        <v>765834.3114436568</v>
      </c>
      <c r="I57" s="473">
        <f t="shared" si="61"/>
        <v>802958.24022511905</v>
      </c>
      <c r="J57" s="473">
        <f t="shared" si="61"/>
        <v>841881.75681242545</v>
      </c>
      <c r="K57" s="473">
        <f t="shared" si="61"/>
        <v>882692.09648420208</v>
      </c>
      <c r="L57" s="473">
        <f t="shared" si="61"/>
        <v>925480.7232617971</v>
      </c>
      <c r="M57" s="474" t="s">
        <v>1261</v>
      </c>
    </row>
    <row r="58" spans="1:13">
      <c r="A58" s="989"/>
      <c r="B58" s="472" t="s">
        <v>1273</v>
      </c>
      <c r="C58" s="473">
        <v>200000</v>
      </c>
      <c r="D58" s="473">
        <f>C58*(1+$D$3)</f>
        <v>212000</v>
      </c>
      <c r="E58" s="473">
        <f>D58*(1+$E$3)</f>
        <v>221746.73059833783</v>
      </c>
      <c r="F58" s="473">
        <f>E58*(1+$F$3)</f>
        <v>232218.75195594516</v>
      </c>
      <c r="G58" s="473">
        <f>F58*(1+$G$3)</f>
        <v>243475.58947355591</v>
      </c>
      <c r="H58" s="473">
        <f t="shared" ref="H58:L58" si="62">G58*(1+$G$3)</f>
        <v>255278.10381455228</v>
      </c>
      <c r="I58" s="473">
        <f t="shared" si="62"/>
        <v>267652.74674170633</v>
      </c>
      <c r="J58" s="473">
        <f t="shared" si="62"/>
        <v>280627.2522708085</v>
      </c>
      <c r="K58" s="473">
        <f t="shared" si="62"/>
        <v>294230.6988280674</v>
      </c>
      <c r="L58" s="473">
        <f t="shared" si="62"/>
        <v>308493.57442059909</v>
      </c>
      <c r="M58" s="474" t="s">
        <v>1257</v>
      </c>
    </row>
    <row r="59" spans="1:13">
      <c r="A59" s="989"/>
      <c r="B59" s="472" t="s">
        <v>1263</v>
      </c>
      <c r="C59" s="473">
        <v>200000</v>
      </c>
      <c r="D59" s="473">
        <f>C59*(1+$D$3)</f>
        <v>212000</v>
      </c>
      <c r="E59" s="473">
        <f>D59*(1+$E$3)</f>
        <v>221746.73059833783</v>
      </c>
      <c r="F59" s="473">
        <f>E59*(1+$F$3)</f>
        <v>232218.75195594516</v>
      </c>
      <c r="G59" s="473">
        <f>F59*(1+$G$3)</f>
        <v>243475.58947355591</v>
      </c>
      <c r="H59" s="473">
        <f t="shared" ref="H59:L59" si="63">G59*(1+$G$3)</f>
        <v>255278.10381455228</v>
      </c>
      <c r="I59" s="473">
        <f t="shared" si="63"/>
        <v>267652.74674170633</v>
      </c>
      <c r="J59" s="473">
        <f t="shared" si="63"/>
        <v>280627.2522708085</v>
      </c>
      <c r="K59" s="473">
        <f t="shared" si="63"/>
        <v>294230.6988280674</v>
      </c>
      <c r="L59" s="473">
        <f t="shared" si="63"/>
        <v>308493.57442059909</v>
      </c>
      <c r="M59" s="474" t="s">
        <v>1257</v>
      </c>
    </row>
    <row r="60" spans="1:13">
      <c r="A60" s="989"/>
      <c r="B60" s="217" t="s">
        <v>396</v>
      </c>
      <c r="C60" s="475">
        <f t="shared" ref="C60:G60" si="64">SUM(C55:C59)</f>
        <v>3610000</v>
      </c>
      <c r="D60" s="475">
        <f t="shared" si="64"/>
        <v>2176600</v>
      </c>
      <c r="E60" s="475">
        <f t="shared" si="64"/>
        <v>2276669.4991525575</v>
      </c>
      <c r="F60" s="475">
        <f t="shared" si="64"/>
        <v>2384185.5448458027</v>
      </c>
      <c r="G60" s="475">
        <f t="shared" si="64"/>
        <v>2499759.2832459514</v>
      </c>
      <c r="H60" s="475">
        <f t="shared" ref="H60:L60" si="65">SUM(H55:H59)</f>
        <v>2620935.4752960112</v>
      </c>
      <c r="I60" s="475">
        <f t="shared" si="65"/>
        <v>2747985.7007452738</v>
      </c>
      <c r="J60" s="475">
        <f t="shared" si="65"/>
        <v>2881194.7042105743</v>
      </c>
      <c r="K60" s="475">
        <f t="shared" si="65"/>
        <v>3020861.0333451489</v>
      </c>
      <c r="L60" s="475">
        <f t="shared" si="65"/>
        <v>3167297.7079428113</v>
      </c>
      <c r="M60" s="474"/>
    </row>
    <row r="61" spans="1:13" ht="25.5">
      <c r="A61" s="989" t="s">
        <v>383</v>
      </c>
      <c r="B61" s="472" t="s">
        <v>1277</v>
      </c>
      <c r="C61" s="473">
        <v>2000000</v>
      </c>
      <c r="D61" s="473">
        <f>C61*(1+$D$3)</f>
        <v>2120000</v>
      </c>
      <c r="E61" s="473">
        <f>D61*(1+$E$3)</f>
        <v>2217467.3059833781</v>
      </c>
      <c r="F61" s="473">
        <f>E61*(1+$F$3)</f>
        <v>2322187.5195594514</v>
      </c>
      <c r="G61" s="473">
        <f>F61*(1+$G$3)</f>
        <v>2434755.8947355589</v>
      </c>
      <c r="H61" s="473">
        <f t="shared" ref="H61:L61" si="66">G61*(1+$G$3)</f>
        <v>2552781.0381455226</v>
      </c>
      <c r="I61" s="473">
        <f t="shared" si="66"/>
        <v>2676527.4674170632</v>
      </c>
      <c r="J61" s="473">
        <f t="shared" si="66"/>
        <v>2806272.5227080844</v>
      </c>
      <c r="K61" s="473">
        <f t="shared" si="66"/>
        <v>2942306.988280673</v>
      </c>
      <c r="L61" s="473">
        <f t="shared" si="66"/>
        <v>3084935.7442059899</v>
      </c>
      <c r="M61" s="472" t="s">
        <v>1257</v>
      </c>
    </row>
    <row r="62" spans="1:13">
      <c r="A62" s="989"/>
      <c r="B62" s="472" t="s">
        <v>1258</v>
      </c>
      <c r="C62" s="473">
        <v>210000</v>
      </c>
      <c r="D62" s="473">
        <f>C62*(1+$D$3)</f>
        <v>222600</v>
      </c>
      <c r="E62" s="473">
        <f>D62*(1+$E$3)</f>
        <v>232834.06712825471</v>
      </c>
      <c r="F62" s="473">
        <f>E62*(1+$F$3)</f>
        <v>243829.68955374238</v>
      </c>
      <c r="G62" s="473">
        <f>F62*(1+$G$3)</f>
        <v>255649.36894723368</v>
      </c>
      <c r="H62" s="473">
        <f t="shared" ref="H62:L62" si="67">G62*(1+$G$3)</f>
        <v>268042.00900527986</v>
      </c>
      <c r="I62" s="473">
        <f t="shared" si="67"/>
        <v>281035.38407879166</v>
      </c>
      <c r="J62" s="473">
        <f t="shared" si="67"/>
        <v>294658.61488434894</v>
      </c>
      <c r="K62" s="473">
        <f t="shared" si="67"/>
        <v>308942.23376947077</v>
      </c>
      <c r="L62" s="473">
        <f t="shared" si="67"/>
        <v>323918.25314162904</v>
      </c>
      <c r="M62" s="474" t="s">
        <v>1259</v>
      </c>
    </row>
    <row r="63" spans="1:13">
      <c r="A63" s="989"/>
      <c r="B63" s="472" t="s">
        <v>1272</v>
      </c>
      <c r="C63" s="473">
        <v>600000</v>
      </c>
      <c r="D63" s="473">
        <f>C63*(1+$D$3)</f>
        <v>636000</v>
      </c>
      <c r="E63" s="473">
        <f>D63*(1+$E$3)</f>
        <v>665240.1917950135</v>
      </c>
      <c r="F63" s="473">
        <f>E63*(1+$F$3)</f>
        <v>696656.25586783548</v>
      </c>
      <c r="G63" s="473">
        <f>F63*(1+$G$3)</f>
        <v>730426.76842066774</v>
      </c>
      <c r="H63" s="473">
        <f t="shared" ref="H63:L63" si="68">G63*(1+$G$3)</f>
        <v>765834.3114436568</v>
      </c>
      <c r="I63" s="473">
        <f t="shared" si="68"/>
        <v>802958.24022511905</v>
      </c>
      <c r="J63" s="473">
        <f t="shared" si="68"/>
        <v>841881.75681242545</v>
      </c>
      <c r="K63" s="473">
        <f t="shared" si="68"/>
        <v>882692.09648420208</v>
      </c>
      <c r="L63" s="473">
        <f t="shared" si="68"/>
        <v>925480.7232617971</v>
      </c>
      <c r="M63" s="474" t="s">
        <v>1261</v>
      </c>
    </row>
    <row r="64" spans="1:13">
      <c r="A64" s="989"/>
      <c r="B64" s="472" t="s">
        <v>1273</v>
      </c>
      <c r="C64" s="473">
        <v>500000</v>
      </c>
      <c r="D64" s="473">
        <f>C64*(1+$D$3)</f>
        <v>530000</v>
      </c>
      <c r="E64" s="473">
        <f>D64*(1+$E$3)</f>
        <v>554366.82649584452</v>
      </c>
      <c r="F64" s="473">
        <f>E64*(1+$F$3)</f>
        <v>580546.87988986284</v>
      </c>
      <c r="G64" s="473">
        <f>F64*(1+$G$3)</f>
        <v>608688.97368388972</v>
      </c>
      <c r="H64" s="473">
        <f t="shared" ref="H64:L64" si="69">G64*(1+$G$3)</f>
        <v>638195.25953638065</v>
      </c>
      <c r="I64" s="473">
        <f t="shared" si="69"/>
        <v>669131.8668542658</v>
      </c>
      <c r="J64" s="473">
        <f t="shared" si="69"/>
        <v>701568.13067702111</v>
      </c>
      <c r="K64" s="473">
        <f t="shared" si="69"/>
        <v>735576.74707016826</v>
      </c>
      <c r="L64" s="473">
        <f t="shared" si="69"/>
        <v>771233.93605149747</v>
      </c>
      <c r="M64" s="474" t="s">
        <v>1257</v>
      </c>
    </row>
    <row r="65" spans="1:13">
      <c r="A65" s="989"/>
      <c r="B65" s="472" t="s">
        <v>1263</v>
      </c>
      <c r="C65" s="473">
        <v>300000</v>
      </c>
      <c r="D65" s="473">
        <f>C65*(1+$D$3)</f>
        <v>318000</v>
      </c>
      <c r="E65" s="473">
        <f>D65*(1+$E$3)</f>
        <v>332620.09589750675</v>
      </c>
      <c r="F65" s="473">
        <f>E65*(1+$F$3)</f>
        <v>348328.12793391774</v>
      </c>
      <c r="G65" s="473">
        <f>F65*(1+$G$3)</f>
        <v>365213.38421033387</v>
      </c>
      <c r="H65" s="473">
        <f t="shared" ref="H65:L65" si="70">G65*(1+$G$3)</f>
        <v>382917.1557218284</v>
      </c>
      <c r="I65" s="473">
        <f t="shared" si="70"/>
        <v>401479.12011255953</v>
      </c>
      <c r="J65" s="473">
        <f t="shared" si="70"/>
        <v>420940.87840621272</v>
      </c>
      <c r="K65" s="473">
        <f t="shared" si="70"/>
        <v>441346.04824210104</v>
      </c>
      <c r="L65" s="473">
        <f t="shared" si="70"/>
        <v>462740.36163089855</v>
      </c>
      <c r="M65" s="474" t="s">
        <v>1257</v>
      </c>
    </row>
    <row r="66" spans="1:13">
      <c r="A66" s="989"/>
      <c r="B66" s="217" t="s">
        <v>396</v>
      </c>
      <c r="C66" s="475">
        <f t="shared" ref="C66:G66" si="71">SUM(C61:C65)</f>
        <v>3610000</v>
      </c>
      <c r="D66" s="475">
        <f t="shared" si="71"/>
        <v>3826600</v>
      </c>
      <c r="E66" s="475">
        <f t="shared" si="71"/>
        <v>4002528.4872999974</v>
      </c>
      <c r="F66" s="475">
        <f t="shared" si="71"/>
        <v>4191548.4728048099</v>
      </c>
      <c r="G66" s="475">
        <f t="shared" si="71"/>
        <v>4394734.3899976844</v>
      </c>
      <c r="H66" s="475">
        <f t="shared" ref="H66:L66" si="72">SUM(H61:H65)</f>
        <v>4607769.7738526678</v>
      </c>
      <c r="I66" s="475">
        <f t="shared" si="72"/>
        <v>4831132.0786877992</v>
      </c>
      <c r="J66" s="475">
        <f t="shared" si="72"/>
        <v>5065321.9034880931</v>
      </c>
      <c r="K66" s="475">
        <f t="shared" si="72"/>
        <v>5310864.1138466159</v>
      </c>
      <c r="L66" s="475">
        <f t="shared" si="72"/>
        <v>5568309.0182918124</v>
      </c>
      <c r="M66" s="474"/>
    </row>
    <row r="67" spans="1:13" ht="25.5">
      <c r="A67" s="989" t="s">
        <v>1278</v>
      </c>
      <c r="B67" s="472" t="s">
        <v>1271</v>
      </c>
      <c r="C67" s="473">
        <v>1000000</v>
      </c>
      <c r="D67" s="473">
        <f>C67*(1+$D$3)</f>
        <v>1060000</v>
      </c>
      <c r="E67" s="473">
        <f>D67*(1+$E$3)</f>
        <v>1108733.652991689</v>
      </c>
      <c r="F67" s="473">
        <f>E67*(1+$F$3)</f>
        <v>1161093.7597797257</v>
      </c>
      <c r="G67" s="473">
        <f>F67*(1+$G$3)</f>
        <v>1217377.9473677794</v>
      </c>
      <c r="H67" s="473">
        <f t="shared" ref="H67:L67" si="73">G67*(1+$G$3)</f>
        <v>1276390.5190727613</v>
      </c>
      <c r="I67" s="473">
        <f t="shared" si="73"/>
        <v>1338263.7337085316</v>
      </c>
      <c r="J67" s="473">
        <f t="shared" si="73"/>
        <v>1403136.2613540422</v>
      </c>
      <c r="K67" s="473">
        <f t="shared" si="73"/>
        <v>1471153.4941403365</v>
      </c>
      <c r="L67" s="473">
        <f t="shared" si="73"/>
        <v>1542467.8721029949</v>
      </c>
      <c r="M67" s="472" t="s">
        <v>1257</v>
      </c>
    </row>
    <row r="68" spans="1:13">
      <c r="A68" s="989"/>
      <c r="B68" s="472" t="s">
        <v>1258</v>
      </c>
      <c r="C68" s="473">
        <v>140000</v>
      </c>
      <c r="D68" s="473">
        <f>C68*(1+$D$3)</f>
        <v>148400</v>
      </c>
      <c r="E68" s="473">
        <f>D68*(1+$E$3)</f>
        <v>155222.71141883646</v>
      </c>
      <c r="F68" s="473">
        <f>E68*(1+$F$3)</f>
        <v>162553.12636916159</v>
      </c>
      <c r="G68" s="473">
        <f>F68*(1+$G$3)</f>
        <v>170432.9126314891</v>
      </c>
      <c r="H68" s="473">
        <f t="shared" ref="H68:L68" si="74">G68*(1+$G$3)</f>
        <v>178694.67267018656</v>
      </c>
      <c r="I68" s="473">
        <f t="shared" si="74"/>
        <v>187356.92271919441</v>
      </c>
      <c r="J68" s="473">
        <f t="shared" si="74"/>
        <v>196439.0765895659</v>
      </c>
      <c r="K68" s="473">
        <f t="shared" si="74"/>
        <v>205961.48917964712</v>
      </c>
      <c r="L68" s="473">
        <f t="shared" si="74"/>
        <v>215945.50209441929</v>
      </c>
      <c r="M68" s="474" t="s">
        <v>1259</v>
      </c>
    </row>
    <row r="69" spans="1:13">
      <c r="A69" s="989"/>
      <c r="B69" s="472" t="s">
        <v>1272</v>
      </c>
      <c r="C69" s="473">
        <v>600000</v>
      </c>
      <c r="D69" s="473">
        <f>C69*(1+$D$3)</f>
        <v>636000</v>
      </c>
      <c r="E69" s="473">
        <f>D69*(1+$E$3)</f>
        <v>665240.1917950135</v>
      </c>
      <c r="F69" s="473">
        <f>E69*(1+$F$3)</f>
        <v>696656.25586783548</v>
      </c>
      <c r="G69" s="473">
        <f>F69*(1+$G$3)</f>
        <v>730426.76842066774</v>
      </c>
      <c r="H69" s="473">
        <f t="shared" ref="H69:L69" si="75">G69*(1+$G$3)</f>
        <v>765834.3114436568</v>
      </c>
      <c r="I69" s="473">
        <f t="shared" si="75"/>
        <v>802958.24022511905</v>
      </c>
      <c r="J69" s="473">
        <f t="shared" si="75"/>
        <v>841881.75681242545</v>
      </c>
      <c r="K69" s="473">
        <f t="shared" si="75"/>
        <v>882692.09648420208</v>
      </c>
      <c r="L69" s="473">
        <f t="shared" si="75"/>
        <v>925480.7232617971</v>
      </c>
      <c r="M69" s="474" t="s">
        <v>1261</v>
      </c>
    </row>
    <row r="70" spans="1:13">
      <c r="A70" s="989"/>
      <c r="B70" s="472" t="s">
        <v>1273</v>
      </c>
      <c r="C70" s="473">
        <v>500000</v>
      </c>
      <c r="D70" s="473">
        <f>C70*(1+$D$3)</f>
        <v>530000</v>
      </c>
      <c r="E70" s="473">
        <f>D70*(1+$E$3)</f>
        <v>554366.82649584452</v>
      </c>
      <c r="F70" s="473">
        <f>E70*(1+$F$3)</f>
        <v>580546.87988986284</v>
      </c>
      <c r="G70" s="473">
        <f>F70*(1+$G$3)</f>
        <v>608688.97368388972</v>
      </c>
      <c r="H70" s="473">
        <f t="shared" ref="H70:L70" si="76">G70*(1+$G$3)</f>
        <v>638195.25953638065</v>
      </c>
      <c r="I70" s="473">
        <f t="shared" si="76"/>
        <v>669131.8668542658</v>
      </c>
      <c r="J70" s="473">
        <f t="shared" si="76"/>
        <v>701568.13067702111</v>
      </c>
      <c r="K70" s="473">
        <f t="shared" si="76"/>
        <v>735576.74707016826</v>
      </c>
      <c r="L70" s="473">
        <f t="shared" si="76"/>
        <v>771233.93605149747</v>
      </c>
      <c r="M70" s="474" t="s">
        <v>1257</v>
      </c>
    </row>
    <row r="71" spans="1:13">
      <c r="A71" s="989"/>
      <c r="B71" s="472" t="s">
        <v>1263</v>
      </c>
      <c r="C71" s="473">
        <v>200000</v>
      </c>
      <c r="D71" s="473">
        <f>C71*(1+$D$3)</f>
        <v>212000</v>
      </c>
      <c r="E71" s="473">
        <f>D71*(1+$E$3)</f>
        <v>221746.73059833783</v>
      </c>
      <c r="F71" s="473">
        <f>E71*(1+$F$3)</f>
        <v>232218.75195594516</v>
      </c>
      <c r="G71" s="473">
        <f>F71*(1+$G$3)</f>
        <v>243475.58947355591</v>
      </c>
      <c r="H71" s="473">
        <f t="shared" ref="H71:L71" si="77">G71*(1+$G$3)</f>
        <v>255278.10381455228</v>
      </c>
      <c r="I71" s="473">
        <f t="shared" si="77"/>
        <v>267652.74674170633</v>
      </c>
      <c r="J71" s="473">
        <f t="shared" si="77"/>
        <v>280627.2522708085</v>
      </c>
      <c r="K71" s="473">
        <f t="shared" si="77"/>
        <v>294230.6988280674</v>
      </c>
      <c r="L71" s="473">
        <f t="shared" si="77"/>
        <v>308493.57442059909</v>
      </c>
      <c r="M71" s="474" t="s">
        <v>1257</v>
      </c>
    </row>
    <row r="72" spans="1:13">
      <c r="A72" s="989"/>
      <c r="B72" s="217" t="s">
        <v>396</v>
      </c>
      <c r="C72" s="475">
        <f t="shared" ref="C72:G72" si="78">SUM(C67:C71)</f>
        <v>2440000</v>
      </c>
      <c r="D72" s="475">
        <f t="shared" si="78"/>
        <v>2586400</v>
      </c>
      <c r="E72" s="475">
        <f t="shared" si="78"/>
        <v>2705310.1132997214</v>
      </c>
      <c r="F72" s="475">
        <f t="shared" si="78"/>
        <v>2833068.7738625305</v>
      </c>
      <c r="G72" s="475">
        <f t="shared" si="78"/>
        <v>2970402.1915773815</v>
      </c>
      <c r="H72" s="475">
        <f t="shared" ref="H72:L72" si="79">SUM(H67:H71)</f>
        <v>3114392.866537537</v>
      </c>
      <c r="I72" s="475">
        <f t="shared" si="79"/>
        <v>3265363.510248817</v>
      </c>
      <c r="J72" s="475">
        <f t="shared" si="79"/>
        <v>3423652.4777038633</v>
      </c>
      <c r="K72" s="475">
        <f t="shared" si="79"/>
        <v>3589614.5257024216</v>
      </c>
      <c r="L72" s="475">
        <f t="shared" si="79"/>
        <v>3763621.6079313075</v>
      </c>
      <c r="M72" s="474"/>
    </row>
    <row r="73" spans="1:13" ht="25.5">
      <c r="A73" s="989" t="s">
        <v>1279</v>
      </c>
      <c r="B73" s="472" t="s">
        <v>1280</v>
      </c>
      <c r="C73" s="473">
        <v>2500000</v>
      </c>
      <c r="D73" s="473">
        <v>1000000</v>
      </c>
      <c r="E73" s="473">
        <f>D73*(1+$E$3)</f>
        <v>1045975.1443317821</v>
      </c>
      <c r="F73" s="473">
        <f>E73*(1+$F$3)</f>
        <v>1095371.4714903072</v>
      </c>
      <c r="G73" s="473">
        <f>F73*(1+$G$3)</f>
        <v>1148469.7616677165</v>
      </c>
      <c r="H73" s="473">
        <f t="shared" ref="H73:L73" si="80">G73*(1+$G$3)</f>
        <v>1204141.9991252464</v>
      </c>
      <c r="I73" s="473">
        <f t="shared" si="80"/>
        <v>1262512.9563288034</v>
      </c>
      <c r="J73" s="473">
        <f t="shared" si="80"/>
        <v>1323713.4541075872</v>
      </c>
      <c r="K73" s="473">
        <f t="shared" si="80"/>
        <v>1387880.6548493744</v>
      </c>
      <c r="L73" s="473">
        <f t="shared" si="80"/>
        <v>1455158.3699084863</v>
      </c>
      <c r="M73" s="472" t="s">
        <v>1257</v>
      </c>
    </row>
    <row r="74" spans="1:13">
      <c r="A74" s="989"/>
      <c r="B74" s="472" t="s">
        <v>1258</v>
      </c>
      <c r="C74" s="473">
        <v>110000</v>
      </c>
      <c r="D74" s="473">
        <f>C74*(1+$D$3)</f>
        <v>116600</v>
      </c>
      <c r="E74" s="473">
        <f>D74*(1+$E$3)</f>
        <v>121960.7018290858</v>
      </c>
      <c r="F74" s="473">
        <f>E74*(1+$F$3)</f>
        <v>127720.31357576982</v>
      </c>
      <c r="G74" s="473">
        <f>F74*(1+$G$3)</f>
        <v>133911.57421045573</v>
      </c>
      <c r="H74" s="473">
        <f t="shared" ref="H74:L74" si="81">G74*(1+$G$3)</f>
        <v>140402.95709800371</v>
      </c>
      <c r="I74" s="473">
        <f t="shared" si="81"/>
        <v>147209.01070793846</v>
      </c>
      <c r="J74" s="473">
        <f t="shared" si="81"/>
        <v>154344.98874894463</v>
      </c>
      <c r="K74" s="473">
        <f t="shared" si="81"/>
        <v>161826.88435543701</v>
      </c>
      <c r="L74" s="473">
        <f t="shared" si="81"/>
        <v>169671.46593132944</v>
      </c>
      <c r="M74" s="474" t="s">
        <v>1259</v>
      </c>
    </row>
    <row r="75" spans="1:13">
      <c r="A75" s="989"/>
      <c r="B75" s="472" t="s">
        <v>1272</v>
      </c>
      <c r="C75" s="473">
        <v>600000</v>
      </c>
      <c r="D75" s="473">
        <f>C75*(1+$D$3)</f>
        <v>636000</v>
      </c>
      <c r="E75" s="473">
        <f>D75*(1+$E$3)</f>
        <v>665240.1917950135</v>
      </c>
      <c r="F75" s="473">
        <f>E75*(1+$F$3)</f>
        <v>696656.25586783548</v>
      </c>
      <c r="G75" s="473">
        <f>F75*(1+$G$3)</f>
        <v>730426.76842066774</v>
      </c>
      <c r="H75" s="473">
        <f t="shared" ref="H75:L75" si="82">G75*(1+$G$3)</f>
        <v>765834.3114436568</v>
      </c>
      <c r="I75" s="473">
        <f t="shared" si="82"/>
        <v>802958.24022511905</v>
      </c>
      <c r="J75" s="473">
        <f t="shared" si="82"/>
        <v>841881.75681242545</v>
      </c>
      <c r="K75" s="473">
        <f t="shared" si="82"/>
        <v>882692.09648420208</v>
      </c>
      <c r="L75" s="473">
        <f t="shared" si="82"/>
        <v>925480.7232617971</v>
      </c>
      <c r="M75" s="474" t="s">
        <v>1261</v>
      </c>
    </row>
    <row r="76" spans="1:13">
      <c r="A76" s="989"/>
      <c r="B76" s="472" t="s">
        <v>1273</v>
      </c>
      <c r="C76" s="473">
        <v>200000</v>
      </c>
      <c r="D76" s="473">
        <f>C76*(1+$D$3)</f>
        <v>212000</v>
      </c>
      <c r="E76" s="473">
        <f>D76*(1+$E$3)</f>
        <v>221746.73059833783</v>
      </c>
      <c r="F76" s="473">
        <f>E76*(1+$F$3)</f>
        <v>232218.75195594516</v>
      </c>
      <c r="G76" s="473">
        <f>F76*(1+$G$3)</f>
        <v>243475.58947355591</v>
      </c>
      <c r="H76" s="473">
        <f t="shared" ref="H76:L76" si="83">G76*(1+$G$3)</f>
        <v>255278.10381455228</v>
      </c>
      <c r="I76" s="473">
        <f t="shared" si="83"/>
        <v>267652.74674170633</v>
      </c>
      <c r="J76" s="473">
        <f t="shared" si="83"/>
        <v>280627.2522708085</v>
      </c>
      <c r="K76" s="473">
        <f t="shared" si="83"/>
        <v>294230.6988280674</v>
      </c>
      <c r="L76" s="473">
        <f t="shared" si="83"/>
        <v>308493.57442059909</v>
      </c>
      <c r="M76" s="474" t="s">
        <v>1257</v>
      </c>
    </row>
    <row r="77" spans="1:13">
      <c r="A77" s="989"/>
      <c r="B77" s="472" t="s">
        <v>1263</v>
      </c>
      <c r="C77" s="473">
        <v>200000</v>
      </c>
      <c r="D77" s="473">
        <f>C77*(1+$D$3)</f>
        <v>212000</v>
      </c>
      <c r="E77" s="473">
        <f>D77*(1+$E$3)</f>
        <v>221746.73059833783</v>
      </c>
      <c r="F77" s="473">
        <f>E77*(1+$F$3)</f>
        <v>232218.75195594516</v>
      </c>
      <c r="G77" s="473">
        <f>F77*(1+$G$3)</f>
        <v>243475.58947355591</v>
      </c>
      <c r="H77" s="473">
        <f t="shared" ref="H77:L77" si="84">G77*(1+$G$3)</f>
        <v>255278.10381455228</v>
      </c>
      <c r="I77" s="473">
        <f t="shared" si="84"/>
        <v>267652.74674170633</v>
      </c>
      <c r="J77" s="473">
        <f t="shared" si="84"/>
        <v>280627.2522708085</v>
      </c>
      <c r="K77" s="473">
        <f t="shared" si="84"/>
        <v>294230.6988280674</v>
      </c>
      <c r="L77" s="473">
        <f t="shared" si="84"/>
        <v>308493.57442059909</v>
      </c>
      <c r="M77" s="474" t="s">
        <v>1257</v>
      </c>
    </row>
    <row r="78" spans="1:13">
      <c r="A78" s="989"/>
      <c r="B78" s="217" t="s">
        <v>396</v>
      </c>
      <c r="C78" s="475">
        <f t="shared" ref="C78:G78" si="85">SUM(C73:C77)</f>
        <v>3610000</v>
      </c>
      <c r="D78" s="475">
        <f t="shared" si="85"/>
        <v>2176600</v>
      </c>
      <c r="E78" s="475">
        <f t="shared" si="85"/>
        <v>2276669.4991525575</v>
      </c>
      <c r="F78" s="475">
        <f t="shared" si="85"/>
        <v>2384185.5448458027</v>
      </c>
      <c r="G78" s="475">
        <f t="shared" si="85"/>
        <v>2499759.2832459514</v>
      </c>
      <c r="H78" s="475">
        <f t="shared" ref="H78:L78" si="86">SUM(H73:H77)</f>
        <v>2620935.4752960112</v>
      </c>
      <c r="I78" s="475">
        <f t="shared" si="86"/>
        <v>2747985.7007452738</v>
      </c>
      <c r="J78" s="475">
        <f t="shared" si="86"/>
        <v>2881194.7042105743</v>
      </c>
      <c r="K78" s="475">
        <f t="shared" si="86"/>
        <v>3020861.0333451489</v>
      </c>
      <c r="L78" s="475">
        <f t="shared" si="86"/>
        <v>3167297.7079428113</v>
      </c>
      <c r="M78" s="474"/>
    </row>
    <row r="79" spans="1:13" ht="25.5">
      <c r="A79" s="989" t="s">
        <v>1281</v>
      </c>
      <c r="B79" s="472" t="s">
        <v>1271</v>
      </c>
      <c r="C79" s="473">
        <v>1000000</v>
      </c>
      <c r="D79" s="473">
        <f>C79*(1+$D$3)</f>
        <v>1060000</v>
      </c>
      <c r="E79" s="473">
        <f>D79*(1+$E$3)</f>
        <v>1108733.652991689</v>
      </c>
      <c r="F79" s="473">
        <f>E79*(1+$F$3)</f>
        <v>1161093.7597797257</v>
      </c>
      <c r="G79" s="473">
        <f>F79*(1+$G$3)</f>
        <v>1217377.9473677794</v>
      </c>
      <c r="H79" s="473">
        <f t="shared" ref="H79:L79" si="87">G79*(1+$G$3)</f>
        <v>1276390.5190727613</v>
      </c>
      <c r="I79" s="473">
        <f t="shared" si="87"/>
        <v>1338263.7337085316</v>
      </c>
      <c r="J79" s="473">
        <f t="shared" si="87"/>
        <v>1403136.2613540422</v>
      </c>
      <c r="K79" s="473">
        <f t="shared" si="87"/>
        <v>1471153.4941403365</v>
      </c>
      <c r="L79" s="473">
        <f t="shared" si="87"/>
        <v>1542467.8721029949</v>
      </c>
      <c r="M79" s="472" t="s">
        <v>1257</v>
      </c>
    </row>
    <row r="80" spans="1:13">
      <c r="A80" s="989"/>
      <c r="B80" s="472" t="s">
        <v>1258</v>
      </c>
      <c r="C80" s="473">
        <v>140000</v>
      </c>
      <c r="D80" s="473">
        <f>C80*(1+$D$3)</f>
        <v>148400</v>
      </c>
      <c r="E80" s="473">
        <f>D80*(1+$E$3)</f>
        <v>155222.71141883646</v>
      </c>
      <c r="F80" s="473">
        <f>E80*(1+$F$3)</f>
        <v>162553.12636916159</v>
      </c>
      <c r="G80" s="473">
        <f>F80*(1+$G$3)</f>
        <v>170432.9126314891</v>
      </c>
      <c r="H80" s="473">
        <f t="shared" ref="H80:L80" si="88">G80*(1+$G$3)</f>
        <v>178694.67267018656</v>
      </c>
      <c r="I80" s="473">
        <f t="shared" si="88"/>
        <v>187356.92271919441</v>
      </c>
      <c r="J80" s="473">
        <f t="shared" si="88"/>
        <v>196439.0765895659</v>
      </c>
      <c r="K80" s="473">
        <f t="shared" si="88"/>
        <v>205961.48917964712</v>
      </c>
      <c r="L80" s="473">
        <f t="shared" si="88"/>
        <v>215945.50209441929</v>
      </c>
      <c r="M80" s="474" t="s">
        <v>1259</v>
      </c>
    </row>
    <row r="81" spans="1:13">
      <c r="A81" s="989"/>
      <c r="B81" s="472" t="s">
        <v>1272</v>
      </c>
      <c r="C81" s="473">
        <v>600000</v>
      </c>
      <c r="D81" s="473">
        <f>C81*(1+$D$3)</f>
        <v>636000</v>
      </c>
      <c r="E81" s="473">
        <f>D81*(1+$E$3)</f>
        <v>665240.1917950135</v>
      </c>
      <c r="F81" s="473">
        <f>E81*(1+$F$3)</f>
        <v>696656.25586783548</v>
      </c>
      <c r="G81" s="473">
        <f>F81*(1+$G$3)</f>
        <v>730426.76842066774</v>
      </c>
      <c r="H81" s="473">
        <f t="shared" ref="H81:L81" si="89">G81*(1+$G$3)</f>
        <v>765834.3114436568</v>
      </c>
      <c r="I81" s="473">
        <f t="shared" si="89"/>
        <v>802958.24022511905</v>
      </c>
      <c r="J81" s="473">
        <f t="shared" si="89"/>
        <v>841881.75681242545</v>
      </c>
      <c r="K81" s="473">
        <f t="shared" si="89"/>
        <v>882692.09648420208</v>
      </c>
      <c r="L81" s="473">
        <f t="shared" si="89"/>
        <v>925480.7232617971</v>
      </c>
      <c r="M81" s="474" t="s">
        <v>1261</v>
      </c>
    </row>
    <row r="82" spans="1:13">
      <c r="A82" s="989"/>
      <c r="B82" s="472" t="s">
        <v>1273</v>
      </c>
      <c r="C82" s="473">
        <v>500000</v>
      </c>
      <c r="D82" s="473">
        <f>C82*(1+$D$3)</f>
        <v>530000</v>
      </c>
      <c r="E82" s="473">
        <f>D82*(1+$E$3)</f>
        <v>554366.82649584452</v>
      </c>
      <c r="F82" s="473">
        <f>E82*(1+$F$3)</f>
        <v>580546.87988986284</v>
      </c>
      <c r="G82" s="473">
        <f>F82*(1+$G$3)</f>
        <v>608688.97368388972</v>
      </c>
      <c r="H82" s="473">
        <f t="shared" ref="H82:L82" si="90">G82*(1+$G$3)</f>
        <v>638195.25953638065</v>
      </c>
      <c r="I82" s="473">
        <f t="shared" si="90"/>
        <v>669131.8668542658</v>
      </c>
      <c r="J82" s="473">
        <f t="shared" si="90"/>
        <v>701568.13067702111</v>
      </c>
      <c r="K82" s="473">
        <f t="shared" si="90"/>
        <v>735576.74707016826</v>
      </c>
      <c r="L82" s="473">
        <f t="shared" si="90"/>
        <v>771233.93605149747</v>
      </c>
      <c r="M82" s="474" t="s">
        <v>1257</v>
      </c>
    </row>
    <row r="83" spans="1:13">
      <c r="A83" s="989"/>
      <c r="B83" s="472" t="s">
        <v>1263</v>
      </c>
      <c r="C83" s="473">
        <v>200000</v>
      </c>
      <c r="D83" s="473">
        <f>C83*(1+$D$3)</f>
        <v>212000</v>
      </c>
      <c r="E83" s="473">
        <f>D83*(1+$E$3)</f>
        <v>221746.73059833783</v>
      </c>
      <c r="F83" s="473">
        <f>E83*(1+$F$3)</f>
        <v>232218.75195594516</v>
      </c>
      <c r="G83" s="473">
        <f>F83*(1+$G$3)</f>
        <v>243475.58947355591</v>
      </c>
      <c r="H83" s="473">
        <f t="shared" ref="H83:L83" si="91">G83*(1+$G$3)</f>
        <v>255278.10381455228</v>
      </c>
      <c r="I83" s="473">
        <f t="shared" si="91"/>
        <v>267652.74674170633</v>
      </c>
      <c r="J83" s="473">
        <f t="shared" si="91"/>
        <v>280627.2522708085</v>
      </c>
      <c r="K83" s="473">
        <f t="shared" si="91"/>
        <v>294230.6988280674</v>
      </c>
      <c r="L83" s="473">
        <f t="shared" si="91"/>
        <v>308493.57442059909</v>
      </c>
      <c r="M83" s="474" t="s">
        <v>1257</v>
      </c>
    </row>
    <row r="84" spans="1:13">
      <c r="A84" s="989"/>
      <c r="B84" s="217" t="s">
        <v>396</v>
      </c>
      <c r="C84" s="475">
        <f t="shared" ref="C84:G84" si="92">SUM(C79:C83)</f>
        <v>2440000</v>
      </c>
      <c r="D84" s="475">
        <f t="shared" si="92"/>
        <v>2586400</v>
      </c>
      <c r="E84" s="475">
        <f t="shared" si="92"/>
        <v>2705310.1132997214</v>
      </c>
      <c r="F84" s="475">
        <f t="shared" si="92"/>
        <v>2833068.7738625305</v>
      </c>
      <c r="G84" s="475">
        <f t="shared" si="92"/>
        <v>2970402.1915773815</v>
      </c>
      <c r="H84" s="475">
        <f t="shared" ref="H84:L84" si="93">SUM(H79:H83)</f>
        <v>3114392.866537537</v>
      </c>
      <c r="I84" s="475">
        <f t="shared" si="93"/>
        <v>3265363.510248817</v>
      </c>
      <c r="J84" s="475">
        <f t="shared" si="93"/>
        <v>3423652.4777038633</v>
      </c>
      <c r="K84" s="475">
        <f t="shared" si="93"/>
        <v>3589614.5257024216</v>
      </c>
      <c r="L84" s="475">
        <f t="shared" si="93"/>
        <v>3763621.6079313075</v>
      </c>
      <c r="M84" s="474"/>
    </row>
    <row r="85" spans="1:13">
      <c r="A85" s="989" t="s">
        <v>1282</v>
      </c>
      <c r="B85" s="472" t="s">
        <v>1258</v>
      </c>
      <c r="C85" s="473">
        <v>110000</v>
      </c>
      <c r="D85" s="473">
        <f>C85*(1+$D$3)</f>
        <v>116600</v>
      </c>
      <c r="E85" s="473">
        <f>D85*(1+$E$3)</f>
        <v>121960.7018290858</v>
      </c>
      <c r="F85" s="473">
        <f>E85*(1+$F$3)</f>
        <v>127720.31357576982</v>
      </c>
      <c r="G85" s="473">
        <f>F85*(1+$G$3)</f>
        <v>133911.57421045573</v>
      </c>
      <c r="H85" s="473">
        <f t="shared" ref="H85:L85" si="94">G85*(1+$G$3)</f>
        <v>140402.95709800371</v>
      </c>
      <c r="I85" s="473">
        <f t="shared" si="94"/>
        <v>147209.01070793846</v>
      </c>
      <c r="J85" s="473">
        <f t="shared" si="94"/>
        <v>154344.98874894463</v>
      </c>
      <c r="K85" s="473">
        <f t="shared" si="94"/>
        <v>161826.88435543701</v>
      </c>
      <c r="L85" s="473">
        <f t="shared" si="94"/>
        <v>169671.46593132944</v>
      </c>
      <c r="M85" s="474" t="s">
        <v>1259</v>
      </c>
    </row>
    <row r="86" spans="1:13">
      <c r="A86" s="989"/>
      <c r="B86" s="472" t="s">
        <v>1272</v>
      </c>
      <c r="C86" s="473">
        <v>600000</v>
      </c>
      <c r="D86" s="473">
        <f>C86*(1+$D$3)</f>
        <v>636000</v>
      </c>
      <c r="E86" s="473">
        <f>D86*(1+$E$3)</f>
        <v>665240.1917950135</v>
      </c>
      <c r="F86" s="473">
        <f>E86*(1+$F$3)</f>
        <v>696656.25586783548</v>
      </c>
      <c r="G86" s="473">
        <f>F86*(1+$G$3)</f>
        <v>730426.76842066774</v>
      </c>
      <c r="H86" s="473">
        <f t="shared" ref="H86:L86" si="95">G86*(1+$G$3)</f>
        <v>765834.3114436568</v>
      </c>
      <c r="I86" s="473">
        <f t="shared" si="95"/>
        <v>802958.24022511905</v>
      </c>
      <c r="J86" s="473">
        <f t="shared" si="95"/>
        <v>841881.75681242545</v>
      </c>
      <c r="K86" s="473">
        <f t="shared" si="95"/>
        <v>882692.09648420208</v>
      </c>
      <c r="L86" s="473">
        <f t="shared" si="95"/>
        <v>925480.7232617971</v>
      </c>
      <c r="M86" s="474" t="s">
        <v>1261</v>
      </c>
    </row>
    <row r="87" spans="1:13">
      <c r="A87" s="989"/>
      <c r="B87" s="472" t="s">
        <v>1273</v>
      </c>
      <c r="C87" s="473">
        <v>200000</v>
      </c>
      <c r="D87" s="473">
        <f>C87*(1+$D$3)</f>
        <v>212000</v>
      </c>
      <c r="E87" s="473">
        <f>D87*(1+$E$3)</f>
        <v>221746.73059833783</v>
      </c>
      <c r="F87" s="473">
        <f>E87*(1+$F$3)</f>
        <v>232218.75195594516</v>
      </c>
      <c r="G87" s="473">
        <f>F87*(1+$G$3)</f>
        <v>243475.58947355591</v>
      </c>
      <c r="H87" s="473">
        <f t="shared" ref="H87:L87" si="96">G87*(1+$G$3)</f>
        <v>255278.10381455228</v>
      </c>
      <c r="I87" s="473">
        <f t="shared" si="96"/>
        <v>267652.74674170633</v>
      </c>
      <c r="J87" s="473">
        <f t="shared" si="96"/>
        <v>280627.2522708085</v>
      </c>
      <c r="K87" s="473">
        <f t="shared" si="96"/>
        <v>294230.6988280674</v>
      </c>
      <c r="L87" s="473">
        <f t="shared" si="96"/>
        <v>308493.57442059909</v>
      </c>
      <c r="M87" s="474" t="s">
        <v>1257</v>
      </c>
    </row>
    <row r="88" spans="1:13">
      <c r="A88" s="989"/>
      <c r="B88" s="472" t="s">
        <v>1263</v>
      </c>
      <c r="C88" s="473">
        <v>200000</v>
      </c>
      <c r="D88" s="473">
        <f>C88*(1+$D$3)</f>
        <v>212000</v>
      </c>
      <c r="E88" s="473">
        <f>D88*(1+$E$3)</f>
        <v>221746.73059833783</v>
      </c>
      <c r="F88" s="473">
        <f>E88*(1+$F$3)</f>
        <v>232218.75195594516</v>
      </c>
      <c r="G88" s="473">
        <f>F88*(1+$G$3)</f>
        <v>243475.58947355591</v>
      </c>
      <c r="H88" s="473">
        <f t="shared" ref="H88:L88" si="97">G88*(1+$G$3)</f>
        <v>255278.10381455228</v>
      </c>
      <c r="I88" s="473">
        <f t="shared" si="97"/>
        <v>267652.74674170633</v>
      </c>
      <c r="J88" s="473">
        <f t="shared" si="97"/>
        <v>280627.2522708085</v>
      </c>
      <c r="K88" s="473">
        <f t="shared" si="97"/>
        <v>294230.6988280674</v>
      </c>
      <c r="L88" s="473">
        <f t="shared" si="97"/>
        <v>308493.57442059909</v>
      </c>
      <c r="M88" s="474" t="s">
        <v>1257</v>
      </c>
    </row>
    <row r="89" spans="1:13">
      <c r="A89" s="989"/>
      <c r="B89" s="217" t="s">
        <v>396</v>
      </c>
      <c r="C89" s="475">
        <f>SUM(C85:C88)</f>
        <v>1110000</v>
      </c>
      <c r="D89" s="475">
        <f>SUM(D85:D88)</f>
        <v>1176600</v>
      </c>
      <c r="E89" s="475">
        <f>SUM(E85:E88)</f>
        <v>1230694.3548207749</v>
      </c>
      <c r="F89" s="475">
        <f>SUM(F85:F88)</f>
        <v>1288814.0733554955</v>
      </c>
      <c r="G89" s="475">
        <f>SUM(G85:G88)</f>
        <v>1351289.5215782351</v>
      </c>
      <c r="H89" s="475">
        <f t="shared" ref="H89:L89" si="98">SUM(H85:H88)</f>
        <v>1416793.476170765</v>
      </c>
      <c r="I89" s="475">
        <f t="shared" si="98"/>
        <v>1485472.7444164702</v>
      </c>
      <c r="J89" s="475">
        <f t="shared" si="98"/>
        <v>1557481.250102987</v>
      </c>
      <c r="K89" s="475">
        <f t="shared" si="98"/>
        <v>1632980.378495774</v>
      </c>
      <c r="L89" s="475">
        <f t="shared" si="98"/>
        <v>1712139.3380343246</v>
      </c>
      <c r="M89" s="474"/>
    </row>
    <row r="90" spans="1:13">
      <c r="A90" s="989" t="s">
        <v>1283</v>
      </c>
      <c r="B90" s="472" t="s">
        <v>1258</v>
      </c>
      <c r="C90" s="473">
        <v>110000</v>
      </c>
      <c r="D90" s="473">
        <f>C90*(1+$D$3)</f>
        <v>116600</v>
      </c>
      <c r="E90" s="473">
        <f>D90*(1+$E$3)</f>
        <v>121960.7018290858</v>
      </c>
      <c r="F90" s="473">
        <f>E90*(1+$F$3)</f>
        <v>127720.31357576982</v>
      </c>
      <c r="G90" s="473">
        <f>F90*(1+$G$3)</f>
        <v>133911.57421045573</v>
      </c>
      <c r="H90" s="473">
        <f t="shared" ref="H90:L90" si="99">G90*(1+$G$3)</f>
        <v>140402.95709800371</v>
      </c>
      <c r="I90" s="473">
        <f t="shared" si="99"/>
        <v>147209.01070793846</v>
      </c>
      <c r="J90" s="473">
        <f t="shared" si="99"/>
        <v>154344.98874894463</v>
      </c>
      <c r="K90" s="473">
        <f t="shared" si="99"/>
        <v>161826.88435543701</v>
      </c>
      <c r="L90" s="473">
        <f t="shared" si="99"/>
        <v>169671.46593132944</v>
      </c>
      <c r="M90" s="474" t="s">
        <v>1259</v>
      </c>
    </row>
    <row r="91" spans="1:13">
      <c r="A91" s="989"/>
      <c r="B91" s="472" t="s">
        <v>1272</v>
      </c>
      <c r="C91" s="473">
        <v>600000</v>
      </c>
      <c r="D91" s="473">
        <f>C91*(1+$D$3)</f>
        <v>636000</v>
      </c>
      <c r="E91" s="473">
        <f>D91*(1+$E$3)</f>
        <v>665240.1917950135</v>
      </c>
      <c r="F91" s="473">
        <f>E91*(1+$F$3)</f>
        <v>696656.25586783548</v>
      </c>
      <c r="G91" s="473">
        <f>F91*(1+$G$3)</f>
        <v>730426.76842066774</v>
      </c>
      <c r="H91" s="473">
        <f t="shared" ref="H91:L91" si="100">G91*(1+$G$3)</f>
        <v>765834.3114436568</v>
      </c>
      <c r="I91" s="473">
        <f t="shared" si="100"/>
        <v>802958.24022511905</v>
      </c>
      <c r="J91" s="473">
        <f t="shared" si="100"/>
        <v>841881.75681242545</v>
      </c>
      <c r="K91" s="473">
        <f t="shared" si="100"/>
        <v>882692.09648420208</v>
      </c>
      <c r="L91" s="473">
        <f t="shared" si="100"/>
        <v>925480.7232617971</v>
      </c>
      <c r="M91" s="474" t="s">
        <v>1261</v>
      </c>
    </row>
    <row r="92" spans="1:13">
      <c r="A92" s="989"/>
      <c r="B92" s="472" t="s">
        <v>1273</v>
      </c>
      <c r="C92" s="473">
        <v>200000</v>
      </c>
      <c r="D92" s="473">
        <f>C92*(1+$D$3)</f>
        <v>212000</v>
      </c>
      <c r="E92" s="473">
        <f>D92*(1+$E$3)</f>
        <v>221746.73059833783</v>
      </c>
      <c r="F92" s="473">
        <f>E92*(1+$F$3)</f>
        <v>232218.75195594516</v>
      </c>
      <c r="G92" s="473">
        <f>F92*(1+$G$3)</f>
        <v>243475.58947355591</v>
      </c>
      <c r="H92" s="473">
        <f t="shared" ref="H92:L92" si="101">G92*(1+$G$3)</f>
        <v>255278.10381455228</v>
      </c>
      <c r="I92" s="473">
        <f t="shared" si="101"/>
        <v>267652.74674170633</v>
      </c>
      <c r="J92" s="473">
        <f t="shared" si="101"/>
        <v>280627.2522708085</v>
      </c>
      <c r="K92" s="473">
        <f t="shared" si="101"/>
        <v>294230.6988280674</v>
      </c>
      <c r="L92" s="473">
        <f t="shared" si="101"/>
        <v>308493.57442059909</v>
      </c>
      <c r="M92" s="474" t="s">
        <v>1257</v>
      </c>
    </row>
    <row r="93" spans="1:13">
      <c r="A93" s="989"/>
      <c r="B93" s="472" t="s">
        <v>1263</v>
      </c>
      <c r="C93" s="473">
        <v>200000</v>
      </c>
      <c r="D93" s="473">
        <f>C93*(1+$D$3)</f>
        <v>212000</v>
      </c>
      <c r="E93" s="473">
        <f>D93*(1+$E$3)</f>
        <v>221746.73059833783</v>
      </c>
      <c r="F93" s="473">
        <f>E93*(1+$F$3)</f>
        <v>232218.75195594516</v>
      </c>
      <c r="G93" s="473">
        <f>F93*(1+$G$3)</f>
        <v>243475.58947355591</v>
      </c>
      <c r="H93" s="473">
        <f t="shared" ref="H93:L93" si="102">G93*(1+$G$3)</f>
        <v>255278.10381455228</v>
      </c>
      <c r="I93" s="473">
        <f t="shared" si="102"/>
        <v>267652.74674170633</v>
      </c>
      <c r="J93" s="473">
        <f t="shared" si="102"/>
        <v>280627.2522708085</v>
      </c>
      <c r="K93" s="473">
        <f t="shared" si="102"/>
        <v>294230.6988280674</v>
      </c>
      <c r="L93" s="473">
        <f t="shared" si="102"/>
        <v>308493.57442059909</v>
      </c>
      <c r="M93" s="474" t="s">
        <v>1257</v>
      </c>
    </row>
    <row r="94" spans="1:13">
      <c r="A94" s="989"/>
      <c r="B94" s="217" t="s">
        <v>396</v>
      </c>
      <c r="C94" s="475">
        <f t="shared" ref="C94:G94" si="103">SUM(C90:C93)</f>
        <v>1110000</v>
      </c>
      <c r="D94" s="475">
        <f t="shared" si="103"/>
        <v>1176600</v>
      </c>
      <c r="E94" s="475">
        <f t="shared" si="103"/>
        <v>1230694.3548207749</v>
      </c>
      <c r="F94" s="475">
        <f t="shared" si="103"/>
        <v>1288814.0733554955</v>
      </c>
      <c r="G94" s="475">
        <f t="shared" si="103"/>
        <v>1351289.5215782351</v>
      </c>
      <c r="H94" s="475">
        <f t="shared" ref="H94:L94" si="104">SUM(H90:H93)</f>
        <v>1416793.476170765</v>
      </c>
      <c r="I94" s="475">
        <f t="shared" si="104"/>
        <v>1485472.7444164702</v>
      </c>
      <c r="J94" s="475">
        <f t="shared" si="104"/>
        <v>1557481.250102987</v>
      </c>
      <c r="K94" s="475">
        <f t="shared" si="104"/>
        <v>1632980.378495774</v>
      </c>
      <c r="L94" s="475">
        <f t="shared" si="104"/>
        <v>1712139.3380343246</v>
      </c>
      <c r="M94" s="474"/>
    </row>
    <row r="95" spans="1:13" ht="25.5">
      <c r="A95" s="989" t="s">
        <v>1284</v>
      </c>
      <c r="B95" s="472" t="s">
        <v>1280</v>
      </c>
      <c r="C95" s="473">
        <v>3500000</v>
      </c>
      <c r="D95" s="473">
        <v>1000000</v>
      </c>
      <c r="E95" s="473">
        <f>D95*(1+$E$3)</f>
        <v>1045975.1443317821</v>
      </c>
      <c r="F95" s="473">
        <f>E95*(1+$F$3)</f>
        <v>1095371.4714903072</v>
      </c>
      <c r="G95" s="473">
        <f>F95*(1+$G$3)</f>
        <v>1148469.7616677165</v>
      </c>
      <c r="H95" s="473">
        <f t="shared" ref="H95:L95" si="105">G95*(1+$G$3)</f>
        <v>1204141.9991252464</v>
      </c>
      <c r="I95" s="473">
        <f t="shared" si="105"/>
        <v>1262512.9563288034</v>
      </c>
      <c r="J95" s="473">
        <f t="shared" si="105"/>
        <v>1323713.4541075872</v>
      </c>
      <c r="K95" s="473">
        <f t="shared" si="105"/>
        <v>1387880.6548493744</v>
      </c>
      <c r="L95" s="473">
        <f t="shared" si="105"/>
        <v>1455158.3699084863</v>
      </c>
      <c r="M95" s="472" t="s">
        <v>1257</v>
      </c>
    </row>
    <row r="96" spans="1:13">
      <c r="A96" s="989"/>
      <c r="B96" s="472" t="s">
        <v>1258</v>
      </c>
      <c r="C96" s="473">
        <v>140000</v>
      </c>
      <c r="D96" s="473">
        <f>C96*(1+$D$3)</f>
        <v>148400</v>
      </c>
      <c r="E96" s="473">
        <f>D96*(1+$E$3)</f>
        <v>155222.71141883646</v>
      </c>
      <c r="F96" s="473">
        <f>E96*(1+$F$3)</f>
        <v>162553.12636916159</v>
      </c>
      <c r="G96" s="473">
        <f>F96*(1+$G$3)</f>
        <v>170432.9126314891</v>
      </c>
      <c r="H96" s="473">
        <f t="shared" ref="H96:L96" si="106">G96*(1+$G$3)</f>
        <v>178694.67267018656</v>
      </c>
      <c r="I96" s="473">
        <f t="shared" si="106"/>
        <v>187356.92271919441</v>
      </c>
      <c r="J96" s="473">
        <f t="shared" si="106"/>
        <v>196439.0765895659</v>
      </c>
      <c r="K96" s="473">
        <f t="shared" si="106"/>
        <v>205961.48917964712</v>
      </c>
      <c r="L96" s="473">
        <f t="shared" si="106"/>
        <v>215945.50209441929</v>
      </c>
      <c r="M96" s="474" t="s">
        <v>1259</v>
      </c>
    </row>
    <row r="97" spans="1:13">
      <c r="A97" s="989"/>
      <c r="B97" s="472" t="s">
        <v>1272</v>
      </c>
      <c r="C97" s="473">
        <v>600000</v>
      </c>
      <c r="D97" s="473">
        <f>C97*(1+$D$3)</f>
        <v>636000</v>
      </c>
      <c r="E97" s="473">
        <f>D97*(1+$E$3)</f>
        <v>665240.1917950135</v>
      </c>
      <c r="F97" s="473">
        <f>E97*(1+$F$3)</f>
        <v>696656.25586783548</v>
      </c>
      <c r="G97" s="473">
        <f>F97*(1+$G$3)</f>
        <v>730426.76842066774</v>
      </c>
      <c r="H97" s="473">
        <f t="shared" ref="H97:L97" si="107">G97*(1+$G$3)</f>
        <v>765834.3114436568</v>
      </c>
      <c r="I97" s="473">
        <f t="shared" si="107"/>
        <v>802958.24022511905</v>
      </c>
      <c r="J97" s="473">
        <f t="shared" si="107"/>
        <v>841881.75681242545</v>
      </c>
      <c r="K97" s="473">
        <f t="shared" si="107"/>
        <v>882692.09648420208</v>
      </c>
      <c r="L97" s="473">
        <f t="shared" si="107"/>
        <v>925480.7232617971</v>
      </c>
      <c r="M97" s="474" t="s">
        <v>1261</v>
      </c>
    </row>
    <row r="98" spans="1:13">
      <c r="A98" s="989"/>
      <c r="B98" s="472" t="s">
        <v>1273</v>
      </c>
      <c r="C98" s="473">
        <v>500000</v>
      </c>
      <c r="D98" s="473">
        <f>C98*(1+$D$3)</f>
        <v>530000</v>
      </c>
      <c r="E98" s="473">
        <f>D98*(1+$E$3)</f>
        <v>554366.82649584452</v>
      </c>
      <c r="F98" s="473">
        <f>E98*(1+$F$3)</f>
        <v>580546.87988986284</v>
      </c>
      <c r="G98" s="473">
        <f>F98*(1+$G$3)</f>
        <v>608688.97368388972</v>
      </c>
      <c r="H98" s="473">
        <f t="shared" ref="H98:L98" si="108">G98*(1+$G$3)</f>
        <v>638195.25953638065</v>
      </c>
      <c r="I98" s="473">
        <f t="shared" si="108"/>
        <v>669131.8668542658</v>
      </c>
      <c r="J98" s="473">
        <f t="shared" si="108"/>
        <v>701568.13067702111</v>
      </c>
      <c r="K98" s="473">
        <f t="shared" si="108"/>
        <v>735576.74707016826</v>
      </c>
      <c r="L98" s="473">
        <f t="shared" si="108"/>
        <v>771233.93605149747</v>
      </c>
      <c r="M98" s="474" t="s">
        <v>1257</v>
      </c>
    </row>
    <row r="99" spans="1:13">
      <c r="A99" s="989"/>
      <c r="B99" s="472" t="s">
        <v>1263</v>
      </c>
      <c r="C99" s="473">
        <v>200000</v>
      </c>
      <c r="D99" s="473">
        <f>C99*(1+$D$3)</f>
        <v>212000</v>
      </c>
      <c r="E99" s="473">
        <f>D99*(1+$E$3)</f>
        <v>221746.73059833783</v>
      </c>
      <c r="F99" s="473">
        <f>E99*(1+$F$3)</f>
        <v>232218.75195594516</v>
      </c>
      <c r="G99" s="473">
        <f>F99*(1+$G$3)</f>
        <v>243475.58947355591</v>
      </c>
      <c r="H99" s="473">
        <f t="shared" ref="H99:L99" si="109">G99*(1+$G$3)</f>
        <v>255278.10381455228</v>
      </c>
      <c r="I99" s="473">
        <f t="shared" si="109"/>
        <v>267652.74674170633</v>
      </c>
      <c r="J99" s="473">
        <f t="shared" si="109"/>
        <v>280627.2522708085</v>
      </c>
      <c r="K99" s="473">
        <f t="shared" si="109"/>
        <v>294230.6988280674</v>
      </c>
      <c r="L99" s="473">
        <f t="shared" si="109"/>
        <v>308493.57442059909</v>
      </c>
      <c r="M99" s="474" t="s">
        <v>1257</v>
      </c>
    </row>
    <row r="100" spans="1:13">
      <c r="A100" s="989"/>
      <c r="B100" s="217" t="s">
        <v>396</v>
      </c>
      <c r="C100" s="475">
        <f t="shared" ref="C100:G100" si="110">SUM(C95:C99)</f>
        <v>4940000</v>
      </c>
      <c r="D100" s="475">
        <f t="shared" si="110"/>
        <v>2526400</v>
      </c>
      <c r="E100" s="475">
        <f t="shared" si="110"/>
        <v>2642551.6046398142</v>
      </c>
      <c r="F100" s="475">
        <f t="shared" si="110"/>
        <v>2767346.485573112</v>
      </c>
      <c r="G100" s="475">
        <f t="shared" si="110"/>
        <v>2901494.0058773188</v>
      </c>
      <c r="H100" s="475">
        <f t="shared" ref="H100:L100" si="111">SUM(H95:H99)</f>
        <v>3042144.3465900221</v>
      </c>
      <c r="I100" s="475">
        <f t="shared" si="111"/>
        <v>3189612.7328690891</v>
      </c>
      <c r="J100" s="475">
        <f t="shared" si="111"/>
        <v>3344229.6704574083</v>
      </c>
      <c r="K100" s="475">
        <f t="shared" si="111"/>
        <v>3506341.686411459</v>
      </c>
      <c r="L100" s="475">
        <f t="shared" si="111"/>
        <v>3676312.1057367995</v>
      </c>
      <c r="M100" s="474"/>
    </row>
    <row r="101" spans="1:13">
      <c r="A101" s="989" t="s">
        <v>1285</v>
      </c>
      <c r="B101" s="472" t="s">
        <v>1286</v>
      </c>
      <c r="C101" s="473">
        <v>500000</v>
      </c>
      <c r="D101" s="473">
        <f t="shared" ref="D101:D102" si="112">C101*(1+$D$3)</f>
        <v>530000</v>
      </c>
      <c r="E101" s="473">
        <f t="shared" ref="E101:E102" si="113">D101*(1+$E$3)</f>
        <v>554366.82649584452</v>
      </c>
      <c r="F101" s="473">
        <f t="shared" ref="F101:F102" si="114">E101*(1+$F$3)</f>
        <v>580546.87988986284</v>
      </c>
      <c r="G101" s="473">
        <f t="shared" ref="G101:G102" si="115">F101*(1+$G$3)</f>
        <v>608688.97368388972</v>
      </c>
      <c r="H101" s="473">
        <f t="shared" ref="H101:H102" si="116">G101*(1+$G$3)</f>
        <v>638195.25953638065</v>
      </c>
      <c r="I101" s="473">
        <f t="shared" ref="I101:I102" si="117">H101*(1+$G$3)</f>
        <v>669131.8668542658</v>
      </c>
      <c r="J101" s="473">
        <f t="shared" ref="J101:J102" si="118">I101*(1+$G$3)</f>
        <v>701568.13067702111</v>
      </c>
      <c r="K101" s="473">
        <f t="shared" ref="K101:K102" si="119">J101*(1+$G$3)</f>
        <v>735576.74707016826</v>
      </c>
      <c r="L101" s="473">
        <f t="shared" ref="L101:L102" si="120">K101*(1+$G$3)</f>
        <v>771233.93605149747</v>
      </c>
      <c r="M101" s="472"/>
    </row>
    <row r="102" spans="1:13">
      <c r="A102" s="989"/>
      <c r="B102" s="472" t="s">
        <v>1287</v>
      </c>
      <c r="C102" s="473">
        <v>300000</v>
      </c>
      <c r="D102" s="473">
        <f t="shared" si="112"/>
        <v>318000</v>
      </c>
      <c r="E102" s="473">
        <f t="shared" si="113"/>
        <v>332620.09589750675</v>
      </c>
      <c r="F102" s="473">
        <f t="shared" si="114"/>
        <v>348328.12793391774</v>
      </c>
      <c r="G102" s="473">
        <f t="shared" si="115"/>
        <v>365213.38421033387</v>
      </c>
      <c r="H102" s="473">
        <f t="shared" si="116"/>
        <v>382917.1557218284</v>
      </c>
      <c r="I102" s="473">
        <f t="shared" si="117"/>
        <v>401479.12011255953</v>
      </c>
      <c r="J102" s="473">
        <f t="shared" si="118"/>
        <v>420940.87840621272</v>
      </c>
      <c r="K102" s="473">
        <f t="shared" si="119"/>
        <v>441346.04824210104</v>
      </c>
      <c r="L102" s="473">
        <f t="shared" si="120"/>
        <v>462740.36163089855</v>
      </c>
      <c r="M102" s="472"/>
    </row>
    <row r="103" spans="1:13">
      <c r="A103" s="989"/>
      <c r="B103" s="217" t="s">
        <v>396</v>
      </c>
      <c r="C103" s="475">
        <f>SUM(C101:C102)</f>
        <v>800000</v>
      </c>
      <c r="D103" s="475">
        <f>SUM(D101:D102)</f>
        <v>848000</v>
      </c>
      <c r="E103" s="475">
        <f>SUM(E101:E102)</f>
        <v>886986.92239335133</v>
      </c>
      <c r="F103" s="475">
        <f>SUM(F101:F102)</f>
        <v>928875.00782378064</v>
      </c>
      <c r="G103" s="475">
        <f>SUM(G101:G102)</f>
        <v>973902.35789422365</v>
      </c>
      <c r="H103" s="475">
        <f t="shared" ref="H103:L103" si="121">SUM(H101:H102)</f>
        <v>1021112.415258209</v>
      </c>
      <c r="I103" s="475">
        <f t="shared" si="121"/>
        <v>1070610.9869668253</v>
      </c>
      <c r="J103" s="475">
        <f t="shared" si="121"/>
        <v>1122509.0090832338</v>
      </c>
      <c r="K103" s="475">
        <f t="shared" si="121"/>
        <v>1176922.7953122694</v>
      </c>
      <c r="L103" s="475">
        <f t="shared" si="121"/>
        <v>1233974.2976823961</v>
      </c>
      <c r="M103" s="474"/>
    </row>
    <row r="104" spans="1:13" ht="25.5">
      <c r="A104" s="989" t="s">
        <v>1288</v>
      </c>
      <c r="B104" s="472"/>
      <c r="C104" s="473">
        <v>0</v>
      </c>
      <c r="D104" s="473">
        <v>0</v>
      </c>
      <c r="E104" s="473">
        <v>0</v>
      </c>
      <c r="F104" s="473">
        <v>0</v>
      </c>
      <c r="G104" s="473">
        <v>0</v>
      </c>
      <c r="H104" s="473">
        <v>0</v>
      </c>
      <c r="I104" s="473">
        <v>0</v>
      </c>
      <c r="J104" s="473">
        <v>0</v>
      </c>
      <c r="K104" s="473">
        <v>0</v>
      </c>
      <c r="L104" s="473">
        <v>0</v>
      </c>
      <c r="M104" s="474" t="s">
        <v>1289</v>
      </c>
    </row>
    <row r="105" spans="1:13">
      <c r="A105" s="989"/>
      <c r="B105" s="472"/>
      <c r="C105" s="473">
        <v>0</v>
      </c>
      <c r="D105" s="473">
        <v>0</v>
      </c>
      <c r="E105" s="473">
        <v>0</v>
      </c>
      <c r="F105" s="473">
        <v>0</v>
      </c>
      <c r="G105" s="473">
        <v>0</v>
      </c>
      <c r="H105" s="473">
        <v>0</v>
      </c>
      <c r="I105" s="473">
        <v>0</v>
      </c>
      <c r="J105" s="473">
        <v>0</v>
      </c>
      <c r="K105" s="473">
        <v>0</v>
      </c>
      <c r="L105" s="473">
        <v>0</v>
      </c>
      <c r="M105" s="474"/>
    </row>
    <row r="106" spans="1:13">
      <c r="A106" s="989"/>
      <c r="B106" s="217" t="s">
        <v>396</v>
      </c>
      <c r="C106" s="475">
        <f>SUM(C104:C105)</f>
        <v>0</v>
      </c>
      <c r="D106" s="475">
        <f>SUM(D104:D105)</f>
        <v>0</v>
      </c>
      <c r="E106" s="475">
        <f>SUM(E104:E105)</f>
        <v>0</v>
      </c>
      <c r="F106" s="475">
        <f>SUM(F104:F105)</f>
        <v>0</v>
      </c>
      <c r="G106" s="475">
        <f>SUM(G104:G105)</f>
        <v>0</v>
      </c>
      <c r="H106" s="475">
        <f t="shared" ref="H106:L106" si="122">SUM(H104:H105)</f>
        <v>0</v>
      </c>
      <c r="I106" s="475">
        <f t="shared" si="122"/>
        <v>0</v>
      </c>
      <c r="J106" s="475">
        <f t="shared" si="122"/>
        <v>0</v>
      </c>
      <c r="K106" s="475">
        <f t="shared" si="122"/>
        <v>0</v>
      </c>
      <c r="L106" s="475">
        <f t="shared" si="122"/>
        <v>0</v>
      </c>
      <c r="M106" s="474"/>
    </row>
    <row r="107" spans="1:13">
      <c r="A107" s="990" t="s">
        <v>1290</v>
      </c>
      <c r="B107" s="990"/>
      <c r="C107" s="478">
        <f>C9+C12+C15+C21+C24+C27+C30+C36+C42+C48+C54+C60+C66+C72+C78+C84+C89+C94+C100+C103+C106</f>
        <v>81490000</v>
      </c>
      <c r="D107" s="478">
        <f t="shared" ref="D107:G107" si="123">D9+D12+D15+D21+D24+D27+D30+D36+D42+D48+D54+D60+D66+D72+D78+D84+D89+D94+D100+D103+D106</f>
        <v>80369400</v>
      </c>
      <c r="E107" s="478">
        <f t="shared" si="123"/>
        <v>74640158.714429364</v>
      </c>
      <c r="F107" s="478">
        <f t="shared" si="123"/>
        <v>78165050.98266542</v>
      </c>
      <c r="G107" s="478">
        <f t="shared" si="123"/>
        <v>81954113.110751241</v>
      </c>
      <c r="H107" s="478">
        <f t="shared" ref="H107:L107" si="124">H9+H12+H15+H21+H24+H27+H30+H36+H42+H48+H54+H60+H66+H72+H78+H84+H89+H94+H100+H103+H106</f>
        <v>85926851.572378129</v>
      </c>
      <c r="I107" s="478">
        <f t="shared" si="124"/>
        <v>90092169.055849597</v>
      </c>
      <c r="J107" s="478">
        <f t="shared" si="124"/>
        <v>94459400.857044965</v>
      </c>
      <c r="K107" s="478">
        <f t="shared" si="124"/>
        <v>99038334.801658422</v>
      </c>
      <c r="L107" s="478">
        <f t="shared" si="124"/>
        <v>103839233.18164764</v>
      </c>
      <c r="M107" s="474"/>
    </row>
  </sheetData>
  <autoFilter ref="A6:G106" xr:uid="{00000000-0009-0000-0000-00001D000000}"/>
  <mergeCells count="23">
    <mergeCell ref="A95:A100"/>
    <mergeCell ref="A101:A103"/>
    <mergeCell ref="A104:A106"/>
    <mergeCell ref="A107:B107"/>
    <mergeCell ref="C5:G5"/>
    <mergeCell ref="A61:A66"/>
    <mergeCell ref="A67:A72"/>
    <mergeCell ref="A73:A78"/>
    <mergeCell ref="A79:A84"/>
    <mergeCell ref="A85:A89"/>
    <mergeCell ref="A90:A94"/>
    <mergeCell ref="A28:A30"/>
    <mergeCell ref="A31:A36"/>
    <mergeCell ref="A37:A42"/>
    <mergeCell ref="A43:A48"/>
    <mergeCell ref="A49:A54"/>
    <mergeCell ref="A55:A60"/>
    <mergeCell ref="A7:A9"/>
    <mergeCell ref="A10:A12"/>
    <mergeCell ref="A13:A15"/>
    <mergeCell ref="A16:A21"/>
    <mergeCell ref="A22:A24"/>
    <mergeCell ref="A25:A27"/>
  </mergeCells>
  <phoneticPr fontId="30" type="noConversion"/>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B90"/>
  <sheetViews>
    <sheetView showGridLines="0" topLeftCell="J1" workbookViewId="0">
      <pane ySplit="6" topLeftCell="A7" activePane="bottomLeft" state="frozen"/>
      <selection pane="bottomLeft" activeCell="N6" sqref="N6:S7"/>
    </sheetView>
  </sheetViews>
  <sheetFormatPr baseColWidth="10" defaultRowHeight="15"/>
  <cols>
    <col min="1" max="1" width="12.7109375" style="479" bestFit="1" customWidth="1"/>
    <col min="2" max="3" width="11.140625" style="479" bestFit="1" customWidth="1"/>
    <col min="4" max="4" width="11.42578125" style="479"/>
    <col min="5" max="5" width="10.85546875" style="479" bestFit="1" customWidth="1"/>
    <col min="6" max="6" width="11" style="479" bestFit="1" customWidth="1"/>
    <col min="7" max="7" width="55.28515625" style="479" bestFit="1" customWidth="1"/>
    <col min="8" max="16384" width="11.42578125" style="479"/>
  </cols>
  <sheetData>
    <row r="1" spans="1:28">
      <c r="K1" s="436" t="s">
        <v>436</v>
      </c>
      <c r="L1" s="436"/>
      <c r="M1" s="436"/>
      <c r="N1" s="436"/>
      <c r="O1" s="436"/>
      <c r="P1" s="436"/>
      <c r="Q1" s="436"/>
      <c r="R1" s="436"/>
      <c r="S1" s="436"/>
    </row>
    <row r="2" spans="1:28">
      <c r="J2" s="480"/>
      <c r="K2" s="294">
        <v>2025</v>
      </c>
      <c r="L2" s="294">
        <v>2026</v>
      </c>
      <c r="M2" s="294">
        <v>2027</v>
      </c>
      <c r="N2" s="294">
        <v>2028</v>
      </c>
      <c r="O2" s="294">
        <v>2029</v>
      </c>
      <c r="P2" s="294">
        <v>2030</v>
      </c>
      <c r="Q2" s="294">
        <v>2031</v>
      </c>
      <c r="R2" s="294">
        <v>2032</v>
      </c>
      <c r="S2" s="294">
        <v>2033</v>
      </c>
    </row>
    <row r="3" spans="1:28">
      <c r="J3" s="480"/>
      <c r="K3" s="481">
        <f>+'IPC - CAFÉ'!E24</f>
        <v>0.06</v>
      </c>
      <c r="L3" s="481">
        <f>+'IPC - CAFÉ'!F24</f>
        <v>4.5975144331782153E-2</v>
      </c>
      <c r="M3" s="481">
        <f>+'IPC - CAFÉ'!G24</f>
        <v>4.7225144331782154E-2</v>
      </c>
      <c r="N3" s="481">
        <f>+'IPC - CAFÉ'!H24</f>
        <v>4.8475144331782155E-2</v>
      </c>
      <c r="O3" s="481">
        <f>+'IPC - CAFÉ'!I24</f>
        <v>4.9725144331782156E-2</v>
      </c>
      <c r="P3" s="481">
        <f>+'IPC - CAFÉ'!J24</f>
        <v>5.0975144331782157E-2</v>
      </c>
      <c r="Q3" s="481">
        <f>+'IPC - CAFÉ'!K24</f>
        <v>5.2225144331782158E-2</v>
      </c>
      <c r="R3" s="481">
        <f>+'IPC - CAFÉ'!L24</f>
        <v>5.347514433178216E-2</v>
      </c>
      <c r="S3" s="481">
        <f>+'IPC - CAFÉ'!M24</f>
        <v>5.4725144331782161E-2</v>
      </c>
    </row>
    <row r="4" spans="1:28" ht="18.75">
      <c r="A4" s="992" t="s">
        <v>1292</v>
      </c>
      <c r="B4" s="992"/>
      <c r="C4" s="992"/>
      <c r="D4" s="992"/>
      <c r="E4" s="992"/>
      <c r="F4" s="992"/>
      <c r="G4" s="992"/>
      <c r="J4" s="482"/>
      <c r="K4" s="483"/>
      <c r="L4" s="483"/>
      <c r="M4" s="483"/>
      <c r="N4" s="483"/>
      <c r="O4" s="483"/>
      <c r="P4" s="483"/>
      <c r="Q4" s="483"/>
      <c r="R4" s="483"/>
      <c r="S4" s="483"/>
    </row>
    <row r="5" spans="1:28">
      <c r="J5" s="991" t="s">
        <v>1378</v>
      </c>
      <c r="K5" s="991"/>
      <c r="L5" s="991"/>
      <c r="M5" s="991"/>
      <c r="N5" s="991"/>
      <c r="O5" s="748"/>
      <c r="P5" s="748"/>
      <c r="Q5" s="748"/>
      <c r="R5" s="748"/>
      <c r="S5" s="748"/>
    </row>
    <row r="6" spans="1:28" ht="45">
      <c r="A6" s="484" t="s">
        <v>624</v>
      </c>
      <c r="B6" s="484" t="s">
        <v>625</v>
      </c>
      <c r="C6" s="484" t="s">
        <v>626</v>
      </c>
      <c r="D6" s="484" t="s">
        <v>627</v>
      </c>
      <c r="E6" s="484" t="s">
        <v>628</v>
      </c>
      <c r="F6" s="484" t="s">
        <v>629</v>
      </c>
      <c r="G6" s="484" t="s">
        <v>630</v>
      </c>
      <c r="J6" s="485" t="s">
        <v>226</v>
      </c>
      <c r="K6" s="485" t="s">
        <v>227</v>
      </c>
      <c r="L6" s="485" t="s">
        <v>228</v>
      </c>
      <c r="M6" s="485" t="s">
        <v>229</v>
      </c>
      <c r="N6" s="485" t="s">
        <v>230</v>
      </c>
      <c r="O6" s="485" t="s">
        <v>231</v>
      </c>
      <c r="P6" s="485" t="s">
        <v>232</v>
      </c>
      <c r="Q6" s="485" t="s">
        <v>233</v>
      </c>
      <c r="R6" s="485" t="s">
        <v>3010</v>
      </c>
      <c r="S6" s="485" t="s">
        <v>3011</v>
      </c>
      <c r="U6" s="376" t="s">
        <v>439</v>
      </c>
      <c r="V6" s="149"/>
      <c r="W6" s="149"/>
      <c r="X6" s="149"/>
      <c r="Y6" s="149"/>
      <c r="Z6" s="149"/>
      <c r="AA6" s="149"/>
      <c r="AB6" s="149"/>
    </row>
    <row r="7" spans="1:28">
      <c r="A7" s="486">
        <v>7827</v>
      </c>
      <c r="B7" s="486">
        <v>3400000552</v>
      </c>
      <c r="C7" s="487" t="s">
        <v>1293</v>
      </c>
      <c r="D7" s="488">
        <v>43860</v>
      </c>
      <c r="E7" s="489">
        <v>318000</v>
      </c>
      <c r="F7" s="487">
        <v>1008010001</v>
      </c>
      <c r="G7" s="487" t="s">
        <v>1294</v>
      </c>
      <c r="J7" s="490">
        <f>+E78</f>
        <v>30563123</v>
      </c>
      <c r="K7" s="490">
        <f>+J7*(1+K3)</f>
        <v>32396910.380000003</v>
      </c>
      <c r="L7" s="490">
        <f>+K7*(1+L3)</f>
        <v>33886363.010624312</v>
      </c>
      <c r="M7" s="490">
        <f>+L7*(1+M3)</f>
        <v>35486651.394680209</v>
      </c>
      <c r="N7" s="490">
        <f>+M7*(1+N3)</f>
        <v>37206871.942888968</v>
      </c>
      <c r="O7" s="490">
        <f t="shared" ref="O7:S7" si="0">+N7*(1+O3)</f>
        <v>39056989.020383254</v>
      </c>
      <c r="P7" s="490">
        <f t="shared" si="0"/>
        <v>41047924.67286212</v>
      </c>
      <c r="Q7" s="490">
        <f t="shared" si="0"/>
        <v>43191658.463422462</v>
      </c>
      <c r="R7" s="490">
        <f t="shared" si="0"/>
        <v>45501338.633683026</v>
      </c>
      <c r="S7" s="490">
        <f t="shared" si="0"/>
        <v>47991405.957700625</v>
      </c>
      <c r="U7" s="962" t="s">
        <v>646</v>
      </c>
      <c r="V7" s="963"/>
      <c r="W7" s="963"/>
      <c r="X7" s="963"/>
      <c r="Y7" s="963"/>
      <c r="Z7" s="963"/>
      <c r="AA7" s="963"/>
      <c r="AB7" s="964"/>
    </row>
    <row r="8" spans="1:28">
      <c r="A8" s="486" t="s">
        <v>1295</v>
      </c>
      <c r="B8" s="486">
        <v>3400000553</v>
      </c>
      <c r="C8" s="487" t="s">
        <v>1293</v>
      </c>
      <c r="D8" s="488">
        <v>43860</v>
      </c>
      <c r="E8" s="489">
        <v>147208</v>
      </c>
      <c r="F8" s="487">
        <v>1008010001</v>
      </c>
      <c r="G8" s="487" t="s">
        <v>1296</v>
      </c>
      <c r="U8" s="965"/>
      <c r="V8" s="966"/>
      <c r="W8" s="966"/>
      <c r="X8" s="966"/>
      <c r="Y8" s="966"/>
      <c r="Z8" s="966"/>
      <c r="AA8" s="966"/>
      <c r="AB8" s="967"/>
    </row>
    <row r="9" spans="1:28">
      <c r="A9" s="486" t="s">
        <v>1295</v>
      </c>
      <c r="B9" s="486">
        <v>3400000554</v>
      </c>
      <c r="C9" s="487" t="s">
        <v>1293</v>
      </c>
      <c r="D9" s="488">
        <v>43860</v>
      </c>
      <c r="E9" s="489">
        <v>147208</v>
      </c>
      <c r="F9" s="487">
        <v>1008010001</v>
      </c>
      <c r="G9" s="487" t="s">
        <v>1296</v>
      </c>
      <c r="U9" s="965"/>
      <c r="V9" s="966"/>
      <c r="W9" s="966"/>
      <c r="X9" s="966"/>
      <c r="Y9" s="966"/>
      <c r="Z9" s="966"/>
      <c r="AA9" s="966"/>
      <c r="AB9" s="967"/>
    </row>
    <row r="10" spans="1:28">
      <c r="A10" s="486">
        <v>1184</v>
      </c>
      <c r="B10" s="486">
        <v>3400001099</v>
      </c>
      <c r="C10" s="487" t="s">
        <v>1293</v>
      </c>
      <c r="D10" s="488">
        <v>43883</v>
      </c>
      <c r="E10" s="489">
        <v>58253</v>
      </c>
      <c r="F10" s="487">
        <v>1008010001</v>
      </c>
      <c r="G10" s="487" t="s">
        <v>1297</v>
      </c>
      <c r="U10" s="965"/>
      <c r="V10" s="966"/>
      <c r="W10" s="966"/>
      <c r="X10" s="966"/>
      <c r="Y10" s="966"/>
      <c r="Z10" s="966"/>
      <c r="AA10" s="966"/>
      <c r="AB10" s="967"/>
    </row>
    <row r="11" spans="1:28">
      <c r="A11" s="486" t="s">
        <v>1298</v>
      </c>
      <c r="B11" s="486">
        <v>3400001841</v>
      </c>
      <c r="C11" s="487" t="s">
        <v>1293</v>
      </c>
      <c r="D11" s="488">
        <v>43919</v>
      </c>
      <c r="E11" s="489">
        <v>62651</v>
      </c>
      <c r="F11" s="487">
        <v>1008010001</v>
      </c>
      <c r="G11" s="487" t="s">
        <v>1299</v>
      </c>
      <c r="U11" s="965"/>
      <c r="V11" s="966"/>
      <c r="W11" s="966"/>
      <c r="X11" s="966"/>
      <c r="Y11" s="966"/>
      <c r="Z11" s="966"/>
      <c r="AA11" s="966"/>
      <c r="AB11" s="967"/>
    </row>
    <row r="12" spans="1:28">
      <c r="A12" s="486">
        <v>7979</v>
      </c>
      <c r="B12" s="486">
        <v>3400002341</v>
      </c>
      <c r="C12" s="487" t="s">
        <v>1293</v>
      </c>
      <c r="D12" s="488">
        <v>43950</v>
      </c>
      <c r="E12" s="489">
        <v>864000</v>
      </c>
      <c r="F12" s="487">
        <v>1008010001</v>
      </c>
      <c r="G12" s="487" t="s">
        <v>1300</v>
      </c>
      <c r="U12" s="965"/>
      <c r="V12" s="966"/>
      <c r="W12" s="966"/>
      <c r="X12" s="966"/>
      <c r="Y12" s="966"/>
      <c r="Z12" s="966"/>
      <c r="AA12" s="966"/>
      <c r="AB12" s="967"/>
    </row>
    <row r="13" spans="1:28">
      <c r="A13" s="486">
        <v>11453</v>
      </c>
      <c r="B13" s="486">
        <v>3400002343</v>
      </c>
      <c r="C13" s="487" t="s">
        <v>1293</v>
      </c>
      <c r="D13" s="488">
        <v>43950</v>
      </c>
      <c r="E13" s="489">
        <v>108000</v>
      </c>
      <c r="F13" s="487">
        <v>1008010001</v>
      </c>
      <c r="G13" s="487" t="s">
        <v>1301</v>
      </c>
      <c r="U13" s="965"/>
      <c r="V13" s="966"/>
      <c r="W13" s="966"/>
      <c r="X13" s="966"/>
      <c r="Y13" s="966"/>
      <c r="Z13" s="966"/>
      <c r="AA13" s="966"/>
      <c r="AB13" s="967"/>
    </row>
    <row r="14" spans="1:28">
      <c r="A14" s="486" t="s">
        <v>1302</v>
      </c>
      <c r="B14" s="486">
        <v>3400002344</v>
      </c>
      <c r="C14" s="487" t="s">
        <v>1293</v>
      </c>
      <c r="D14" s="488">
        <v>43950</v>
      </c>
      <c r="E14" s="489">
        <v>172426</v>
      </c>
      <c r="F14" s="487">
        <v>1008010001</v>
      </c>
      <c r="G14" s="487" t="s">
        <v>1303</v>
      </c>
      <c r="U14" s="965"/>
      <c r="V14" s="966"/>
      <c r="W14" s="966"/>
      <c r="X14" s="966"/>
      <c r="Y14" s="966"/>
      <c r="Z14" s="966"/>
      <c r="AA14" s="966"/>
      <c r="AB14" s="967"/>
    </row>
    <row r="15" spans="1:28">
      <c r="A15" s="486">
        <v>392</v>
      </c>
      <c r="B15" s="486">
        <v>3400002480</v>
      </c>
      <c r="C15" s="487" t="s">
        <v>1293</v>
      </c>
      <c r="D15" s="488">
        <v>43958</v>
      </c>
      <c r="E15" s="489">
        <v>500000</v>
      </c>
      <c r="F15" s="487">
        <v>1008010001</v>
      </c>
      <c r="G15" s="487" t="s">
        <v>1304</v>
      </c>
      <c r="U15" s="965"/>
      <c r="V15" s="966"/>
      <c r="W15" s="966"/>
      <c r="X15" s="966"/>
      <c r="Y15" s="966"/>
      <c r="Z15" s="966"/>
      <c r="AA15" s="966"/>
      <c r="AB15" s="967"/>
    </row>
    <row r="16" spans="1:28">
      <c r="A16" s="486">
        <v>375</v>
      </c>
      <c r="B16" s="486">
        <v>3400002481</v>
      </c>
      <c r="C16" s="487" t="s">
        <v>1293</v>
      </c>
      <c r="D16" s="488">
        <v>43958</v>
      </c>
      <c r="E16" s="489">
        <v>500000</v>
      </c>
      <c r="F16" s="487">
        <v>1008010001</v>
      </c>
      <c r="G16" s="487" t="s">
        <v>1305</v>
      </c>
      <c r="U16" s="968"/>
      <c r="V16" s="969"/>
      <c r="W16" s="969"/>
      <c r="X16" s="969"/>
      <c r="Y16" s="969"/>
      <c r="Z16" s="969"/>
      <c r="AA16" s="969"/>
      <c r="AB16" s="970"/>
    </row>
    <row r="17" spans="1:7">
      <c r="A17" s="486" t="s">
        <v>1306</v>
      </c>
      <c r="B17" s="486">
        <v>3400002902</v>
      </c>
      <c r="C17" s="487" t="s">
        <v>1293</v>
      </c>
      <c r="D17" s="488">
        <v>43979</v>
      </c>
      <c r="E17" s="489">
        <v>149388</v>
      </c>
      <c r="F17" s="487">
        <v>1008010001</v>
      </c>
      <c r="G17" s="487" t="s">
        <v>1307</v>
      </c>
    </row>
    <row r="18" spans="1:7">
      <c r="A18" s="486">
        <v>11504</v>
      </c>
      <c r="B18" s="486">
        <v>3400002905</v>
      </c>
      <c r="C18" s="487" t="s">
        <v>1293</v>
      </c>
      <c r="D18" s="488">
        <v>43979</v>
      </c>
      <c r="E18" s="489">
        <v>670000</v>
      </c>
      <c r="F18" s="487">
        <v>1008010001</v>
      </c>
      <c r="G18" s="487" t="s">
        <v>1308</v>
      </c>
    </row>
    <row r="19" spans="1:7">
      <c r="A19" s="486">
        <v>401</v>
      </c>
      <c r="B19" s="486">
        <v>3400003640</v>
      </c>
      <c r="C19" s="487" t="s">
        <v>1293</v>
      </c>
      <c r="D19" s="488">
        <v>44007</v>
      </c>
      <c r="E19" s="489">
        <v>2499000</v>
      </c>
      <c r="F19" s="487">
        <v>1008010001</v>
      </c>
      <c r="G19" s="487" t="s">
        <v>1309</v>
      </c>
    </row>
    <row r="20" spans="1:7">
      <c r="A20" s="486">
        <v>328040</v>
      </c>
      <c r="B20" s="486">
        <v>3400003644</v>
      </c>
      <c r="C20" s="487" t="s">
        <v>1293</v>
      </c>
      <c r="D20" s="488">
        <v>44008</v>
      </c>
      <c r="E20" s="489">
        <v>300000</v>
      </c>
      <c r="F20" s="487">
        <v>1008010001</v>
      </c>
      <c r="G20" s="487" t="s">
        <v>1310</v>
      </c>
    </row>
    <row r="21" spans="1:7">
      <c r="A21" s="486" t="s">
        <v>1311</v>
      </c>
      <c r="B21" s="486">
        <v>3400003668</v>
      </c>
      <c r="C21" s="487" t="s">
        <v>1293</v>
      </c>
      <c r="D21" s="488">
        <v>44009</v>
      </c>
      <c r="E21" s="489">
        <v>41031</v>
      </c>
      <c r="F21" s="487">
        <v>1008010001</v>
      </c>
      <c r="G21" s="487" t="s">
        <v>1312</v>
      </c>
    </row>
    <row r="22" spans="1:7">
      <c r="A22" s="486">
        <v>417</v>
      </c>
      <c r="B22" s="486">
        <v>3400003874</v>
      </c>
      <c r="C22" s="487" t="s">
        <v>1293</v>
      </c>
      <c r="D22" s="488">
        <v>44027</v>
      </c>
      <c r="E22" s="489">
        <v>2500000</v>
      </c>
      <c r="F22" s="487">
        <v>1008010001</v>
      </c>
      <c r="G22" s="487" t="s">
        <v>1313</v>
      </c>
    </row>
    <row r="23" spans="1:7">
      <c r="A23" s="486">
        <v>8043</v>
      </c>
      <c r="B23" s="486">
        <v>3400003875</v>
      </c>
      <c r="C23" s="487" t="s">
        <v>1293</v>
      </c>
      <c r="D23" s="488">
        <v>44027</v>
      </c>
      <c r="E23" s="489">
        <v>400000</v>
      </c>
      <c r="F23" s="487">
        <v>1008010001</v>
      </c>
      <c r="G23" s="487" t="s">
        <v>1314</v>
      </c>
    </row>
    <row r="24" spans="1:7">
      <c r="A24" s="486">
        <v>811010806</v>
      </c>
      <c r="B24" s="486">
        <v>3400003884</v>
      </c>
      <c r="C24" s="487" t="s">
        <v>1293</v>
      </c>
      <c r="D24" s="488">
        <v>44030</v>
      </c>
      <c r="E24" s="489">
        <v>200000</v>
      </c>
      <c r="F24" s="487">
        <v>1008010001</v>
      </c>
      <c r="G24" s="487" t="s">
        <v>1315</v>
      </c>
    </row>
    <row r="25" spans="1:7">
      <c r="A25" s="486" t="s">
        <v>1316</v>
      </c>
      <c r="B25" s="486">
        <v>3400004034</v>
      </c>
      <c r="C25" s="487" t="s">
        <v>1293</v>
      </c>
      <c r="D25" s="488">
        <v>44037</v>
      </c>
      <c r="E25" s="489">
        <v>44516</v>
      </c>
      <c r="F25" s="487">
        <v>1008010001</v>
      </c>
      <c r="G25" s="487" t="s">
        <v>1317</v>
      </c>
    </row>
    <row r="26" spans="1:7">
      <c r="A26" s="486">
        <v>21072020</v>
      </c>
      <c r="B26" s="486">
        <v>3400004070</v>
      </c>
      <c r="C26" s="487" t="s">
        <v>1293</v>
      </c>
      <c r="D26" s="488">
        <v>44039</v>
      </c>
      <c r="E26" s="489">
        <v>1725000</v>
      </c>
      <c r="F26" s="487">
        <v>1008010001</v>
      </c>
      <c r="G26" s="487" t="s">
        <v>1318</v>
      </c>
    </row>
    <row r="27" spans="1:7">
      <c r="A27" s="486" t="s">
        <v>1319</v>
      </c>
      <c r="B27" s="486">
        <v>3400004072</v>
      </c>
      <c r="C27" s="487" t="s">
        <v>1293</v>
      </c>
      <c r="D27" s="488">
        <v>44039</v>
      </c>
      <c r="E27" s="489">
        <v>609000</v>
      </c>
      <c r="F27" s="487">
        <v>1008010001</v>
      </c>
      <c r="G27" s="487" t="s">
        <v>1320</v>
      </c>
    </row>
    <row r="28" spans="1:7">
      <c r="A28" s="486" t="s">
        <v>1321</v>
      </c>
      <c r="B28" s="486">
        <v>3400004073</v>
      </c>
      <c r="C28" s="487" t="s">
        <v>1293</v>
      </c>
      <c r="D28" s="488">
        <v>44039</v>
      </c>
      <c r="E28" s="489">
        <v>191000</v>
      </c>
      <c r="F28" s="487">
        <v>1008010001</v>
      </c>
      <c r="G28" s="487" t="s">
        <v>1322</v>
      </c>
    </row>
    <row r="29" spans="1:7">
      <c r="A29" s="486">
        <v>811010806</v>
      </c>
      <c r="B29" s="486">
        <v>3400004075</v>
      </c>
      <c r="C29" s="487" t="s">
        <v>1293</v>
      </c>
      <c r="D29" s="488">
        <v>44030</v>
      </c>
      <c r="E29" s="489">
        <v>200000</v>
      </c>
      <c r="F29" s="487">
        <v>1008010001</v>
      </c>
      <c r="G29" s="487" t="s">
        <v>1315</v>
      </c>
    </row>
    <row r="30" spans="1:7">
      <c r="A30" s="486">
        <v>8043</v>
      </c>
      <c r="B30" s="486">
        <v>3400004079</v>
      </c>
      <c r="C30" s="487" t="s">
        <v>1293</v>
      </c>
      <c r="D30" s="488">
        <v>44027</v>
      </c>
      <c r="E30" s="489">
        <v>400000</v>
      </c>
      <c r="F30" s="487">
        <v>1008010001</v>
      </c>
      <c r="G30" s="487" t="s">
        <v>1314</v>
      </c>
    </row>
    <row r="31" spans="1:7">
      <c r="A31" s="486">
        <v>329790</v>
      </c>
      <c r="B31" s="486">
        <v>3400004330</v>
      </c>
      <c r="C31" s="487" t="s">
        <v>1293</v>
      </c>
      <c r="D31" s="488">
        <v>44056</v>
      </c>
      <c r="E31" s="489">
        <v>357000</v>
      </c>
      <c r="F31" s="487">
        <v>1008010001</v>
      </c>
      <c r="G31" s="487" t="s">
        <v>1323</v>
      </c>
    </row>
    <row r="32" spans="1:7">
      <c r="A32" s="486">
        <v>329790</v>
      </c>
      <c r="B32" s="486">
        <v>3400004331</v>
      </c>
      <c r="C32" s="487" t="s">
        <v>1293</v>
      </c>
      <c r="D32" s="488">
        <v>44057</v>
      </c>
      <c r="E32" s="489">
        <v>300000</v>
      </c>
      <c r="F32" s="487">
        <v>1008010001</v>
      </c>
      <c r="G32" s="487" t="s">
        <v>1323</v>
      </c>
    </row>
    <row r="33" spans="1:7">
      <c r="A33" s="486">
        <v>430</v>
      </c>
      <c r="B33" s="486">
        <v>3400004447</v>
      </c>
      <c r="C33" s="487" t="s">
        <v>1293</v>
      </c>
      <c r="D33" s="488">
        <v>44063</v>
      </c>
      <c r="E33" s="489">
        <v>300000</v>
      </c>
      <c r="F33" s="487">
        <v>1008010001</v>
      </c>
      <c r="G33" s="487" t="s">
        <v>1324</v>
      </c>
    </row>
    <row r="34" spans="1:7">
      <c r="A34" s="486">
        <v>329863</v>
      </c>
      <c r="B34" s="486">
        <v>3400004467</v>
      </c>
      <c r="C34" s="487" t="s">
        <v>1293</v>
      </c>
      <c r="D34" s="488">
        <v>44066</v>
      </c>
      <c r="E34" s="489">
        <v>357000</v>
      </c>
      <c r="F34" s="487">
        <v>1008010001</v>
      </c>
      <c r="G34" s="487" t="s">
        <v>1325</v>
      </c>
    </row>
    <row r="35" spans="1:7">
      <c r="A35" s="486">
        <v>8077</v>
      </c>
      <c r="B35" s="486">
        <v>3400004492</v>
      </c>
      <c r="C35" s="487" t="s">
        <v>1293</v>
      </c>
      <c r="D35" s="488">
        <v>44066</v>
      </c>
      <c r="E35" s="489">
        <v>400000</v>
      </c>
      <c r="F35" s="487">
        <v>1008010001</v>
      </c>
      <c r="G35" s="487" t="s">
        <v>1326</v>
      </c>
    </row>
    <row r="36" spans="1:7">
      <c r="A36" s="486" t="s">
        <v>1327</v>
      </c>
      <c r="B36" s="486">
        <v>3400004602</v>
      </c>
      <c r="C36" s="487" t="s">
        <v>1293</v>
      </c>
      <c r="D36" s="488">
        <v>44070</v>
      </c>
      <c r="E36" s="489">
        <v>152250</v>
      </c>
      <c r="F36" s="487">
        <v>1008010001</v>
      </c>
      <c r="G36" s="487" t="s">
        <v>1328</v>
      </c>
    </row>
    <row r="37" spans="1:7">
      <c r="A37" s="486" t="s">
        <v>1329</v>
      </c>
      <c r="B37" s="486">
        <v>3400004605</v>
      </c>
      <c r="C37" s="487" t="s">
        <v>1293</v>
      </c>
      <c r="D37" s="488">
        <v>44070</v>
      </c>
      <c r="E37" s="489">
        <v>34750</v>
      </c>
      <c r="F37" s="487">
        <v>1008010001</v>
      </c>
      <c r="G37" s="487" t="s">
        <v>1330</v>
      </c>
    </row>
    <row r="38" spans="1:7">
      <c r="A38" s="486" t="s">
        <v>1331</v>
      </c>
      <c r="B38" s="486">
        <v>3400004609</v>
      </c>
      <c r="C38" s="487" t="s">
        <v>1293</v>
      </c>
      <c r="D38" s="488">
        <v>44070</v>
      </c>
      <c r="E38" s="489">
        <v>304500</v>
      </c>
      <c r="F38" s="487">
        <v>1008010001</v>
      </c>
      <c r="G38" s="487" t="s">
        <v>1328</v>
      </c>
    </row>
    <row r="39" spans="1:7">
      <c r="A39" s="486" t="s">
        <v>1332</v>
      </c>
      <c r="B39" s="486">
        <v>3400004611</v>
      </c>
      <c r="C39" s="487" t="s">
        <v>1293</v>
      </c>
      <c r="D39" s="488">
        <v>44070</v>
      </c>
      <c r="E39" s="489">
        <v>95500</v>
      </c>
      <c r="F39" s="487">
        <v>1008010001</v>
      </c>
      <c r="G39" s="487" t="s">
        <v>1333</v>
      </c>
    </row>
    <row r="40" spans="1:7">
      <c r="A40" s="486" t="s">
        <v>1334</v>
      </c>
      <c r="B40" s="486">
        <v>3400004616</v>
      </c>
      <c r="C40" s="487" t="s">
        <v>1293</v>
      </c>
      <c r="D40" s="488">
        <v>44070</v>
      </c>
      <c r="E40" s="489">
        <v>42116</v>
      </c>
      <c r="F40" s="487">
        <v>1008010001</v>
      </c>
      <c r="G40" s="487" t="s">
        <v>1335</v>
      </c>
    </row>
    <row r="41" spans="1:7">
      <c r="A41" s="486">
        <v>329863</v>
      </c>
      <c r="B41" s="486">
        <v>3400004633</v>
      </c>
      <c r="C41" s="487" t="s">
        <v>1293</v>
      </c>
      <c r="D41" s="488">
        <v>44066</v>
      </c>
      <c r="E41" s="489">
        <v>357000</v>
      </c>
      <c r="F41" s="487">
        <v>1008010001</v>
      </c>
      <c r="G41" s="487" t="s">
        <v>1325</v>
      </c>
    </row>
    <row r="42" spans="1:7">
      <c r="A42" s="486">
        <v>436</v>
      </c>
      <c r="B42" s="486">
        <v>3400004805</v>
      </c>
      <c r="C42" s="487" t="s">
        <v>1293</v>
      </c>
      <c r="D42" s="488">
        <v>44084</v>
      </c>
      <c r="E42" s="489">
        <v>300000</v>
      </c>
      <c r="F42" s="487">
        <v>1008010001</v>
      </c>
      <c r="G42" s="487" t="s">
        <v>1336</v>
      </c>
    </row>
    <row r="43" spans="1:7">
      <c r="A43" s="486">
        <v>8120</v>
      </c>
      <c r="B43" s="486">
        <v>3400004807</v>
      </c>
      <c r="C43" s="487" t="s">
        <v>1293</v>
      </c>
      <c r="D43" s="488">
        <v>44085</v>
      </c>
      <c r="E43" s="489">
        <v>200000</v>
      </c>
      <c r="F43" s="487">
        <v>1008010001</v>
      </c>
      <c r="G43" s="487" t="s">
        <v>1337</v>
      </c>
    </row>
    <row r="44" spans="1:7">
      <c r="A44" s="486">
        <v>8119</v>
      </c>
      <c r="B44" s="486">
        <v>3400004808</v>
      </c>
      <c r="C44" s="487" t="s">
        <v>1293</v>
      </c>
      <c r="D44" s="488">
        <v>44085</v>
      </c>
      <c r="E44" s="489">
        <v>400000</v>
      </c>
      <c r="F44" s="487">
        <v>1008010001</v>
      </c>
      <c r="G44" s="487" t="s">
        <v>1338</v>
      </c>
    </row>
    <row r="45" spans="1:7">
      <c r="A45" s="486" t="s">
        <v>1339</v>
      </c>
      <c r="B45" s="486">
        <v>3400004903</v>
      </c>
      <c r="C45" s="487" t="s">
        <v>1293</v>
      </c>
      <c r="D45" s="488">
        <v>44091</v>
      </c>
      <c r="E45" s="489">
        <v>2142000</v>
      </c>
      <c r="F45" s="487">
        <v>1008010001</v>
      </c>
      <c r="G45" s="487" t="s">
        <v>1340</v>
      </c>
    </row>
    <row r="46" spans="1:7">
      <c r="A46" s="486">
        <v>310</v>
      </c>
      <c r="B46" s="486">
        <v>3400005100</v>
      </c>
      <c r="C46" s="487" t="s">
        <v>1293</v>
      </c>
      <c r="D46" s="488">
        <v>44100</v>
      </c>
      <c r="E46" s="489">
        <v>402591</v>
      </c>
      <c r="F46" s="487">
        <v>1008010001</v>
      </c>
      <c r="G46" s="487" t="s">
        <v>1341</v>
      </c>
    </row>
    <row r="47" spans="1:7">
      <c r="A47" s="486" t="s">
        <v>1342</v>
      </c>
      <c r="B47" s="486">
        <v>3400005273</v>
      </c>
      <c r="C47" s="487" t="s">
        <v>1293</v>
      </c>
      <c r="D47" s="488">
        <v>44103</v>
      </c>
      <c r="E47" s="489">
        <v>138000</v>
      </c>
      <c r="F47" s="487">
        <v>1008010001</v>
      </c>
      <c r="G47" s="487" t="s">
        <v>1343</v>
      </c>
    </row>
    <row r="48" spans="1:7">
      <c r="A48" s="486" t="s">
        <v>1344</v>
      </c>
      <c r="B48" s="486">
        <v>3400005274</v>
      </c>
      <c r="C48" s="487" t="s">
        <v>1293</v>
      </c>
      <c r="D48" s="488">
        <v>44103</v>
      </c>
      <c r="E48" s="489">
        <v>95500</v>
      </c>
      <c r="F48" s="487">
        <v>1008010001</v>
      </c>
      <c r="G48" s="487" t="s">
        <v>1345</v>
      </c>
    </row>
    <row r="49" spans="1:7">
      <c r="A49" s="486" t="s">
        <v>1342</v>
      </c>
      <c r="B49" s="486">
        <v>3400005275</v>
      </c>
      <c r="C49" s="487" t="s">
        <v>1293</v>
      </c>
      <c r="D49" s="488">
        <v>44103</v>
      </c>
      <c r="E49" s="489">
        <v>304500</v>
      </c>
      <c r="F49" s="487">
        <v>1008010001</v>
      </c>
      <c r="G49" s="487" t="s">
        <v>1346</v>
      </c>
    </row>
    <row r="50" spans="1:7">
      <c r="A50" s="486">
        <v>8101289</v>
      </c>
      <c r="B50" s="486">
        <v>3400005298</v>
      </c>
      <c r="C50" s="487" t="s">
        <v>1293</v>
      </c>
      <c r="D50" s="488">
        <v>44105</v>
      </c>
      <c r="E50" s="489">
        <v>690000</v>
      </c>
      <c r="F50" s="487">
        <v>1008010001</v>
      </c>
      <c r="G50" s="487" t="s">
        <v>1347</v>
      </c>
    </row>
    <row r="51" spans="1:7">
      <c r="A51" s="486">
        <v>449</v>
      </c>
      <c r="B51" s="486">
        <v>3400005430</v>
      </c>
      <c r="C51" s="487" t="s">
        <v>1293</v>
      </c>
      <c r="D51" s="488">
        <v>44114</v>
      </c>
      <c r="E51" s="489">
        <v>300000</v>
      </c>
      <c r="F51" s="487">
        <v>1008010001</v>
      </c>
      <c r="G51" s="487" t="s">
        <v>1348</v>
      </c>
    </row>
    <row r="52" spans="1:7">
      <c r="A52" s="486">
        <v>8173</v>
      </c>
      <c r="B52" s="486">
        <v>3400005710</v>
      </c>
      <c r="C52" s="487" t="s">
        <v>1293</v>
      </c>
      <c r="D52" s="488">
        <v>44127</v>
      </c>
      <c r="E52" s="489">
        <v>200000</v>
      </c>
      <c r="F52" s="487">
        <v>1008010001</v>
      </c>
      <c r="G52" s="487" t="s">
        <v>1349</v>
      </c>
    </row>
    <row r="53" spans="1:7">
      <c r="A53" s="486" t="s">
        <v>1350</v>
      </c>
      <c r="B53" s="486">
        <v>3400005738</v>
      </c>
      <c r="C53" s="487" t="s">
        <v>1293</v>
      </c>
      <c r="D53" s="488">
        <v>44128</v>
      </c>
      <c r="E53" s="489">
        <v>304500</v>
      </c>
      <c r="F53" s="487">
        <v>1008010001</v>
      </c>
      <c r="G53" s="487" t="s">
        <v>1351</v>
      </c>
    </row>
    <row r="54" spans="1:7">
      <c r="A54" s="486" t="s">
        <v>1352</v>
      </c>
      <c r="B54" s="486">
        <v>3400005768</v>
      </c>
      <c r="C54" s="487" t="s">
        <v>1293</v>
      </c>
      <c r="D54" s="488">
        <v>44130</v>
      </c>
      <c r="E54" s="489">
        <v>95500</v>
      </c>
      <c r="F54" s="487">
        <v>1008010001</v>
      </c>
      <c r="G54" s="487" t="s">
        <v>1353</v>
      </c>
    </row>
    <row r="55" spans="1:7">
      <c r="A55" s="486">
        <v>468</v>
      </c>
      <c r="B55" s="486">
        <v>3400006120</v>
      </c>
      <c r="C55" s="487" t="s">
        <v>1293</v>
      </c>
      <c r="D55" s="488">
        <v>44144</v>
      </c>
      <c r="E55" s="489">
        <v>300000</v>
      </c>
      <c r="F55" s="487">
        <v>1008010001</v>
      </c>
      <c r="G55" s="487" t="s">
        <v>1354</v>
      </c>
    </row>
    <row r="56" spans="1:7">
      <c r="A56" s="486">
        <v>8207</v>
      </c>
      <c r="B56" s="486">
        <v>3400006148</v>
      </c>
      <c r="C56" s="487" t="s">
        <v>1293</v>
      </c>
      <c r="D56" s="488">
        <v>44145</v>
      </c>
      <c r="E56" s="489">
        <v>400000</v>
      </c>
      <c r="F56" s="487">
        <v>1008010001</v>
      </c>
      <c r="G56" s="487" t="s">
        <v>1355</v>
      </c>
    </row>
    <row r="57" spans="1:7">
      <c r="A57" s="486">
        <v>8206</v>
      </c>
      <c r="B57" s="486">
        <v>3400006149</v>
      </c>
      <c r="C57" s="487" t="s">
        <v>1293</v>
      </c>
      <c r="D57" s="488">
        <v>44145</v>
      </c>
      <c r="E57" s="489">
        <v>200000</v>
      </c>
      <c r="F57" s="487">
        <v>1008010001</v>
      </c>
      <c r="G57" s="487" t="s">
        <v>1356</v>
      </c>
    </row>
    <row r="58" spans="1:7">
      <c r="A58" s="486">
        <v>8101289</v>
      </c>
      <c r="B58" s="486">
        <v>3400006234</v>
      </c>
      <c r="C58" s="487" t="s">
        <v>1293</v>
      </c>
      <c r="D58" s="488">
        <v>44149</v>
      </c>
      <c r="E58" s="489">
        <v>690000</v>
      </c>
      <c r="F58" s="487">
        <v>1008010001</v>
      </c>
      <c r="G58" s="487" t="s">
        <v>1357</v>
      </c>
    </row>
    <row r="59" spans="1:7">
      <c r="A59" s="486" t="s">
        <v>1358</v>
      </c>
      <c r="B59" s="486">
        <v>3400006343</v>
      </c>
      <c r="C59" s="487" t="s">
        <v>1293</v>
      </c>
      <c r="D59" s="488">
        <v>44155</v>
      </c>
      <c r="E59" s="489">
        <v>270000</v>
      </c>
      <c r="F59" s="487">
        <v>1008010001</v>
      </c>
      <c r="G59" s="487" t="s">
        <v>1359</v>
      </c>
    </row>
    <row r="60" spans="1:7">
      <c r="A60" s="486" t="s">
        <v>1360</v>
      </c>
      <c r="B60" s="486">
        <v>3400006370</v>
      </c>
      <c r="C60" s="487" t="s">
        <v>1293</v>
      </c>
      <c r="D60" s="488">
        <v>44156</v>
      </c>
      <c r="E60" s="489">
        <v>360000</v>
      </c>
      <c r="F60" s="487">
        <v>1008010001</v>
      </c>
      <c r="G60" s="487" t="s">
        <v>1361</v>
      </c>
    </row>
    <row r="61" spans="1:7">
      <c r="A61" s="486" t="s">
        <v>1362</v>
      </c>
      <c r="B61" s="486">
        <v>3400006532</v>
      </c>
      <c r="C61" s="487" t="s">
        <v>1293</v>
      </c>
      <c r="D61" s="488">
        <v>44162</v>
      </c>
      <c r="E61" s="489">
        <v>380700</v>
      </c>
      <c r="F61" s="487">
        <v>1008010001</v>
      </c>
      <c r="G61" s="487" t="s">
        <v>1363</v>
      </c>
    </row>
    <row r="62" spans="1:7">
      <c r="A62" s="486" t="s">
        <v>1364</v>
      </c>
      <c r="B62" s="486">
        <v>3400006821</v>
      </c>
      <c r="C62" s="487" t="s">
        <v>1293</v>
      </c>
      <c r="D62" s="488">
        <v>44176</v>
      </c>
      <c r="E62" s="489">
        <v>200000</v>
      </c>
      <c r="F62" s="487">
        <v>1008010001</v>
      </c>
      <c r="G62" s="487" t="s">
        <v>1365</v>
      </c>
    </row>
    <row r="63" spans="1:7">
      <c r="A63" s="486" t="s">
        <v>1366</v>
      </c>
      <c r="B63" s="486">
        <v>3400006822</v>
      </c>
      <c r="C63" s="487" t="s">
        <v>1293</v>
      </c>
      <c r="D63" s="488">
        <v>44176</v>
      </c>
      <c r="E63" s="489">
        <v>400000</v>
      </c>
      <c r="F63" s="487">
        <v>1008010001</v>
      </c>
      <c r="G63" s="487" t="s">
        <v>1367</v>
      </c>
    </row>
    <row r="64" spans="1:7">
      <c r="A64" s="486" t="s">
        <v>1368</v>
      </c>
      <c r="B64" s="486">
        <v>3400006911</v>
      </c>
      <c r="C64" s="487" t="s">
        <v>1293</v>
      </c>
      <c r="D64" s="488">
        <v>44177</v>
      </c>
      <c r="E64" s="489">
        <v>400000</v>
      </c>
      <c r="F64" s="487">
        <v>1008010001</v>
      </c>
      <c r="G64" s="487" t="s">
        <v>1369</v>
      </c>
    </row>
    <row r="65" spans="1:7">
      <c r="A65" s="486" t="s">
        <v>1370</v>
      </c>
      <c r="B65" s="486">
        <v>3400006914</v>
      </c>
      <c r="C65" s="487" t="s">
        <v>1293</v>
      </c>
      <c r="D65" s="488">
        <v>44177</v>
      </c>
      <c r="E65" s="489">
        <v>344000</v>
      </c>
      <c r="F65" s="487">
        <v>1008010001</v>
      </c>
      <c r="G65" s="487" t="s">
        <v>1371</v>
      </c>
    </row>
    <row r="66" spans="1:7">
      <c r="A66" s="486">
        <v>482</v>
      </c>
      <c r="B66" s="486">
        <v>3400006949</v>
      </c>
      <c r="C66" s="487" t="s">
        <v>1293</v>
      </c>
      <c r="D66" s="488">
        <v>44181</v>
      </c>
      <c r="E66" s="489">
        <v>3200000</v>
      </c>
      <c r="F66" s="487">
        <v>1008010001</v>
      </c>
      <c r="G66" s="487" t="s">
        <v>1372</v>
      </c>
    </row>
    <row r="67" spans="1:7">
      <c r="A67" s="486">
        <v>482</v>
      </c>
      <c r="B67" s="486">
        <v>3400006949</v>
      </c>
      <c r="C67" s="487" t="s">
        <v>1293</v>
      </c>
      <c r="D67" s="488">
        <v>44181</v>
      </c>
      <c r="E67" s="489">
        <v>1000000</v>
      </c>
      <c r="F67" s="487">
        <v>1008010001</v>
      </c>
      <c r="G67" s="487" t="s">
        <v>1373</v>
      </c>
    </row>
    <row r="68" spans="1:7">
      <c r="A68" s="486" t="s">
        <v>1374</v>
      </c>
      <c r="B68" s="486">
        <v>5000010630</v>
      </c>
      <c r="C68" s="487" t="s">
        <v>1375</v>
      </c>
      <c r="D68" s="488">
        <v>44177</v>
      </c>
      <c r="E68" s="489">
        <v>133333</v>
      </c>
      <c r="F68" s="487">
        <v>1003990001</v>
      </c>
      <c r="G68" s="487" t="s">
        <v>1376</v>
      </c>
    </row>
    <row r="69" spans="1:7">
      <c r="A69" s="486" t="s">
        <v>1374</v>
      </c>
      <c r="B69" s="486">
        <v>5000010630</v>
      </c>
      <c r="C69" s="487" t="s">
        <v>1375</v>
      </c>
      <c r="D69" s="488">
        <v>44177</v>
      </c>
      <c r="E69" s="489">
        <v>4202</v>
      </c>
      <c r="F69" s="487">
        <v>1003990001</v>
      </c>
      <c r="G69" s="487" t="s">
        <v>1376</v>
      </c>
    </row>
    <row r="70" spans="1:7">
      <c r="A70" s="486">
        <v>4700398180</v>
      </c>
      <c r="B70" s="486">
        <v>6100016416</v>
      </c>
      <c r="C70" s="487" t="s">
        <v>631</v>
      </c>
      <c r="D70" s="488">
        <v>43882</v>
      </c>
      <c r="E70" s="489">
        <v>247500</v>
      </c>
      <c r="F70" s="487">
        <v>1004010006</v>
      </c>
      <c r="G70" s="487" t="s">
        <v>633</v>
      </c>
    </row>
    <row r="71" spans="1:7">
      <c r="A71" s="486">
        <v>4700398180</v>
      </c>
      <c r="B71" s="486">
        <v>6100016416</v>
      </c>
      <c r="C71" s="487" t="s">
        <v>631</v>
      </c>
      <c r="D71" s="488">
        <v>43882</v>
      </c>
      <c r="E71" s="489">
        <v>247500</v>
      </c>
      <c r="F71" s="487">
        <v>1004010005</v>
      </c>
      <c r="G71" s="487" t="s">
        <v>633</v>
      </c>
    </row>
    <row r="72" spans="1:7">
      <c r="A72" s="486">
        <v>4700398180</v>
      </c>
      <c r="B72" s="486">
        <v>6100016416</v>
      </c>
      <c r="C72" s="487" t="s">
        <v>631</v>
      </c>
      <c r="D72" s="488">
        <v>43882</v>
      </c>
      <c r="E72" s="489">
        <v>256500</v>
      </c>
      <c r="F72" s="487">
        <v>1004010001</v>
      </c>
      <c r="G72" s="487" t="s">
        <v>633</v>
      </c>
    </row>
    <row r="73" spans="1:7">
      <c r="A73" s="486">
        <v>4700425927</v>
      </c>
      <c r="B73" s="486">
        <v>6100050553</v>
      </c>
      <c r="C73" s="487" t="s">
        <v>631</v>
      </c>
      <c r="D73" s="488">
        <v>43977</v>
      </c>
      <c r="E73" s="489">
        <v>140000</v>
      </c>
      <c r="F73" s="487">
        <v>1003010006</v>
      </c>
      <c r="G73" s="487" t="s">
        <v>633</v>
      </c>
    </row>
    <row r="74" spans="1:7">
      <c r="A74" s="486">
        <v>4700425927</v>
      </c>
      <c r="B74" s="486">
        <v>6100050746</v>
      </c>
      <c r="C74" s="487" t="s">
        <v>631</v>
      </c>
      <c r="D74" s="488">
        <v>43977</v>
      </c>
      <c r="E74" s="489">
        <v>-140000</v>
      </c>
      <c r="F74" s="487">
        <v>1003010006</v>
      </c>
      <c r="G74" s="487" t="s">
        <v>633</v>
      </c>
    </row>
    <row r="75" spans="1:7">
      <c r="A75" s="486">
        <v>4700425083</v>
      </c>
      <c r="B75" s="486">
        <v>6100051634</v>
      </c>
      <c r="C75" s="487" t="s">
        <v>631</v>
      </c>
      <c r="D75" s="488">
        <v>43980</v>
      </c>
      <c r="E75" s="489">
        <v>270000</v>
      </c>
      <c r="F75" s="487">
        <v>1001010006</v>
      </c>
      <c r="G75" s="487" t="s">
        <v>1377</v>
      </c>
    </row>
    <row r="76" spans="1:7">
      <c r="A76" s="486">
        <v>4700458353</v>
      </c>
      <c r="B76" s="486">
        <v>6100074194</v>
      </c>
      <c r="C76" s="487" t="s">
        <v>631</v>
      </c>
      <c r="D76" s="488">
        <v>44067</v>
      </c>
      <c r="E76" s="489">
        <v>90000</v>
      </c>
      <c r="F76" s="487">
        <v>1004010001</v>
      </c>
      <c r="G76" s="487" t="s">
        <v>633</v>
      </c>
    </row>
    <row r="77" spans="1:7">
      <c r="A77" s="486">
        <v>4700458353</v>
      </c>
      <c r="B77" s="486">
        <v>6100074194</v>
      </c>
      <c r="C77" s="487" t="s">
        <v>631</v>
      </c>
      <c r="D77" s="488">
        <v>44067</v>
      </c>
      <c r="E77" s="489">
        <v>90000</v>
      </c>
      <c r="F77" s="487">
        <v>1004010005</v>
      </c>
      <c r="G77" s="487" t="s">
        <v>633</v>
      </c>
    </row>
    <row r="78" spans="1:7">
      <c r="A78" s="491"/>
      <c r="B78" s="491"/>
      <c r="D78" s="492" t="s">
        <v>1</v>
      </c>
      <c r="E78" s="493">
        <f>SUM(E7:E77)</f>
        <v>30563123</v>
      </c>
    </row>
    <row r="79" spans="1:7">
      <c r="A79" s="491"/>
      <c r="B79" s="491"/>
    </row>
    <row r="80" spans="1:7">
      <c r="A80" s="491"/>
      <c r="B80" s="491"/>
    </row>
    <row r="81" spans="1:2">
      <c r="A81" s="491"/>
      <c r="B81" s="491"/>
    </row>
    <row r="82" spans="1:2">
      <c r="A82" s="491"/>
      <c r="B82" s="491"/>
    </row>
    <row r="83" spans="1:2">
      <c r="A83" s="491"/>
      <c r="B83" s="491"/>
    </row>
    <row r="84" spans="1:2">
      <c r="A84" s="491"/>
      <c r="B84" s="491"/>
    </row>
    <row r="85" spans="1:2">
      <c r="A85" s="491"/>
      <c r="B85" s="491"/>
    </row>
    <row r="86" spans="1:2">
      <c r="A86" s="491"/>
      <c r="B86" s="491"/>
    </row>
    <row r="87" spans="1:2">
      <c r="A87" s="491"/>
      <c r="B87" s="491"/>
    </row>
    <row r="88" spans="1:2">
      <c r="A88" s="491"/>
      <c r="B88" s="491"/>
    </row>
    <row r="89" spans="1:2">
      <c r="A89" s="491"/>
      <c r="B89" s="491"/>
    </row>
    <row r="90" spans="1:2">
      <c r="A90" s="491"/>
      <c r="B90" s="491"/>
    </row>
  </sheetData>
  <mergeCells count="5">
    <mergeCell ref="A4:G4"/>
    <mergeCell ref="J5:N5"/>
    <mergeCell ref="U7:AB10"/>
    <mergeCell ref="U11:AB12"/>
    <mergeCell ref="U13:AB16"/>
  </mergeCells>
  <phoneticPr fontId="30" type="noConversion"/>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B549"/>
  <sheetViews>
    <sheetView showGridLines="0" workbookViewId="0">
      <pane ySplit="7" topLeftCell="A44" activePane="bottomLeft" state="frozen"/>
      <selection pane="bottomLeft"/>
    </sheetView>
  </sheetViews>
  <sheetFormatPr baseColWidth="10" defaultRowHeight="15"/>
  <cols>
    <col min="1" max="1" width="11" style="483" bestFit="1" customWidth="1"/>
    <col min="2" max="2" width="13.85546875" style="483" bestFit="1" customWidth="1"/>
    <col min="3" max="3" width="11.140625" style="483" bestFit="1" customWidth="1"/>
    <col min="4" max="4" width="17.28515625" style="483" bestFit="1" customWidth="1"/>
    <col min="5" max="5" width="15.5703125" style="483" bestFit="1" customWidth="1"/>
    <col min="6" max="6" width="15" style="483" bestFit="1" customWidth="1"/>
    <col min="7" max="7" width="45.42578125" style="483" bestFit="1" customWidth="1"/>
    <col min="8" max="8" width="13.140625" style="483" bestFit="1" customWidth="1"/>
    <col min="9" max="13" width="11.5703125" style="483" bestFit="1" customWidth="1"/>
    <col min="14" max="19" width="11.5703125" style="483" customWidth="1"/>
    <col min="20" max="22" width="11.42578125" style="483"/>
    <col min="23" max="23" width="3" style="483" customWidth="1"/>
    <col min="24" max="24" width="7.7109375" style="483" customWidth="1"/>
    <col min="25" max="25" width="5.28515625" style="483" customWidth="1"/>
    <col min="26" max="26" width="7" style="483" customWidth="1"/>
    <col min="27" max="27" width="4.140625" style="483" customWidth="1"/>
    <col min="28" max="16384" width="11.42578125" style="483"/>
  </cols>
  <sheetData>
    <row r="2" spans="1:28">
      <c r="I2" s="480"/>
      <c r="J2" s="436" t="s">
        <v>436</v>
      </c>
      <c r="K2" s="436"/>
      <c r="L2" s="436"/>
      <c r="M2" s="436"/>
      <c r="N2" s="436"/>
      <c r="O2" s="436"/>
      <c r="P2" s="436"/>
      <c r="Q2" s="436"/>
      <c r="R2" s="436"/>
      <c r="S2" s="436"/>
    </row>
    <row r="3" spans="1:28">
      <c r="I3" s="480"/>
      <c r="J3" s="294">
        <v>2025</v>
      </c>
      <c r="K3" s="294">
        <v>2026</v>
      </c>
      <c r="L3" s="294">
        <v>2027</v>
      </c>
      <c r="M3" s="294">
        <v>2028</v>
      </c>
      <c r="N3" s="294">
        <v>2029</v>
      </c>
      <c r="O3" s="294">
        <v>2030</v>
      </c>
      <c r="P3" s="294">
        <v>2031</v>
      </c>
      <c r="Q3" s="294">
        <v>2032</v>
      </c>
      <c r="R3" s="294">
        <v>2033</v>
      </c>
      <c r="S3" s="154"/>
    </row>
    <row r="4" spans="1:28" ht="15.75">
      <c r="A4" s="993" t="s">
        <v>1379</v>
      </c>
      <c r="B4" s="993"/>
      <c r="C4" s="993"/>
      <c r="D4" s="993"/>
      <c r="E4" s="993"/>
      <c r="F4" s="993"/>
      <c r="G4" s="993"/>
      <c r="I4" s="480"/>
      <c r="J4" s="481">
        <f>+'IPC - CAFÉ'!E24</f>
        <v>0.06</v>
      </c>
      <c r="K4" s="481">
        <f>+'IPC - CAFÉ'!F24</f>
        <v>4.5975144331782153E-2</v>
      </c>
      <c r="L4" s="481">
        <f>+'IPC - CAFÉ'!G24</f>
        <v>4.7225144331782154E-2</v>
      </c>
      <c r="M4" s="481">
        <f>+'IPC - CAFÉ'!H24</f>
        <v>4.8475144331782155E-2</v>
      </c>
      <c r="N4" s="481">
        <f>+'IPC - CAFÉ'!I24</f>
        <v>4.9725144331782156E-2</v>
      </c>
      <c r="O4" s="481">
        <f>+'IPC - CAFÉ'!J24</f>
        <v>5.0975144331782157E-2</v>
      </c>
      <c r="P4" s="481">
        <f>+'IPC - CAFÉ'!K24</f>
        <v>5.2225144331782158E-2</v>
      </c>
      <c r="Q4" s="481">
        <f>+'IPC - CAFÉ'!L24</f>
        <v>5.347514433178216E-2</v>
      </c>
      <c r="R4" s="481">
        <f>+'IPC - CAFÉ'!M24</f>
        <v>5.4725144331782161E-2</v>
      </c>
      <c r="S4" s="504"/>
    </row>
    <row r="5" spans="1:28" ht="15.75">
      <c r="A5" s="494"/>
      <c r="B5" s="494"/>
      <c r="C5" s="494"/>
      <c r="D5" s="494"/>
      <c r="E5" s="494"/>
      <c r="F5" s="494"/>
      <c r="G5" s="494"/>
      <c r="I5" s="480"/>
      <c r="J5" s="504"/>
      <c r="K5" s="504"/>
      <c r="L5" s="504"/>
      <c r="M5" s="504"/>
      <c r="N5" s="504"/>
      <c r="O5" s="504"/>
      <c r="P5" s="504"/>
      <c r="Q5" s="504"/>
      <c r="R5" s="504"/>
      <c r="S5" s="504"/>
    </row>
    <row r="6" spans="1:28">
      <c r="I6" s="991" t="s">
        <v>1953</v>
      </c>
      <c r="J6" s="991"/>
      <c r="K6" s="991"/>
      <c r="L6" s="991"/>
      <c r="M6" s="991"/>
      <c r="N6" s="748"/>
      <c r="O6" s="748"/>
      <c r="P6" s="748"/>
      <c r="Q6" s="748"/>
      <c r="R6" s="748"/>
      <c r="S6" s="748"/>
    </row>
    <row r="7" spans="1:28" ht="30">
      <c r="A7" s="484" t="s">
        <v>624</v>
      </c>
      <c r="B7" s="484" t="s">
        <v>625</v>
      </c>
      <c r="C7" s="484" t="s">
        <v>626</v>
      </c>
      <c r="D7" s="484" t="s">
        <v>627</v>
      </c>
      <c r="E7" s="484" t="s">
        <v>628</v>
      </c>
      <c r="F7" s="484" t="s">
        <v>629</v>
      </c>
      <c r="G7" s="484" t="s">
        <v>630</v>
      </c>
      <c r="I7" s="485" t="s">
        <v>226</v>
      </c>
      <c r="J7" s="485" t="s">
        <v>227</v>
      </c>
      <c r="K7" s="485" t="s">
        <v>228</v>
      </c>
      <c r="L7" s="485" t="s">
        <v>229</v>
      </c>
      <c r="M7" s="485" t="s">
        <v>230</v>
      </c>
      <c r="N7" s="485" t="s">
        <v>231</v>
      </c>
      <c r="O7" s="485" t="s">
        <v>232</v>
      </c>
      <c r="P7" s="485" t="s">
        <v>233</v>
      </c>
      <c r="Q7" s="485" t="s">
        <v>3010</v>
      </c>
      <c r="R7" s="485" t="s">
        <v>3011</v>
      </c>
      <c r="S7" s="546"/>
      <c r="U7" s="376" t="s">
        <v>439</v>
      </c>
      <c r="V7" s="149"/>
      <c r="W7" s="149"/>
      <c r="X7" s="149"/>
      <c r="Y7" s="149"/>
      <c r="Z7" s="149"/>
      <c r="AA7" s="149"/>
      <c r="AB7" s="149"/>
    </row>
    <row r="8" spans="1:28">
      <c r="A8" s="496" t="s">
        <v>1380</v>
      </c>
      <c r="B8" s="496" t="s">
        <v>1381</v>
      </c>
      <c r="C8" s="496" t="s">
        <v>631</v>
      </c>
      <c r="D8" s="497">
        <v>43841</v>
      </c>
      <c r="E8" s="498">
        <v>70359</v>
      </c>
      <c r="F8" s="496">
        <v>1001010001</v>
      </c>
      <c r="G8" s="496" t="s">
        <v>1382</v>
      </c>
      <c r="I8" s="490">
        <v>23540331.028850999</v>
      </c>
      <c r="J8" s="490">
        <f>+I8*(1+J4)</f>
        <v>24952750.890582059</v>
      </c>
      <c r="K8" s="490">
        <f>+J8*(1+K4)</f>
        <v>26099957.214251574</v>
      </c>
      <c r="L8" s="490">
        <f>+K8*(1+L4)</f>
        <v>27332531.460747942</v>
      </c>
      <c r="M8" s="490">
        <f>+L8*(1+M4)</f>
        <v>28657479.868260674</v>
      </c>
      <c r="N8" s="490">
        <f t="shared" ref="N8:R8" si="0">+M8*(1+N4)</f>
        <v>30082477.190895077</v>
      </c>
      <c r="O8" s="490">
        <f t="shared" si="0"/>
        <v>31615935.807558496</v>
      </c>
      <c r="P8" s="490">
        <f t="shared" si="0"/>
        <v>33267082.618292592</v>
      </c>
      <c r="Q8" s="490">
        <f t="shared" si="0"/>
        <v>35046044.662803113</v>
      </c>
      <c r="R8" s="490">
        <f t="shared" si="0"/>
        <v>36963944.515233099</v>
      </c>
      <c r="S8" s="545"/>
      <c r="U8" s="962" t="s">
        <v>646</v>
      </c>
      <c r="V8" s="963"/>
      <c r="W8" s="963"/>
      <c r="X8" s="963"/>
      <c r="Y8" s="963"/>
      <c r="Z8" s="963"/>
      <c r="AA8" s="963"/>
      <c r="AB8" s="964"/>
    </row>
    <row r="9" spans="1:28">
      <c r="A9" s="496" t="s">
        <v>1383</v>
      </c>
      <c r="B9" s="496" t="s">
        <v>1384</v>
      </c>
      <c r="C9" s="496" t="s">
        <v>631</v>
      </c>
      <c r="D9" s="497">
        <v>43868</v>
      </c>
      <c r="E9" s="498">
        <v>62373</v>
      </c>
      <c r="F9" s="496">
        <v>1001010001</v>
      </c>
      <c r="G9" s="496" t="s">
        <v>1382</v>
      </c>
      <c r="U9" s="965"/>
      <c r="V9" s="966"/>
      <c r="W9" s="966"/>
      <c r="X9" s="966"/>
      <c r="Y9" s="966"/>
      <c r="Z9" s="966"/>
      <c r="AA9" s="966"/>
      <c r="AB9" s="967"/>
    </row>
    <row r="10" spans="1:28">
      <c r="A10" s="496" t="s">
        <v>1385</v>
      </c>
      <c r="B10" s="496" t="s">
        <v>1386</v>
      </c>
      <c r="C10" s="496" t="s">
        <v>631</v>
      </c>
      <c r="D10" s="497">
        <v>43898</v>
      </c>
      <c r="E10" s="498">
        <v>58111</v>
      </c>
      <c r="F10" s="496">
        <v>1001010001</v>
      </c>
      <c r="G10" s="496" t="s">
        <v>1382</v>
      </c>
      <c r="U10" s="965"/>
      <c r="V10" s="966"/>
      <c r="W10" s="966"/>
      <c r="X10" s="966"/>
      <c r="Y10" s="966"/>
      <c r="Z10" s="966"/>
      <c r="AA10" s="966"/>
      <c r="AB10" s="967"/>
    </row>
    <row r="11" spans="1:28">
      <c r="A11" s="496" t="s">
        <v>1387</v>
      </c>
      <c r="B11" s="496" t="s">
        <v>1388</v>
      </c>
      <c r="C11" s="496" t="s">
        <v>631</v>
      </c>
      <c r="D11" s="497">
        <v>43932</v>
      </c>
      <c r="E11" s="498">
        <v>53846</v>
      </c>
      <c r="F11" s="496">
        <v>1001010001</v>
      </c>
      <c r="G11" s="496" t="s">
        <v>1382</v>
      </c>
      <c r="U11" s="965"/>
      <c r="V11" s="966"/>
      <c r="W11" s="966"/>
      <c r="X11" s="966"/>
      <c r="Y11" s="966"/>
      <c r="Z11" s="966"/>
      <c r="AA11" s="966"/>
      <c r="AB11" s="967"/>
    </row>
    <row r="12" spans="1:28">
      <c r="A12" s="496" t="s">
        <v>1389</v>
      </c>
      <c r="B12" s="496" t="s">
        <v>1390</v>
      </c>
      <c r="C12" s="496" t="s">
        <v>631</v>
      </c>
      <c r="D12" s="497">
        <v>43962</v>
      </c>
      <c r="E12" s="498">
        <v>45320</v>
      </c>
      <c r="F12" s="496">
        <v>1001010001</v>
      </c>
      <c r="G12" s="496" t="s">
        <v>1382</v>
      </c>
      <c r="U12" s="965"/>
      <c r="V12" s="966"/>
      <c r="W12" s="966"/>
      <c r="X12" s="966"/>
      <c r="Y12" s="966"/>
      <c r="Z12" s="966"/>
      <c r="AA12" s="966"/>
      <c r="AB12" s="967"/>
    </row>
    <row r="13" spans="1:28">
      <c r="A13" s="496" t="s">
        <v>1391</v>
      </c>
      <c r="B13" s="496" t="s">
        <v>1392</v>
      </c>
      <c r="C13" s="496" t="s">
        <v>631</v>
      </c>
      <c r="D13" s="497">
        <v>44002</v>
      </c>
      <c r="E13" s="498">
        <v>32530</v>
      </c>
      <c r="F13" s="496">
        <v>1001010001</v>
      </c>
      <c r="G13" s="496" t="s">
        <v>1382</v>
      </c>
      <c r="U13" s="965"/>
      <c r="V13" s="966"/>
      <c r="W13" s="966"/>
      <c r="X13" s="966"/>
      <c r="Y13" s="966"/>
      <c r="Z13" s="966"/>
      <c r="AA13" s="966"/>
      <c r="AB13" s="967"/>
    </row>
    <row r="14" spans="1:28">
      <c r="A14" s="496" t="s">
        <v>1393</v>
      </c>
      <c r="B14" s="496" t="s">
        <v>1394</v>
      </c>
      <c r="C14" s="496" t="s">
        <v>631</v>
      </c>
      <c r="D14" s="497">
        <v>44021</v>
      </c>
      <c r="E14" s="498">
        <v>66638</v>
      </c>
      <c r="F14" s="496">
        <v>1001010001</v>
      </c>
      <c r="G14" s="496" t="s">
        <v>1382</v>
      </c>
      <c r="U14" s="965"/>
      <c r="V14" s="966"/>
      <c r="W14" s="966"/>
      <c r="X14" s="966"/>
      <c r="Y14" s="966"/>
      <c r="Z14" s="966"/>
      <c r="AA14" s="966"/>
      <c r="AB14" s="967"/>
    </row>
    <row r="15" spans="1:28">
      <c r="A15" s="496" t="s">
        <v>1395</v>
      </c>
      <c r="B15" s="496" t="s">
        <v>1396</v>
      </c>
      <c r="C15" s="496" t="s">
        <v>631</v>
      </c>
      <c r="D15" s="497">
        <v>44056</v>
      </c>
      <c r="E15" s="498">
        <v>66638</v>
      </c>
      <c r="F15" s="496">
        <v>1001010001</v>
      </c>
      <c r="G15" s="496" t="s">
        <v>1382</v>
      </c>
      <c r="U15" s="965"/>
      <c r="V15" s="966"/>
      <c r="W15" s="966"/>
      <c r="X15" s="966"/>
      <c r="Y15" s="966"/>
      <c r="Z15" s="966"/>
      <c r="AA15" s="966"/>
      <c r="AB15" s="967"/>
    </row>
    <row r="16" spans="1:28">
      <c r="A16" s="496" t="s">
        <v>1397</v>
      </c>
      <c r="B16" s="496" t="s">
        <v>1398</v>
      </c>
      <c r="C16" s="496" t="s">
        <v>631</v>
      </c>
      <c r="D16" s="497">
        <v>44086</v>
      </c>
      <c r="E16" s="498">
        <v>66638</v>
      </c>
      <c r="F16" s="496">
        <v>1001010001</v>
      </c>
      <c r="G16" s="496" t="s">
        <v>1382</v>
      </c>
      <c r="U16" s="965"/>
      <c r="V16" s="966"/>
      <c r="W16" s="966"/>
      <c r="X16" s="966"/>
      <c r="Y16" s="966"/>
      <c r="Z16" s="966"/>
      <c r="AA16" s="966"/>
      <c r="AB16" s="967"/>
    </row>
    <row r="17" spans="1:28">
      <c r="A17" s="496" t="s">
        <v>1399</v>
      </c>
      <c r="B17" s="496" t="s">
        <v>1400</v>
      </c>
      <c r="C17" s="496" t="s">
        <v>631</v>
      </c>
      <c r="D17" s="497">
        <v>44115</v>
      </c>
      <c r="E17" s="498">
        <v>66638</v>
      </c>
      <c r="F17" s="496">
        <v>1001010001</v>
      </c>
      <c r="G17" s="496" t="s">
        <v>1382</v>
      </c>
      <c r="U17" s="968"/>
      <c r="V17" s="969"/>
      <c r="W17" s="969"/>
      <c r="X17" s="969"/>
      <c r="Y17" s="969"/>
      <c r="Z17" s="969"/>
      <c r="AA17" s="969"/>
      <c r="AB17" s="970"/>
    </row>
    <row r="18" spans="1:28">
      <c r="A18" s="496" t="s">
        <v>1401</v>
      </c>
      <c r="B18" s="496" t="s">
        <v>1402</v>
      </c>
      <c r="C18" s="496" t="s">
        <v>631</v>
      </c>
      <c r="D18" s="497">
        <v>44147</v>
      </c>
      <c r="E18" s="498">
        <v>130693</v>
      </c>
      <c r="F18" s="496">
        <v>1001010001</v>
      </c>
      <c r="G18" s="496" t="s">
        <v>1382</v>
      </c>
    </row>
    <row r="19" spans="1:28">
      <c r="A19" s="496" t="s">
        <v>1403</v>
      </c>
      <c r="B19" s="496" t="s">
        <v>1404</v>
      </c>
      <c r="C19" s="496" t="s">
        <v>631</v>
      </c>
      <c r="D19" s="497">
        <v>44175</v>
      </c>
      <c r="E19" s="498">
        <v>207432</v>
      </c>
      <c r="F19" s="496">
        <v>1001010001</v>
      </c>
      <c r="G19" s="496" t="s">
        <v>1382</v>
      </c>
    </row>
    <row r="20" spans="1:28">
      <c r="A20" s="496" t="s">
        <v>1405</v>
      </c>
      <c r="B20" s="496" t="s">
        <v>1406</v>
      </c>
      <c r="C20" s="496" t="s">
        <v>631</v>
      </c>
      <c r="D20" s="497">
        <v>44212</v>
      </c>
      <c r="E20" s="498">
        <v>207432</v>
      </c>
      <c r="F20" s="496">
        <v>1001010001</v>
      </c>
      <c r="G20" s="496" t="s">
        <v>1382</v>
      </c>
    </row>
    <row r="21" spans="1:28">
      <c r="A21" s="496" t="s">
        <v>1405</v>
      </c>
      <c r="B21" s="496" t="s">
        <v>1407</v>
      </c>
      <c r="C21" s="496" t="s">
        <v>631</v>
      </c>
      <c r="D21" s="497">
        <v>44212</v>
      </c>
      <c r="E21" s="498">
        <v>-207432</v>
      </c>
      <c r="F21" s="496">
        <v>1001010001</v>
      </c>
      <c r="G21" s="496" t="s">
        <v>1382</v>
      </c>
    </row>
    <row r="22" spans="1:28">
      <c r="A22" s="496" t="s">
        <v>1405</v>
      </c>
      <c r="B22" s="496" t="s">
        <v>1408</v>
      </c>
      <c r="C22" s="496" t="s">
        <v>631</v>
      </c>
      <c r="D22" s="497">
        <v>44214</v>
      </c>
      <c r="E22" s="498">
        <v>318181</v>
      </c>
      <c r="F22" s="496">
        <v>1001010001</v>
      </c>
      <c r="G22" s="496" t="s">
        <v>1382</v>
      </c>
    </row>
    <row r="23" spans="1:28">
      <c r="A23" s="496" t="s">
        <v>1409</v>
      </c>
      <c r="B23" s="496" t="s">
        <v>1410</v>
      </c>
      <c r="C23" s="496" t="s">
        <v>631</v>
      </c>
      <c r="D23" s="497">
        <v>44241</v>
      </c>
      <c r="E23" s="498">
        <v>157457</v>
      </c>
      <c r="F23" s="496">
        <v>1001010001</v>
      </c>
      <c r="G23" s="496" t="s">
        <v>1382</v>
      </c>
    </row>
    <row r="24" spans="1:28">
      <c r="A24" s="496" t="s">
        <v>1411</v>
      </c>
      <c r="B24" s="496" t="s">
        <v>1412</v>
      </c>
      <c r="C24" s="496" t="s">
        <v>631</v>
      </c>
      <c r="D24" s="497">
        <v>44269</v>
      </c>
      <c r="E24" s="498">
        <v>64652</v>
      </c>
      <c r="F24" s="496">
        <v>1001010001</v>
      </c>
      <c r="G24" s="496" t="s">
        <v>1382</v>
      </c>
    </row>
    <row r="25" spans="1:28">
      <c r="A25" s="496" t="s">
        <v>1413</v>
      </c>
      <c r="B25" s="496" t="s">
        <v>1414</v>
      </c>
      <c r="C25" s="496" t="s">
        <v>631</v>
      </c>
      <c r="D25" s="497">
        <v>44299</v>
      </c>
      <c r="E25" s="498">
        <v>64167</v>
      </c>
      <c r="F25" s="496">
        <v>1001010001</v>
      </c>
      <c r="G25" s="496" t="s">
        <v>1382</v>
      </c>
    </row>
    <row r="26" spans="1:28">
      <c r="A26" s="496" t="s">
        <v>1415</v>
      </c>
      <c r="B26" s="496" t="s">
        <v>1416</v>
      </c>
      <c r="C26" s="496" t="s">
        <v>631</v>
      </c>
      <c r="D26" s="497">
        <v>44329</v>
      </c>
      <c r="E26" s="498">
        <v>77318</v>
      </c>
      <c r="F26" s="496">
        <v>1001010001</v>
      </c>
      <c r="G26" s="496" t="s">
        <v>1382</v>
      </c>
    </row>
    <row r="27" spans="1:28">
      <c r="A27" s="496" t="s">
        <v>1417</v>
      </c>
      <c r="B27" s="496" t="s">
        <v>1418</v>
      </c>
      <c r="C27" s="496" t="s">
        <v>631</v>
      </c>
      <c r="D27" s="497">
        <v>44360</v>
      </c>
      <c r="E27" s="498">
        <v>51134</v>
      </c>
      <c r="F27" s="496">
        <v>1001010001</v>
      </c>
      <c r="G27" s="496" t="s">
        <v>1382</v>
      </c>
    </row>
    <row r="28" spans="1:28">
      <c r="A28" s="496" t="s">
        <v>1419</v>
      </c>
      <c r="B28" s="496" t="s">
        <v>1420</v>
      </c>
      <c r="C28" s="496" t="s">
        <v>631</v>
      </c>
      <c r="D28" s="497">
        <v>44392</v>
      </c>
      <c r="E28" s="498">
        <v>51051</v>
      </c>
      <c r="F28" s="496">
        <v>1001010001</v>
      </c>
      <c r="G28" s="496" t="s">
        <v>1382</v>
      </c>
    </row>
    <row r="29" spans="1:28">
      <c r="A29" s="496" t="s">
        <v>1421</v>
      </c>
      <c r="B29" s="496" t="s">
        <v>1422</v>
      </c>
      <c r="C29" s="496" t="s">
        <v>631</v>
      </c>
      <c r="D29" s="497">
        <v>44420</v>
      </c>
      <c r="E29" s="498">
        <v>46632</v>
      </c>
      <c r="F29" s="496">
        <v>1001010001</v>
      </c>
      <c r="G29" s="496" t="s">
        <v>1423</v>
      </c>
    </row>
    <row r="30" spans="1:28">
      <c r="A30" s="496" t="s">
        <v>1424</v>
      </c>
      <c r="B30" s="496" t="s">
        <v>1425</v>
      </c>
      <c r="C30" s="496" t="s">
        <v>631</v>
      </c>
      <c r="D30" s="497">
        <v>44452</v>
      </c>
      <c r="E30" s="498">
        <v>52813</v>
      </c>
      <c r="F30" s="496">
        <v>1001010001</v>
      </c>
      <c r="G30" s="496" t="s">
        <v>1382</v>
      </c>
    </row>
    <row r="31" spans="1:28">
      <c r="A31" s="496" t="s">
        <v>1426</v>
      </c>
      <c r="B31" s="496" t="s">
        <v>1427</v>
      </c>
      <c r="C31" s="496" t="s">
        <v>631</v>
      </c>
      <c r="D31" s="497">
        <v>44480</v>
      </c>
      <c r="E31" s="498">
        <v>61895</v>
      </c>
      <c r="F31" s="496">
        <v>1001010001</v>
      </c>
      <c r="G31" s="496" t="s">
        <v>1382</v>
      </c>
    </row>
    <row r="32" spans="1:28">
      <c r="A32" s="496" t="s">
        <v>1428</v>
      </c>
      <c r="B32" s="496" t="s">
        <v>1429</v>
      </c>
      <c r="C32" s="496" t="s">
        <v>631</v>
      </c>
      <c r="D32" s="497">
        <v>44512</v>
      </c>
      <c r="E32" s="498">
        <v>89141</v>
      </c>
      <c r="F32" s="496">
        <v>1001010001</v>
      </c>
      <c r="G32" s="496" t="s">
        <v>1382</v>
      </c>
    </row>
    <row r="33" spans="1:7">
      <c r="A33" s="496" t="s">
        <v>1430</v>
      </c>
      <c r="B33" s="496" t="s">
        <v>1431</v>
      </c>
      <c r="C33" s="496" t="s">
        <v>631</v>
      </c>
      <c r="D33" s="497">
        <v>44543</v>
      </c>
      <c r="E33" s="498">
        <v>66436</v>
      </c>
      <c r="F33" s="496">
        <v>1001010001</v>
      </c>
      <c r="G33" s="496" t="s">
        <v>1382</v>
      </c>
    </row>
    <row r="34" spans="1:7">
      <c r="A34" s="496" t="s">
        <v>1432</v>
      </c>
      <c r="B34" s="496" t="s">
        <v>1433</v>
      </c>
      <c r="C34" s="496" t="s">
        <v>631</v>
      </c>
      <c r="D34" s="497">
        <v>43834</v>
      </c>
      <c r="E34" s="498">
        <v>132353</v>
      </c>
      <c r="F34" s="496">
        <v>1001010002</v>
      </c>
      <c r="G34" s="496" t="s">
        <v>1382</v>
      </c>
    </row>
    <row r="35" spans="1:7">
      <c r="A35" s="496" t="s">
        <v>1434</v>
      </c>
      <c r="B35" s="496" t="s">
        <v>1435</v>
      </c>
      <c r="C35" s="496" t="s">
        <v>631</v>
      </c>
      <c r="D35" s="497">
        <v>43871</v>
      </c>
      <c r="E35" s="498">
        <v>117803</v>
      </c>
      <c r="F35" s="496">
        <v>1001010002</v>
      </c>
      <c r="G35" s="496" t="s">
        <v>1382</v>
      </c>
    </row>
    <row r="36" spans="1:7">
      <c r="A36" s="496" t="s">
        <v>1436</v>
      </c>
      <c r="B36" s="496" t="s">
        <v>1437</v>
      </c>
      <c r="C36" s="496" t="s">
        <v>631</v>
      </c>
      <c r="D36" s="497">
        <v>43902</v>
      </c>
      <c r="E36" s="498">
        <v>91613</v>
      </c>
      <c r="F36" s="496">
        <v>1001010002</v>
      </c>
      <c r="G36" s="496" t="s">
        <v>1382</v>
      </c>
    </row>
    <row r="37" spans="1:7">
      <c r="A37" s="496" t="s">
        <v>1438</v>
      </c>
      <c r="B37" s="496" t="s">
        <v>1439</v>
      </c>
      <c r="C37" s="496" t="s">
        <v>631</v>
      </c>
      <c r="D37" s="497">
        <v>43933</v>
      </c>
      <c r="E37" s="498">
        <v>91613</v>
      </c>
      <c r="F37" s="496">
        <v>1001010002</v>
      </c>
      <c r="G37" s="496" t="s">
        <v>1382</v>
      </c>
    </row>
    <row r="38" spans="1:7">
      <c r="A38" s="496" t="s">
        <v>1440</v>
      </c>
      <c r="B38" s="496" t="s">
        <v>1441</v>
      </c>
      <c r="C38" s="496" t="s">
        <v>631</v>
      </c>
      <c r="D38" s="497">
        <v>43968</v>
      </c>
      <c r="E38" s="498">
        <v>74153</v>
      </c>
      <c r="F38" s="496">
        <v>1001010002</v>
      </c>
      <c r="G38" s="496" t="s">
        <v>1382</v>
      </c>
    </row>
    <row r="39" spans="1:7">
      <c r="A39" s="496" t="s">
        <v>1442</v>
      </c>
      <c r="B39" s="496" t="s">
        <v>1443</v>
      </c>
      <c r="C39" s="496" t="s">
        <v>631</v>
      </c>
      <c r="D39" s="497">
        <v>43993</v>
      </c>
      <c r="E39" s="498">
        <v>91613</v>
      </c>
      <c r="F39" s="496">
        <v>1001010002</v>
      </c>
      <c r="G39" s="496" t="s">
        <v>1382</v>
      </c>
    </row>
    <row r="40" spans="1:7">
      <c r="A40" s="496" t="s">
        <v>1444</v>
      </c>
      <c r="B40" s="496" t="s">
        <v>1445</v>
      </c>
      <c r="C40" s="496" t="s">
        <v>631</v>
      </c>
      <c r="D40" s="497">
        <v>44021</v>
      </c>
      <c r="E40" s="498">
        <v>85793</v>
      </c>
      <c r="F40" s="496">
        <v>1001010002</v>
      </c>
      <c r="G40" s="496" t="s">
        <v>1382</v>
      </c>
    </row>
    <row r="41" spans="1:7">
      <c r="A41" s="496" t="s">
        <v>1446</v>
      </c>
      <c r="B41" s="496" t="s">
        <v>1447</v>
      </c>
      <c r="C41" s="496" t="s">
        <v>631</v>
      </c>
      <c r="D41" s="497">
        <v>44052</v>
      </c>
      <c r="E41" s="498">
        <v>88703</v>
      </c>
      <c r="F41" s="496">
        <v>1001010002</v>
      </c>
      <c r="G41" s="496" t="s">
        <v>1382</v>
      </c>
    </row>
    <row r="42" spans="1:7">
      <c r="A42" s="496" t="s">
        <v>1448</v>
      </c>
      <c r="B42" s="496" t="s">
        <v>1449</v>
      </c>
      <c r="C42" s="496" t="s">
        <v>631</v>
      </c>
      <c r="D42" s="497">
        <v>44082</v>
      </c>
      <c r="E42" s="498">
        <v>77063</v>
      </c>
      <c r="F42" s="496">
        <v>1001010002</v>
      </c>
      <c r="G42" s="496" t="s">
        <v>1382</v>
      </c>
    </row>
    <row r="43" spans="1:7">
      <c r="A43" s="496" t="s">
        <v>1450</v>
      </c>
      <c r="B43" s="496" t="s">
        <v>1451</v>
      </c>
      <c r="C43" s="496" t="s">
        <v>631</v>
      </c>
      <c r="D43" s="497">
        <v>44112</v>
      </c>
      <c r="E43" s="498">
        <v>62513</v>
      </c>
      <c r="F43" s="496">
        <v>1001010002</v>
      </c>
      <c r="G43" s="496" t="s">
        <v>1382</v>
      </c>
    </row>
    <row r="44" spans="1:7">
      <c r="A44" s="496" t="s">
        <v>1452</v>
      </c>
      <c r="B44" s="496" t="s">
        <v>1453</v>
      </c>
      <c r="C44" s="496" t="s">
        <v>631</v>
      </c>
      <c r="D44" s="497">
        <v>44144</v>
      </c>
      <c r="E44" s="498">
        <v>71243</v>
      </c>
      <c r="F44" s="496">
        <v>1001010002</v>
      </c>
      <c r="G44" s="496" t="s">
        <v>1382</v>
      </c>
    </row>
    <row r="45" spans="1:7">
      <c r="A45" s="496" t="s">
        <v>1454</v>
      </c>
      <c r="B45" s="496" t="s">
        <v>1455</v>
      </c>
      <c r="C45" s="496" t="s">
        <v>631</v>
      </c>
      <c r="D45" s="497">
        <v>44169</v>
      </c>
      <c r="E45" s="498">
        <v>74153</v>
      </c>
      <c r="F45" s="496">
        <v>1001010002</v>
      </c>
      <c r="G45" s="496" t="s">
        <v>1382</v>
      </c>
    </row>
    <row r="46" spans="1:7">
      <c r="A46" s="496" t="s">
        <v>1456</v>
      </c>
      <c r="B46" s="496" t="s">
        <v>1457</v>
      </c>
      <c r="C46" s="496" t="s">
        <v>631</v>
      </c>
      <c r="D46" s="497">
        <v>44208</v>
      </c>
      <c r="E46" s="498">
        <v>79973</v>
      </c>
      <c r="F46" s="496">
        <v>1001010002</v>
      </c>
      <c r="G46" s="496" t="s">
        <v>1382</v>
      </c>
    </row>
    <row r="47" spans="1:7">
      <c r="A47" s="496" t="s">
        <v>1458</v>
      </c>
      <c r="B47" s="496" t="s">
        <v>1459</v>
      </c>
      <c r="C47" s="496" t="s">
        <v>631</v>
      </c>
      <c r="D47" s="497">
        <v>44236</v>
      </c>
      <c r="E47" s="498">
        <v>71243</v>
      </c>
      <c r="F47" s="496">
        <v>1001010002</v>
      </c>
      <c r="G47" s="496" t="s">
        <v>1382</v>
      </c>
    </row>
    <row r="48" spans="1:7">
      <c r="A48" s="496" t="s">
        <v>1460</v>
      </c>
      <c r="B48" s="496" t="s">
        <v>1461</v>
      </c>
      <c r="C48" s="496" t="s">
        <v>631</v>
      </c>
      <c r="D48" s="497">
        <v>44266</v>
      </c>
      <c r="E48" s="498">
        <v>68333</v>
      </c>
      <c r="F48" s="496">
        <v>1001010002</v>
      </c>
      <c r="G48" s="496" t="s">
        <v>1382</v>
      </c>
    </row>
    <row r="49" spans="1:7">
      <c r="A49" s="496" t="s">
        <v>1462</v>
      </c>
      <c r="B49" s="496" t="s">
        <v>1463</v>
      </c>
      <c r="C49" s="496" t="s">
        <v>631</v>
      </c>
      <c r="D49" s="497">
        <v>44298</v>
      </c>
      <c r="E49" s="498">
        <v>59603</v>
      </c>
      <c r="F49" s="496">
        <v>1001010002</v>
      </c>
      <c r="G49" s="496" t="s">
        <v>1382</v>
      </c>
    </row>
    <row r="50" spans="1:7">
      <c r="A50" s="496" t="s">
        <v>1464</v>
      </c>
      <c r="B50" s="496" t="s">
        <v>1465</v>
      </c>
      <c r="C50" s="496" t="s">
        <v>631</v>
      </c>
      <c r="D50" s="497">
        <v>44331</v>
      </c>
      <c r="E50" s="498">
        <v>57815</v>
      </c>
      <c r="F50" s="496">
        <v>1001010002</v>
      </c>
      <c r="G50" s="496" t="s">
        <v>1382</v>
      </c>
    </row>
    <row r="51" spans="1:7">
      <c r="A51" s="496" t="s">
        <v>1466</v>
      </c>
      <c r="B51" s="496" t="s">
        <v>1467</v>
      </c>
      <c r="C51" s="496" t="s">
        <v>631</v>
      </c>
      <c r="D51" s="497">
        <v>44362</v>
      </c>
      <c r="E51" s="498">
        <v>66860</v>
      </c>
      <c r="F51" s="496">
        <v>1001010002</v>
      </c>
      <c r="G51" s="496" t="s">
        <v>1382</v>
      </c>
    </row>
    <row r="52" spans="1:7">
      <c r="A52" s="496" t="s">
        <v>1468</v>
      </c>
      <c r="B52" s="496" t="s">
        <v>1469</v>
      </c>
      <c r="C52" s="496" t="s">
        <v>631</v>
      </c>
      <c r="D52" s="497">
        <v>44389</v>
      </c>
      <c r="E52" s="498">
        <v>27339</v>
      </c>
      <c r="F52" s="496">
        <v>1001010002</v>
      </c>
      <c r="G52" s="496" t="s">
        <v>1382</v>
      </c>
    </row>
    <row r="53" spans="1:7">
      <c r="A53" s="496" t="s">
        <v>1470</v>
      </c>
      <c r="B53" s="496" t="s">
        <v>1471</v>
      </c>
      <c r="C53" s="496" t="s">
        <v>631</v>
      </c>
      <c r="D53" s="497">
        <v>44417</v>
      </c>
      <c r="E53" s="498">
        <v>107672</v>
      </c>
      <c r="F53" s="496">
        <v>1001010002</v>
      </c>
      <c r="G53" s="496" t="s">
        <v>1382</v>
      </c>
    </row>
    <row r="54" spans="1:7">
      <c r="A54" s="496" t="s">
        <v>1472</v>
      </c>
      <c r="B54" s="496" t="s">
        <v>1473</v>
      </c>
      <c r="C54" s="496" t="s">
        <v>631</v>
      </c>
      <c r="D54" s="497">
        <v>44448</v>
      </c>
      <c r="E54" s="498">
        <v>24795</v>
      </c>
      <c r="F54" s="496">
        <v>1001010002</v>
      </c>
      <c r="G54" s="496" t="s">
        <v>1382</v>
      </c>
    </row>
    <row r="55" spans="1:7">
      <c r="A55" s="496" t="s">
        <v>1474</v>
      </c>
      <c r="B55" s="496" t="s">
        <v>1475</v>
      </c>
      <c r="C55" s="496" t="s">
        <v>631</v>
      </c>
      <c r="D55" s="497">
        <v>44478</v>
      </c>
      <c r="E55" s="498">
        <v>43213</v>
      </c>
      <c r="F55" s="496">
        <v>1001010002</v>
      </c>
      <c r="G55" s="496" t="s">
        <v>1382</v>
      </c>
    </row>
    <row r="56" spans="1:7">
      <c r="A56" s="496" t="s">
        <v>1476</v>
      </c>
      <c r="B56" s="496" t="s">
        <v>1477</v>
      </c>
      <c r="C56" s="496" t="s">
        <v>631</v>
      </c>
      <c r="D56" s="497">
        <v>44512</v>
      </c>
      <c r="E56" s="498">
        <v>49352</v>
      </c>
      <c r="F56" s="496">
        <v>1001010002</v>
      </c>
      <c r="G56" s="496" t="s">
        <v>1382</v>
      </c>
    </row>
    <row r="57" spans="1:7">
      <c r="A57" s="496" t="s">
        <v>1478</v>
      </c>
      <c r="B57" s="496" t="s">
        <v>1479</v>
      </c>
      <c r="C57" s="496" t="s">
        <v>631</v>
      </c>
      <c r="D57" s="497">
        <v>44539</v>
      </c>
      <c r="E57" s="498">
        <v>58559</v>
      </c>
      <c r="F57" s="496">
        <v>1001010002</v>
      </c>
      <c r="G57" s="496" t="s">
        <v>1382</v>
      </c>
    </row>
    <row r="58" spans="1:7">
      <c r="A58" s="496" t="s">
        <v>1480</v>
      </c>
      <c r="B58" s="496" t="s">
        <v>1481</v>
      </c>
      <c r="C58" s="496" t="s">
        <v>631</v>
      </c>
      <c r="D58" s="497">
        <v>43843</v>
      </c>
      <c r="E58" s="498">
        <v>101748</v>
      </c>
      <c r="F58" s="496">
        <v>1001010003</v>
      </c>
      <c r="G58" s="496" t="s">
        <v>1382</v>
      </c>
    </row>
    <row r="59" spans="1:7">
      <c r="A59" s="496" t="s">
        <v>1482</v>
      </c>
      <c r="B59" s="496" t="s">
        <v>1483</v>
      </c>
      <c r="C59" s="496" t="s">
        <v>631</v>
      </c>
      <c r="D59" s="497">
        <v>43876</v>
      </c>
      <c r="E59" s="498">
        <v>164585</v>
      </c>
      <c r="F59" s="496">
        <v>1001010003</v>
      </c>
      <c r="G59" s="496" t="s">
        <v>1484</v>
      </c>
    </row>
    <row r="60" spans="1:7">
      <c r="A60" s="496" t="s">
        <v>1485</v>
      </c>
      <c r="B60" s="496" t="s">
        <v>1486</v>
      </c>
      <c r="C60" s="496" t="s">
        <v>631</v>
      </c>
      <c r="D60" s="497">
        <v>43902</v>
      </c>
      <c r="E60" s="498">
        <v>95761</v>
      </c>
      <c r="F60" s="496">
        <v>1001010003</v>
      </c>
      <c r="G60" s="496" t="s">
        <v>1382</v>
      </c>
    </row>
    <row r="61" spans="1:7">
      <c r="A61" s="496" t="s">
        <v>1487</v>
      </c>
      <c r="B61" s="496" t="s">
        <v>1488</v>
      </c>
      <c r="C61" s="496" t="s">
        <v>631</v>
      </c>
      <c r="D61" s="497">
        <v>43942</v>
      </c>
      <c r="E61" s="498">
        <v>210841</v>
      </c>
      <c r="F61" s="496">
        <v>1001010003</v>
      </c>
      <c r="G61" s="496" t="s">
        <v>1382</v>
      </c>
    </row>
    <row r="62" spans="1:7">
      <c r="A62" s="496" t="s">
        <v>1489</v>
      </c>
      <c r="B62" s="496" t="s">
        <v>1490</v>
      </c>
      <c r="C62" s="496" t="s">
        <v>631</v>
      </c>
      <c r="D62" s="497">
        <v>43968</v>
      </c>
      <c r="E62" s="498">
        <v>223900</v>
      </c>
      <c r="F62" s="496">
        <v>1001010003</v>
      </c>
      <c r="G62" s="496" t="s">
        <v>1382</v>
      </c>
    </row>
    <row r="63" spans="1:7">
      <c r="A63" s="496" t="s">
        <v>1491</v>
      </c>
      <c r="B63" s="496" t="s">
        <v>1492</v>
      </c>
      <c r="C63" s="496" t="s">
        <v>631</v>
      </c>
      <c r="D63" s="497">
        <v>43998</v>
      </c>
      <c r="E63" s="498">
        <v>210455</v>
      </c>
      <c r="F63" s="496">
        <v>1001010003</v>
      </c>
      <c r="G63" s="496" t="s">
        <v>1484</v>
      </c>
    </row>
    <row r="64" spans="1:7">
      <c r="A64" s="496" t="s">
        <v>1493</v>
      </c>
      <c r="B64" s="496" t="s">
        <v>1494</v>
      </c>
      <c r="C64" s="496" t="s">
        <v>631</v>
      </c>
      <c r="D64" s="497">
        <v>44024</v>
      </c>
      <c r="E64" s="498">
        <v>91019</v>
      </c>
      <c r="F64" s="496">
        <v>1001010003</v>
      </c>
      <c r="G64" s="496" t="s">
        <v>1484</v>
      </c>
    </row>
    <row r="65" spans="1:7">
      <c r="A65" s="496" t="s">
        <v>1495</v>
      </c>
      <c r="B65" s="496" t="s">
        <v>1496</v>
      </c>
      <c r="C65" s="496" t="s">
        <v>631</v>
      </c>
      <c r="D65" s="497">
        <v>44057</v>
      </c>
      <c r="E65" s="498">
        <v>78418</v>
      </c>
      <c r="F65" s="496">
        <v>1001010003</v>
      </c>
      <c r="G65" s="496" t="s">
        <v>1484</v>
      </c>
    </row>
    <row r="66" spans="1:7">
      <c r="A66" s="496" t="s">
        <v>1497</v>
      </c>
      <c r="B66" s="496" t="s">
        <v>1498</v>
      </c>
      <c r="C66" s="496" t="s">
        <v>631</v>
      </c>
      <c r="D66" s="497">
        <v>44088</v>
      </c>
      <c r="E66" s="498">
        <v>82661</v>
      </c>
      <c r="F66" s="496">
        <v>1001010003</v>
      </c>
      <c r="G66" s="496" t="s">
        <v>1484</v>
      </c>
    </row>
    <row r="67" spans="1:7">
      <c r="A67" s="496" t="s">
        <v>1499</v>
      </c>
      <c r="B67" s="496" t="s">
        <v>1500</v>
      </c>
      <c r="C67" s="496" t="s">
        <v>631</v>
      </c>
      <c r="D67" s="497">
        <v>44115</v>
      </c>
      <c r="E67" s="498">
        <v>84808</v>
      </c>
      <c r="F67" s="496">
        <v>1001010003</v>
      </c>
      <c r="G67" s="496" t="s">
        <v>1484</v>
      </c>
    </row>
    <row r="68" spans="1:7">
      <c r="A68" s="496" t="s">
        <v>1501</v>
      </c>
      <c r="B68" s="496" t="s">
        <v>1502</v>
      </c>
      <c r="C68" s="496" t="s">
        <v>631</v>
      </c>
      <c r="D68" s="497">
        <v>44148</v>
      </c>
      <c r="E68" s="498">
        <v>80518</v>
      </c>
      <c r="F68" s="496">
        <v>1001010003</v>
      </c>
      <c r="G68" s="496" t="s">
        <v>1484</v>
      </c>
    </row>
    <row r="69" spans="1:7">
      <c r="A69" s="496" t="s">
        <v>1503</v>
      </c>
      <c r="B69" s="496" t="s">
        <v>1504</v>
      </c>
      <c r="C69" s="496" t="s">
        <v>631</v>
      </c>
      <c r="D69" s="497">
        <v>44177</v>
      </c>
      <c r="E69" s="498">
        <v>97496</v>
      </c>
      <c r="F69" s="496">
        <v>1001010003</v>
      </c>
      <c r="G69" s="496" t="s">
        <v>1484</v>
      </c>
    </row>
    <row r="70" spans="1:7">
      <c r="A70" s="496" t="s">
        <v>1505</v>
      </c>
      <c r="B70" s="496" t="s">
        <v>1506</v>
      </c>
      <c r="C70" s="496" t="s">
        <v>631</v>
      </c>
      <c r="D70" s="497">
        <v>44214</v>
      </c>
      <c r="E70" s="498">
        <v>95219</v>
      </c>
      <c r="F70" s="496">
        <v>1001010003</v>
      </c>
      <c r="G70" s="496" t="s">
        <v>1484</v>
      </c>
    </row>
    <row r="71" spans="1:7">
      <c r="A71" s="496" t="s">
        <v>1507</v>
      </c>
      <c r="B71" s="496" t="s">
        <v>1508</v>
      </c>
      <c r="C71" s="496" t="s">
        <v>631</v>
      </c>
      <c r="D71" s="497">
        <v>44246</v>
      </c>
      <c r="E71" s="498">
        <v>103830</v>
      </c>
      <c r="F71" s="496">
        <v>1001010003</v>
      </c>
      <c r="G71" s="496" t="s">
        <v>1509</v>
      </c>
    </row>
    <row r="72" spans="1:7">
      <c r="A72" s="496" t="s">
        <v>1510</v>
      </c>
      <c r="B72" s="496" t="s">
        <v>1511</v>
      </c>
      <c r="C72" s="496" t="s">
        <v>631</v>
      </c>
      <c r="D72" s="497">
        <v>44266</v>
      </c>
      <c r="E72" s="498">
        <v>76555</v>
      </c>
      <c r="F72" s="496">
        <v>1001010003</v>
      </c>
      <c r="G72" s="496" t="s">
        <v>1509</v>
      </c>
    </row>
    <row r="73" spans="1:7">
      <c r="A73" s="496" t="s">
        <v>1512</v>
      </c>
      <c r="B73" s="496" t="s">
        <v>1513</v>
      </c>
      <c r="C73" s="496" t="s">
        <v>631</v>
      </c>
      <c r="D73" s="497">
        <v>44300</v>
      </c>
      <c r="E73" s="498">
        <v>74680</v>
      </c>
      <c r="F73" s="496">
        <v>1001010003</v>
      </c>
      <c r="G73" s="496" t="s">
        <v>1509</v>
      </c>
    </row>
    <row r="74" spans="1:7">
      <c r="A74" s="496" t="s">
        <v>1514</v>
      </c>
      <c r="B74" s="496" t="s">
        <v>1515</v>
      </c>
      <c r="C74" s="496" t="s">
        <v>631</v>
      </c>
      <c r="D74" s="497">
        <v>44329</v>
      </c>
      <c r="E74" s="498">
        <v>75075</v>
      </c>
      <c r="F74" s="496">
        <v>1001010003</v>
      </c>
      <c r="G74" s="496" t="s">
        <v>1509</v>
      </c>
    </row>
    <row r="75" spans="1:7">
      <c r="A75" s="496" t="s">
        <v>1516</v>
      </c>
      <c r="B75" s="496" t="s">
        <v>1517</v>
      </c>
      <c r="C75" s="496" t="s">
        <v>631</v>
      </c>
      <c r="D75" s="497">
        <v>44365</v>
      </c>
      <c r="E75" s="498">
        <v>62387</v>
      </c>
      <c r="F75" s="496">
        <v>1001010003</v>
      </c>
      <c r="G75" s="496" t="s">
        <v>1509</v>
      </c>
    </row>
    <row r="76" spans="1:7">
      <c r="A76" s="496" t="s">
        <v>1518</v>
      </c>
      <c r="B76" s="496" t="s">
        <v>1519</v>
      </c>
      <c r="C76" s="496" t="s">
        <v>631</v>
      </c>
      <c r="D76" s="497">
        <v>44389</v>
      </c>
      <c r="E76" s="498">
        <v>69049</v>
      </c>
      <c r="F76" s="496">
        <v>1001010003</v>
      </c>
      <c r="G76" s="496" t="s">
        <v>1509</v>
      </c>
    </row>
    <row r="77" spans="1:7">
      <c r="A77" s="496" t="s">
        <v>1520</v>
      </c>
      <c r="B77" s="496" t="s">
        <v>1521</v>
      </c>
      <c r="C77" s="496" t="s">
        <v>631</v>
      </c>
      <c r="D77" s="497">
        <v>44431</v>
      </c>
      <c r="E77" s="498">
        <v>62813</v>
      </c>
      <c r="F77" s="496">
        <v>1001010003</v>
      </c>
      <c r="G77" s="496" t="s">
        <v>1509</v>
      </c>
    </row>
    <row r="78" spans="1:7">
      <c r="A78" s="496" t="s">
        <v>1522</v>
      </c>
      <c r="B78" s="496" t="s">
        <v>1523</v>
      </c>
      <c r="C78" s="496" t="s">
        <v>631</v>
      </c>
      <c r="D78" s="497">
        <v>44452</v>
      </c>
      <c r="E78" s="498">
        <v>67472</v>
      </c>
      <c r="F78" s="496">
        <v>1001010003</v>
      </c>
      <c r="G78" s="496" t="s">
        <v>1509</v>
      </c>
    </row>
    <row r="79" spans="1:7">
      <c r="A79" s="496" t="s">
        <v>1524</v>
      </c>
      <c r="B79" s="496" t="s">
        <v>1525</v>
      </c>
      <c r="C79" s="496" t="s">
        <v>631</v>
      </c>
      <c r="D79" s="497">
        <v>44480</v>
      </c>
      <c r="E79" s="498">
        <v>108386</v>
      </c>
      <c r="F79" s="496">
        <v>1001010003</v>
      </c>
      <c r="G79" s="496" t="s">
        <v>1509</v>
      </c>
    </row>
    <row r="80" spans="1:7">
      <c r="A80" s="496" t="s">
        <v>1526</v>
      </c>
      <c r="B80" s="496" t="s">
        <v>1527</v>
      </c>
      <c r="C80" s="496" t="s">
        <v>631</v>
      </c>
      <c r="D80" s="497">
        <v>44511</v>
      </c>
      <c r="E80" s="498">
        <v>101273</v>
      </c>
      <c r="F80" s="496">
        <v>1001010003</v>
      </c>
      <c r="G80" s="496" t="s">
        <v>1509</v>
      </c>
    </row>
    <row r="81" spans="1:7">
      <c r="A81" s="496" t="s">
        <v>1528</v>
      </c>
      <c r="B81" s="496" t="s">
        <v>1529</v>
      </c>
      <c r="C81" s="496" t="s">
        <v>631</v>
      </c>
      <c r="D81" s="497">
        <v>44544</v>
      </c>
      <c r="E81" s="498">
        <v>92626</v>
      </c>
      <c r="F81" s="496">
        <v>1001010003</v>
      </c>
      <c r="G81" s="496" t="s">
        <v>1509</v>
      </c>
    </row>
    <row r="82" spans="1:7">
      <c r="A82" s="496" t="s">
        <v>1530</v>
      </c>
      <c r="B82" s="496" t="s">
        <v>1531</v>
      </c>
      <c r="C82" s="496" t="s">
        <v>631</v>
      </c>
      <c r="D82" s="497">
        <v>43837</v>
      </c>
      <c r="E82" s="498">
        <v>71061</v>
      </c>
      <c r="F82" s="496">
        <v>1001010004</v>
      </c>
      <c r="G82" s="496" t="s">
        <v>1532</v>
      </c>
    </row>
    <row r="83" spans="1:7">
      <c r="A83" s="496" t="s">
        <v>1533</v>
      </c>
      <c r="B83" s="496" t="s">
        <v>1534</v>
      </c>
      <c r="C83" s="496" t="s">
        <v>631</v>
      </c>
      <c r="D83" s="497">
        <v>43871</v>
      </c>
      <c r="E83" s="498">
        <v>75788</v>
      </c>
      <c r="F83" s="496">
        <v>1001010004</v>
      </c>
      <c r="G83" s="496" t="s">
        <v>1532</v>
      </c>
    </row>
    <row r="84" spans="1:7">
      <c r="A84" s="496" t="s">
        <v>1535</v>
      </c>
      <c r="B84" s="496" t="s">
        <v>1536</v>
      </c>
      <c r="C84" s="496" t="s">
        <v>631</v>
      </c>
      <c r="D84" s="497">
        <v>43896</v>
      </c>
      <c r="E84" s="498">
        <v>80514</v>
      </c>
      <c r="F84" s="496">
        <v>1001010004</v>
      </c>
      <c r="G84" s="496" t="s">
        <v>1537</v>
      </c>
    </row>
    <row r="85" spans="1:7">
      <c r="A85" s="496" t="s">
        <v>1538</v>
      </c>
      <c r="B85" s="496" t="s">
        <v>1539</v>
      </c>
      <c r="C85" s="496" t="s">
        <v>631</v>
      </c>
      <c r="D85" s="497">
        <v>43928</v>
      </c>
      <c r="E85" s="498">
        <v>89968</v>
      </c>
      <c r="F85" s="496">
        <v>1001010004</v>
      </c>
      <c r="G85" s="496" t="s">
        <v>1532</v>
      </c>
    </row>
    <row r="86" spans="1:7">
      <c r="A86" s="496" t="s">
        <v>1540</v>
      </c>
      <c r="B86" s="496" t="s">
        <v>1541</v>
      </c>
      <c r="C86" s="496" t="s">
        <v>631</v>
      </c>
      <c r="D86" s="497">
        <v>43962</v>
      </c>
      <c r="E86" s="498">
        <v>89481</v>
      </c>
      <c r="F86" s="496">
        <v>1001010004</v>
      </c>
      <c r="G86" s="496" t="s">
        <v>1532</v>
      </c>
    </row>
    <row r="87" spans="1:7">
      <c r="A87" s="496" t="s">
        <v>1542</v>
      </c>
      <c r="B87" s="496" t="s">
        <v>1543</v>
      </c>
      <c r="C87" s="496" t="s">
        <v>631</v>
      </c>
      <c r="D87" s="497">
        <v>43989</v>
      </c>
      <c r="E87" s="498">
        <v>59702</v>
      </c>
      <c r="F87" s="496">
        <v>1001010004</v>
      </c>
      <c r="G87" s="496" t="s">
        <v>1532</v>
      </c>
    </row>
    <row r="88" spans="1:7">
      <c r="A88" s="496" t="s">
        <v>1544</v>
      </c>
      <c r="B88" s="496" t="s">
        <v>1545</v>
      </c>
      <c r="C88" s="496" t="s">
        <v>631</v>
      </c>
      <c r="D88" s="497">
        <v>44016</v>
      </c>
      <c r="E88" s="498">
        <v>56880</v>
      </c>
      <c r="F88" s="496">
        <v>1001010004</v>
      </c>
      <c r="G88" s="496" t="s">
        <v>1532</v>
      </c>
    </row>
    <row r="89" spans="1:7">
      <c r="A89" s="496" t="s">
        <v>1546</v>
      </c>
      <c r="B89" s="496" t="s">
        <v>1547</v>
      </c>
      <c r="C89" s="496" t="s">
        <v>631</v>
      </c>
      <c r="D89" s="497">
        <v>44056</v>
      </c>
      <c r="E89" s="498">
        <v>56880</v>
      </c>
      <c r="F89" s="496">
        <v>1001010004</v>
      </c>
      <c r="G89" s="496" t="s">
        <v>1532</v>
      </c>
    </row>
    <row r="90" spans="1:7">
      <c r="A90" s="496" t="s">
        <v>1548</v>
      </c>
      <c r="B90" s="496" t="s">
        <v>1549</v>
      </c>
      <c r="C90" s="496" t="s">
        <v>631</v>
      </c>
      <c r="D90" s="497">
        <v>44078</v>
      </c>
      <c r="E90" s="498">
        <v>71218</v>
      </c>
      <c r="F90" s="496">
        <v>1001010004</v>
      </c>
      <c r="G90" s="496" t="s">
        <v>1532</v>
      </c>
    </row>
    <row r="91" spans="1:7">
      <c r="A91" s="496" t="s">
        <v>1550</v>
      </c>
      <c r="B91" s="496" t="s">
        <v>1551</v>
      </c>
      <c r="C91" s="496" t="s">
        <v>631</v>
      </c>
      <c r="D91" s="497">
        <v>44109</v>
      </c>
      <c r="E91" s="498">
        <v>85242</v>
      </c>
      <c r="F91" s="496">
        <v>1001010004</v>
      </c>
      <c r="G91" s="496" t="s">
        <v>1532</v>
      </c>
    </row>
    <row r="92" spans="1:7">
      <c r="A92" s="496" t="s">
        <v>1552</v>
      </c>
      <c r="B92" s="496" t="s">
        <v>1553</v>
      </c>
      <c r="C92" s="496" t="s">
        <v>631</v>
      </c>
      <c r="D92" s="497">
        <v>44144</v>
      </c>
      <c r="E92" s="498">
        <v>66335</v>
      </c>
      <c r="F92" s="496">
        <v>1001010004</v>
      </c>
      <c r="G92" s="496" t="s">
        <v>1532</v>
      </c>
    </row>
    <row r="93" spans="1:7">
      <c r="A93" s="496" t="s">
        <v>1554</v>
      </c>
      <c r="B93" s="496" t="s">
        <v>1555</v>
      </c>
      <c r="C93" s="496" t="s">
        <v>631</v>
      </c>
      <c r="D93" s="497">
        <v>44170</v>
      </c>
      <c r="E93" s="498">
        <v>71061</v>
      </c>
      <c r="F93" s="496">
        <v>1001010004</v>
      </c>
      <c r="G93" s="496" t="s">
        <v>1532</v>
      </c>
    </row>
    <row r="94" spans="1:7">
      <c r="A94" s="496" t="s">
        <v>1556</v>
      </c>
      <c r="B94" s="496" t="s">
        <v>1557</v>
      </c>
      <c r="C94" s="496" t="s">
        <v>631</v>
      </c>
      <c r="D94" s="497">
        <v>44208</v>
      </c>
      <c r="E94" s="498">
        <v>85242</v>
      </c>
      <c r="F94" s="496">
        <v>1001010004</v>
      </c>
      <c r="G94" s="496" t="s">
        <v>1532</v>
      </c>
    </row>
    <row r="95" spans="1:7">
      <c r="A95" s="496" t="s">
        <v>1558</v>
      </c>
      <c r="B95" s="496" t="s">
        <v>1559</v>
      </c>
      <c r="C95" s="496" t="s">
        <v>631</v>
      </c>
      <c r="D95" s="497">
        <v>44232</v>
      </c>
      <c r="E95" s="498">
        <v>75928</v>
      </c>
      <c r="F95" s="496">
        <v>1001010004</v>
      </c>
      <c r="G95" s="496" t="s">
        <v>1532</v>
      </c>
    </row>
    <row r="96" spans="1:7">
      <c r="A96" s="496" t="s">
        <v>1560</v>
      </c>
      <c r="B96" s="496" t="s">
        <v>1561</v>
      </c>
      <c r="C96" s="496" t="s">
        <v>631</v>
      </c>
      <c r="D96" s="497">
        <v>44262</v>
      </c>
      <c r="E96" s="498">
        <v>80766</v>
      </c>
      <c r="F96" s="496">
        <v>1001010004</v>
      </c>
      <c r="G96" s="496" t="s">
        <v>1532</v>
      </c>
    </row>
    <row r="97" spans="1:7">
      <c r="A97" s="496" t="s">
        <v>1562</v>
      </c>
      <c r="B97" s="496" t="s">
        <v>1563</v>
      </c>
      <c r="C97" s="496" t="s">
        <v>631</v>
      </c>
      <c r="D97" s="497">
        <v>44295</v>
      </c>
      <c r="E97" s="498">
        <v>66749</v>
      </c>
      <c r="F97" s="496">
        <v>1001010004</v>
      </c>
      <c r="G97" s="496" t="s">
        <v>1532</v>
      </c>
    </row>
    <row r="98" spans="1:7">
      <c r="A98" s="496" t="s">
        <v>1564</v>
      </c>
      <c r="B98" s="496" t="s">
        <v>1565</v>
      </c>
      <c r="C98" s="496" t="s">
        <v>631</v>
      </c>
      <c r="D98" s="497">
        <v>44322</v>
      </c>
      <c r="E98" s="498">
        <v>86040</v>
      </c>
      <c r="F98" s="496">
        <v>1001010004</v>
      </c>
      <c r="G98" s="496" t="s">
        <v>1532</v>
      </c>
    </row>
    <row r="99" spans="1:7">
      <c r="A99" s="496" t="s">
        <v>1566</v>
      </c>
      <c r="B99" s="496" t="s">
        <v>1567</v>
      </c>
      <c r="C99" s="496" t="s">
        <v>631</v>
      </c>
      <c r="D99" s="497">
        <v>44352</v>
      </c>
      <c r="E99" s="498">
        <v>76737</v>
      </c>
      <c r="F99" s="496">
        <v>1001010004</v>
      </c>
      <c r="G99" s="496" t="s">
        <v>1532</v>
      </c>
    </row>
    <row r="100" spans="1:7">
      <c r="A100" s="496" t="s">
        <v>1568</v>
      </c>
      <c r="B100" s="496" t="s">
        <v>1569</v>
      </c>
      <c r="C100" s="496" t="s">
        <v>631</v>
      </c>
      <c r="D100" s="497">
        <v>44389</v>
      </c>
      <c r="E100" s="498">
        <v>76976</v>
      </c>
      <c r="F100" s="496">
        <v>1001010004</v>
      </c>
      <c r="G100" s="496" t="s">
        <v>1532</v>
      </c>
    </row>
    <row r="101" spans="1:7">
      <c r="A101" s="496" t="s">
        <v>1570</v>
      </c>
      <c r="B101" s="496" t="s">
        <v>1571</v>
      </c>
      <c r="C101" s="496" t="s">
        <v>631</v>
      </c>
      <c r="D101" s="497">
        <v>44413</v>
      </c>
      <c r="E101" s="498">
        <v>72400</v>
      </c>
      <c r="F101" s="496">
        <v>1001010004</v>
      </c>
      <c r="G101" s="496" t="s">
        <v>1532</v>
      </c>
    </row>
    <row r="102" spans="1:7">
      <c r="A102" s="496" t="s">
        <v>1572</v>
      </c>
      <c r="B102" s="496" t="s">
        <v>1573</v>
      </c>
      <c r="C102" s="496" t="s">
        <v>631</v>
      </c>
      <c r="D102" s="497">
        <v>44443</v>
      </c>
      <c r="E102" s="498">
        <v>53302</v>
      </c>
      <c r="F102" s="496">
        <v>1001010004</v>
      </c>
      <c r="G102" s="496" t="s">
        <v>1574</v>
      </c>
    </row>
    <row r="103" spans="1:7">
      <c r="A103" s="496" t="s">
        <v>1575</v>
      </c>
      <c r="B103" s="496" t="s">
        <v>1576</v>
      </c>
      <c r="C103" s="496" t="s">
        <v>631</v>
      </c>
      <c r="D103" s="497">
        <v>44476</v>
      </c>
      <c r="E103" s="498">
        <v>72852</v>
      </c>
      <c r="F103" s="496">
        <v>1001010004</v>
      </c>
      <c r="G103" s="496" t="s">
        <v>1532</v>
      </c>
    </row>
    <row r="104" spans="1:7">
      <c r="A104" s="496" t="s">
        <v>1577</v>
      </c>
      <c r="B104" s="496" t="s">
        <v>1578</v>
      </c>
      <c r="C104" s="496" t="s">
        <v>631</v>
      </c>
      <c r="D104" s="497">
        <v>44505</v>
      </c>
      <c r="E104" s="498">
        <v>110771</v>
      </c>
      <c r="F104" s="496">
        <v>1001010004</v>
      </c>
      <c r="G104" s="496" t="s">
        <v>1532</v>
      </c>
    </row>
    <row r="105" spans="1:7">
      <c r="A105" s="496" t="s">
        <v>1579</v>
      </c>
      <c r="B105" s="496" t="s">
        <v>1580</v>
      </c>
      <c r="C105" s="496" t="s">
        <v>631</v>
      </c>
      <c r="D105" s="497">
        <v>44539</v>
      </c>
      <c r="E105" s="498">
        <v>85900</v>
      </c>
      <c r="F105" s="496">
        <v>1001010004</v>
      </c>
      <c r="G105" s="496" t="s">
        <v>1532</v>
      </c>
    </row>
    <row r="106" spans="1:7">
      <c r="A106" s="496" t="s">
        <v>1581</v>
      </c>
      <c r="B106" s="496" t="s">
        <v>1582</v>
      </c>
      <c r="C106" s="496" t="s">
        <v>631</v>
      </c>
      <c r="D106" s="497">
        <v>43848</v>
      </c>
      <c r="E106" s="498">
        <v>81632</v>
      </c>
      <c r="F106" s="496">
        <v>1001010005</v>
      </c>
      <c r="G106" s="496" t="s">
        <v>1382</v>
      </c>
    </row>
    <row r="107" spans="1:7">
      <c r="A107" s="496" t="s">
        <v>1583</v>
      </c>
      <c r="B107" s="496" t="s">
        <v>1584</v>
      </c>
      <c r="C107" s="496" t="s">
        <v>631</v>
      </c>
      <c r="D107" s="497">
        <v>43850</v>
      </c>
      <c r="E107" s="498">
        <v>20108</v>
      </c>
      <c r="F107" s="496">
        <v>1001010005</v>
      </c>
      <c r="G107" s="496" t="s">
        <v>1382</v>
      </c>
    </row>
    <row r="108" spans="1:7">
      <c r="A108" s="496" t="s">
        <v>1585</v>
      </c>
      <c r="B108" s="496" t="s">
        <v>1586</v>
      </c>
      <c r="C108" s="496" t="s">
        <v>631</v>
      </c>
      <c r="D108" s="497">
        <v>43850</v>
      </c>
      <c r="E108" s="498">
        <v>22064</v>
      </c>
      <c r="F108" s="496">
        <v>1001010005</v>
      </c>
      <c r="G108" s="496" t="s">
        <v>1382</v>
      </c>
    </row>
    <row r="109" spans="1:7">
      <c r="A109" s="496" t="s">
        <v>1587</v>
      </c>
      <c r="B109" s="496" t="s">
        <v>1588</v>
      </c>
      <c r="C109" s="496" t="s">
        <v>631</v>
      </c>
      <c r="D109" s="497">
        <v>43879</v>
      </c>
      <c r="E109" s="498">
        <v>47707</v>
      </c>
      <c r="F109" s="496">
        <v>1001010005</v>
      </c>
      <c r="G109" s="496" t="s">
        <v>1382</v>
      </c>
    </row>
    <row r="110" spans="1:7">
      <c r="A110" s="496" t="s">
        <v>1589</v>
      </c>
      <c r="B110" s="496" t="s">
        <v>1590</v>
      </c>
      <c r="C110" s="496" t="s">
        <v>631</v>
      </c>
      <c r="D110" s="497">
        <v>43916</v>
      </c>
      <c r="E110" s="498">
        <v>50360</v>
      </c>
      <c r="F110" s="496">
        <v>1001010005</v>
      </c>
      <c r="G110" s="496" t="s">
        <v>1382</v>
      </c>
    </row>
    <row r="111" spans="1:7">
      <c r="A111" s="496" t="s">
        <v>1591</v>
      </c>
      <c r="B111" s="496" t="s">
        <v>1592</v>
      </c>
      <c r="C111" s="496" t="s">
        <v>631</v>
      </c>
      <c r="D111" s="497">
        <v>43947</v>
      </c>
      <c r="E111" s="498">
        <v>46590</v>
      </c>
      <c r="F111" s="496">
        <v>1001010005</v>
      </c>
      <c r="G111" s="496" t="s">
        <v>1382</v>
      </c>
    </row>
    <row r="112" spans="1:7">
      <c r="A112" s="496" t="s">
        <v>1593</v>
      </c>
      <c r="B112" s="496" t="s">
        <v>1594</v>
      </c>
      <c r="C112" s="496" t="s">
        <v>631</v>
      </c>
      <c r="D112" s="497">
        <v>43969</v>
      </c>
      <c r="E112" s="498">
        <v>46590</v>
      </c>
      <c r="F112" s="496">
        <v>1001010005</v>
      </c>
      <c r="G112" s="496" t="s">
        <v>1595</v>
      </c>
    </row>
    <row r="113" spans="1:7">
      <c r="A113" s="496" t="s">
        <v>1596</v>
      </c>
      <c r="B113" s="496" t="s">
        <v>1597</v>
      </c>
      <c r="C113" s="496" t="s">
        <v>631</v>
      </c>
      <c r="D113" s="497">
        <v>44007</v>
      </c>
      <c r="E113" s="498">
        <v>57899</v>
      </c>
      <c r="F113" s="496">
        <v>1001010005</v>
      </c>
      <c r="G113" s="496" t="s">
        <v>1595</v>
      </c>
    </row>
    <row r="114" spans="1:7">
      <c r="A114" s="496" t="s">
        <v>1598</v>
      </c>
      <c r="B114" s="496" t="s">
        <v>1599</v>
      </c>
      <c r="C114" s="496" t="s">
        <v>631</v>
      </c>
      <c r="D114" s="497">
        <v>44031</v>
      </c>
      <c r="E114" s="498">
        <v>46590</v>
      </c>
      <c r="F114" s="496">
        <v>1001010005</v>
      </c>
      <c r="G114" s="496" t="s">
        <v>1382</v>
      </c>
    </row>
    <row r="115" spans="1:7">
      <c r="A115" s="496" t="s">
        <v>1600</v>
      </c>
      <c r="B115" s="496" t="s">
        <v>1601</v>
      </c>
      <c r="C115" s="496" t="s">
        <v>631</v>
      </c>
      <c r="D115" s="497">
        <v>44064</v>
      </c>
      <c r="E115" s="498">
        <v>54129</v>
      </c>
      <c r="F115" s="496">
        <v>1001010005</v>
      </c>
      <c r="G115" s="496" t="s">
        <v>1382</v>
      </c>
    </row>
    <row r="116" spans="1:7">
      <c r="A116" s="496" t="s">
        <v>1602</v>
      </c>
      <c r="B116" s="496" t="s">
        <v>1603</v>
      </c>
      <c r="C116" s="496" t="s">
        <v>631</v>
      </c>
      <c r="D116" s="497">
        <v>44091</v>
      </c>
      <c r="E116" s="498">
        <v>57899</v>
      </c>
      <c r="F116" s="496">
        <v>1001010005</v>
      </c>
      <c r="G116" s="496" t="s">
        <v>1382</v>
      </c>
    </row>
    <row r="117" spans="1:7">
      <c r="A117" s="496" t="s">
        <v>1604</v>
      </c>
      <c r="B117" s="496" t="s">
        <v>1605</v>
      </c>
      <c r="C117" s="496" t="s">
        <v>631</v>
      </c>
      <c r="D117" s="497">
        <v>44126</v>
      </c>
      <c r="E117" s="498">
        <v>69207</v>
      </c>
      <c r="F117" s="496">
        <v>1001010005</v>
      </c>
      <c r="G117" s="496" t="s">
        <v>1382</v>
      </c>
    </row>
    <row r="118" spans="1:7">
      <c r="A118" s="496" t="s">
        <v>1606</v>
      </c>
      <c r="B118" s="496" t="s">
        <v>1607</v>
      </c>
      <c r="C118" s="496" t="s">
        <v>631</v>
      </c>
      <c r="D118" s="497">
        <v>44152</v>
      </c>
      <c r="E118" s="498">
        <v>61668</v>
      </c>
      <c r="F118" s="496">
        <v>1001010005</v>
      </c>
      <c r="G118" s="496" t="s">
        <v>1382</v>
      </c>
    </row>
    <row r="119" spans="1:7">
      <c r="A119" s="496" t="s">
        <v>1608</v>
      </c>
      <c r="B119" s="496" t="s">
        <v>1609</v>
      </c>
      <c r="C119" s="496" t="s">
        <v>631</v>
      </c>
      <c r="D119" s="497">
        <v>44177</v>
      </c>
      <c r="E119" s="498">
        <v>57899</v>
      </c>
      <c r="F119" s="496">
        <v>1001010005</v>
      </c>
      <c r="G119" s="496" t="s">
        <v>1382</v>
      </c>
    </row>
    <row r="120" spans="1:7">
      <c r="A120" s="496" t="s">
        <v>1610</v>
      </c>
      <c r="B120" s="496" t="s">
        <v>1611</v>
      </c>
      <c r="C120" s="496" t="s">
        <v>631</v>
      </c>
      <c r="D120" s="497">
        <v>44274</v>
      </c>
      <c r="E120" s="498">
        <v>20108</v>
      </c>
      <c r="F120" s="496">
        <v>1001010005</v>
      </c>
      <c r="G120" s="496" t="s">
        <v>1595</v>
      </c>
    </row>
    <row r="121" spans="1:7">
      <c r="A121" s="496" t="s">
        <v>1610</v>
      </c>
      <c r="B121" s="496" t="s">
        <v>1612</v>
      </c>
      <c r="C121" s="496" t="s">
        <v>631</v>
      </c>
      <c r="D121" s="497">
        <v>44274</v>
      </c>
      <c r="E121" s="498">
        <v>-20108</v>
      </c>
      <c r="F121" s="496">
        <v>1001010005</v>
      </c>
      <c r="G121" s="496" t="s">
        <v>1595</v>
      </c>
    </row>
    <row r="122" spans="1:7">
      <c r="A122" s="496" t="s">
        <v>1613</v>
      </c>
      <c r="B122" s="496" t="s">
        <v>1614</v>
      </c>
      <c r="C122" s="496" t="s">
        <v>631</v>
      </c>
      <c r="D122" s="497">
        <v>44212</v>
      </c>
      <c r="E122" s="498">
        <v>24717</v>
      </c>
      <c r="F122" s="496">
        <v>1001010005</v>
      </c>
      <c r="G122" s="496" t="s">
        <v>1382</v>
      </c>
    </row>
    <row r="123" spans="1:7">
      <c r="A123" s="496" t="s">
        <v>1615</v>
      </c>
      <c r="B123" s="496" t="s">
        <v>1616</v>
      </c>
      <c r="C123" s="496" t="s">
        <v>631</v>
      </c>
      <c r="D123" s="497">
        <v>44212</v>
      </c>
      <c r="E123" s="498">
        <v>20108</v>
      </c>
      <c r="F123" s="496">
        <v>1001010005</v>
      </c>
      <c r="G123" s="496" t="s">
        <v>1382</v>
      </c>
    </row>
    <row r="124" spans="1:7">
      <c r="A124" s="496" t="s">
        <v>1617</v>
      </c>
      <c r="B124" s="496" t="s">
        <v>1618</v>
      </c>
      <c r="C124" s="496" t="s">
        <v>631</v>
      </c>
      <c r="D124" s="497">
        <v>44246</v>
      </c>
      <c r="E124" s="498">
        <v>24717</v>
      </c>
      <c r="F124" s="496">
        <v>1001010005</v>
      </c>
      <c r="G124" s="496" t="s">
        <v>1382</v>
      </c>
    </row>
    <row r="125" spans="1:7">
      <c r="A125" s="496" t="s">
        <v>1619</v>
      </c>
      <c r="B125" s="496" t="s">
        <v>1620</v>
      </c>
      <c r="C125" s="496" t="s">
        <v>631</v>
      </c>
      <c r="D125" s="497">
        <v>44246</v>
      </c>
      <c r="E125" s="498">
        <v>20108</v>
      </c>
      <c r="F125" s="496">
        <v>1001010005</v>
      </c>
      <c r="G125" s="496" t="s">
        <v>1382</v>
      </c>
    </row>
    <row r="126" spans="1:7">
      <c r="A126" s="496" t="s">
        <v>1621</v>
      </c>
      <c r="B126" s="496" t="s">
        <v>1622</v>
      </c>
      <c r="C126" s="496" t="s">
        <v>631</v>
      </c>
      <c r="D126" s="497">
        <v>44274</v>
      </c>
      <c r="E126" s="498">
        <v>24717</v>
      </c>
      <c r="F126" s="496">
        <v>1001010005</v>
      </c>
      <c r="G126" s="496" t="s">
        <v>1595</v>
      </c>
    </row>
    <row r="127" spans="1:7">
      <c r="A127" s="496" t="s">
        <v>1610</v>
      </c>
      <c r="B127" s="496" t="s">
        <v>1623</v>
      </c>
      <c r="C127" s="496" t="s">
        <v>631</v>
      </c>
      <c r="D127" s="497">
        <v>44281</v>
      </c>
      <c r="E127" s="498">
        <v>20108</v>
      </c>
      <c r="F127" s="496">
        <v>1001010005</v>
      </c>
      <c r="G127" s="496" t="s">
        <v>1595</v>
      </c>
    </row>
    <row r="128" spans="1:7">
      <c r="A128" s="496" t="s">
        <v>1624</v>
      </c>
      <c r="B128" s="496" t="s">
        <v>1625</v>
      </c>
      <c r="C128" s="496" t="s">
        <v>631</v>
      </c>
      <c r="D128" s="497">
        <v>44301</v>
      </c>
      <c r="E128" s="498">
        <v>24717</v>
      </c>
      <c r="F128" s="496">
        <v>1001010005</v>
      </c>
      <c r="G128" s="496" t="s">
        <v>1595</v>
      </c>
    </row>
    <row r="129" spans="1:7">
      <c r="A129" s="496" t="s">
        <v>1626</v>
      </c>
      <c r="B129" s="496" t="s">
        <v>1627</v>
      </c>
      <c r="C129" s="496" t="s">
        <v>631</v>
      </c>
      <c r="D129" s="497">
        <v>44301</v>
      </c>
      <c r="E129" s="498">
        <v>20108</v>
      </c>
      <c r="F129" s="496">
        <v>1001010005</v>
      </c>
      <c r="G129" s="496" t="s">
        <v>1595</v>
      </c>
    </row>
    <row r="130" spans="1:7">
      <c r="A130" s="496" t="s">
        <v>1628</v>
      </c>
      <c r="B130" s="496" t="s">
        <v>1629</v>
      </c>
      <c r="C130" s="496" t="s">
        <v>631</v>
      </c>
      <c r="D130" s="497">
        <v>44327</v>
      </c>
      <c r="E130" s="498">
        <v>54129</v>
      </c>
      <c r="F130" s="496">
        <v>1001010005</v>
      </c>
      <c r="G130" s="496" t="s">
        <v>1595</v>
      </c>
    </row>
    <row r="131" spans="1:7">
      <c r="A131" s="496" t="s">
        <v>1630</v>
      </c>
      <c r="B131" s="496" t="s">
        <v>1631</v>
      </c>
      <c r="C131" s="496" t="s">
        <v>631</v>
      </c>
      <c r="D131" s="497">
        <v>44327</v>
      </c>
      <c r="E131" s="498">
        <v>20108</v>
      </c>
      <c r="F131" s="496">
        <v>1001010005</v>
      </c>
      <c r="G131" s="496" t="s">
        <v>1595</v>
      </c>
    </row>
    <row r="132" spans="1:7">
      <c r="A132" s="496" t="s">
        <v>1632</v>
      </c>
      <c r="B132" s="496" t="s">
        <v>1633</v>
      </c>
      <c r="C132" s="496" t="s">
        <v>631</v>
      </c>
      <c r="D132" s="497">
        <v>44327</v>
      </c>
      <c r="E132" s="498">
        <v>24717</v>
      </c>
      <c r="F132" s="496">
        <v>1001010005</v>
      </c>
      <c r="G132" s="496" t="s">
        <v>1595</v>
      </c>
    </row>
    <row r="133" spans="1:7">
      <c r="A133" s="496" t="s">
        <v>1634</v>
      </c>
      <c r="B133" s="496" t="s">
        <v>1635</v>
      </c>
      <c r="C133" s="496" t="s">
        <v>631</v>
      </c>
      <c r="D133" s="497">
        <v>44364</v>
      </c>
      <c r="E133" s="498">
        <v>57899</v>
      </c>
      <c r="F133" s="496">
        <v>1001010005</v>
      </c>
      <c r="G133" s="496" t="s">
        <v>1595</v>
      </c>
    </row>
    <row r="134" spans="1:7">
      <c r="A134" s="496" t="s">
        <v>1636</v>
      </c>
      <c r="B134" s="496" t="s">
        <v>1637</v>
      </c>
      <c r="C134" s="496" t="s">
        <v>631</v>
      </c>
      <c r="D134" s="497">
        <v>44393</v>
      </c>
      <c r="E134" s="498">
        <v>46590</v>
      </c>
      <c r="F134" s="496">
        <v>1001010005</v>
      </c>
      <c r="G134" s="496" t="s">
        <v>1595</v>
      </c>
    </row>
    <row r="135" spans="1:7">
      <c r="A135" s="496" t="s">
        <v>1638</v>
      </c>
      <c r="B135" s="496" t="s">
        <v>1639</v>
      </c>
      <c r="C135" s="496" t="s">
        <v>631</v>
      </c>
      <c r="D135" s="497">
        <v>44422</v>
      </c>
      <c r="E135" s="498">
        <v>65438</v>
      </c>
      <c r="F135" s="496">
        <v>1001010005</v>
      </c>
      <c r="G135" s="496" t="s">
        <v>1595</v>
      </c>
    </row>
    <row r="136" spans="1:7">
      <c r="A136" s="496" t="s">
        <v>1640</v>
      </c>
      <c r="B136" s="496" t="s">
        <v>1641</v>
      </c>
      <c r="C136" s="496" t="s">
        <v>631</v>
      </c>
      <c r="D136" s="497">
        <v>44460</v>
      </c>
      <c r="E136" s="498">
        <v>39051</v>
      </c>
      <c r="F136" s="496">
        <v>1001010005</v>
      </c>
      <c r="G136" s="496" t="s">
        <v>1595</v>
      </c>
    </row>
    <row r="137" spans="1:7">
      <c r="A137" s="496" t="s">
        <v>1642</v>
      </c>
      <c r="B137" s="496" t="s">
        <v>1643</v>
      </c>
      <c r="C137" s="496" t="s">
        <v>631</v>
      </c>
      <c r="D137" s="497">
        <v>44488</v>
      </c>
      <c r="E137" s="498">
        <v>42821</v>
      </c>
      <c r="F137" s="496">
        <v>1001010005</v>
      </c>
      <c r="G137" s="496" t="s">
        <v>1595</v>
      </c>
    </row>
    <row r="138" spans="1:7">
      <c r="A138" s="496" t="s">
        <v>1644</v>
      </c>
      <c r="B138" s="496" t="s">
        <v>1645</v>
      </c>
      <c r="C138" s="496" t="s">
        <v>631</v>
      </c>
      <c r="D138" s="497">
        <v>44514</v>
      </c>
      <c r="E138" s="498">
        <v>50360</v>
      </c>
      <c r="F138" s="496">
        <v>1001010005</v>
      </c>
      <c r="G138" s="496" t="s">
        <v>1595</v>
      </c>
    </row>
    <row r="139" spans="1:7">
      <c r="A139" s="496" t="s">
        <v>1646</v>
      </c>
      <c r="B139" s="496" t="s">
        <v>1647</v>
      </c>
      <c r="C139" s="496" t="s">
        <v>631</v>
      </c>
      <c r="D139" s="497">
        <v>44547</v>
      </c>
      <c r="E139" s="498">
        <v>54129</v>
      </c>
      <c r="F139" s="496">
        <v>1001010005</v>
      </c>
      <c r="G139" s="496" t="s">
        <v>1595</v>
      </c>
    </row>
    <row r="140" spans="1:7">
      <c r="A140" s="496" t="s">
        <v>1380</v>
      </c>
      <c r="B140" s="496" t="s">
        <v>1648</v>
      </c>
      <c r="C140" s="496" t="s">
        <v>631</v>
      </c>
      <c r="D140" s="497">
        <v>43841</v>
      </c>
      <c r="E140" s="498">
        <v>56289</v>
      </c>
      <c r="F140" s="496">
        <v>1001010006</v>
      </c>
      <c r="G140" s="496" t="s">
        <v>1382</v>
      </c>
    </row>
    <row r="141" spans="1:7">
      <c r="A141" s="496" t="s">
        <v>1383</v>
      </c>
      <c r="B141" s="496" t="s">
        <v>1649</v>
      </c>
      <c r="C141" s="496" t="s">
        <v>631</v>
      </c>
      <c r="D141" s="497">
        <v>43868</v>
      </c>
      <c r="E141" s="498">
        <v>48241</v>
      </c>
      <c r="F141" s="496">
        <v>1001010006</v>
      </c>
      <c r="G141" s="496" t="s">
        <v>1382</v>
      </c>
    </row>
    <row r="142" spans="1:7">
      <c r="A142" s="496" t="s">
        <v>1385</v>
      </c>
      <c r="B142" s="496" t="s">
        <v>1650</v>
      </c>
      <c r="C142" s="496" t="s">
        <v>631</v>
      </c>
      <c r="D142" s="497">
        <v>43898</v>
      </c>
      <c r="E142" s="498">
        <v>63704</v>
      </c>
      <c r="F142" s="496">
        <v>1001010006</v>
      </c>
      <c r="G142" s="496" t="s">
        <v>1382</v>
      </c>
    </row>
    <row r="143" spans="1:7">
      <c r="A143" s="496" t="s">
        <v>1387</v>
      </c>
      <c r="B143" s="496" t="s">
        <v>1651</v>
      </c>
      <c r="C143" s="496" t="s">
        <v>631</v>
      </c>
      <c r="D143" s="497">
        <v>43932</v>
      </c>
      <c r="E143" s="498">
        <v>29056</v>
      </c>
      <c r="F143" s="496">
        <v>1001010006</v>
      </c>
      <c r="G143" s="496" t="s">
        <v>1382</v>
      </c>
    </row>
    <row r="144" spans="1:7">
      <c r="A144" s="496" t="s">
        <v>1652</v>
      </c>
      <c r="B144" s="496" t="s">
        <v>1653</v>
      </c>
      <c r="C144" s="496" t="s">
        <v>631</v>
      </c>
      <c r="D144" s="497">
        <v>43969</v>
      </c>
      <c r="E144" s="498">
        <v>35450</v>
      </c>
      <c r="F144" s="496">
        <v>1001010006</v>
      </c>
      <c r="G144" s="496" t="s">
        <v>1382</v>
      </c>
    </row>
    <row r="145" spans="1:7">
      <c r="A145" s="496" t="s">
        <v>1654</v>
      </c>
      <c r="B145" s="496" t="s">
        <v>1655</v>
      </c>
      <c r="C145" s="496" t="s">
        <v>631</v>
      </c>
      <c r="D145" s="497">
        <v>44002</v>
      </c>
      <c r="E145" s="498">
        <v>29056</v>
      </c>
      <c r="F145" s="496">
        <v>1001010006</v>
      </c>
      <c r="G145" s="496" t="s">
        <v>1382</v>
      </c>
    </row>
    <row r="146" spans="1:7">
      <c r="A146" s="496" t="s">
        <v>1395</v>
      </c>
      <c r="B146" s="496" t="s">
        <v>1656</v>
      </c>
      <c r="C146" s="496" t="s">
        <v>631</v>
      </c>
      <c r="D146" s="497">
        <v>44056</v>
      </c>
      <c r="E146" s="498">
        <v>94970</v>
      </c>
      <c r="F146" s="496">
        <v>1001010006</v>
      </c>
      <c r="G146" s="496" t="s">
        <v>1657</v>
      </c>
    </row>
    <row r="147" spans="1:7">
      <c r="A147" s="496" t="s">
        <v>1397</v>
      </c>
      <c r="B147" s="496" t="s">
        <v>1658</v>
      </c>
      <c r="C147" s="496" t="s">
        <v>631</v>
      </c>
      <c r="D147" s="497">
        <v>44086</v>
      </c>
      <c r="E147" s="498">
        <v>31187</v>
      </c>
      <c r="F147" s="496">
        <v>1001010006</v>
      </c>
      <c r="G147" s="496" t="s">
        <v>1659</v>
      </c>
    </row>
    <row r="148" spans="1:7">
      <c r="A148" s="496" t="s">
        <v>1399</v>
      </c>
      <c r="B148" s="496" t="s">
        <v>1660</v>
      </c>
      <c r="C148" s="496" t="s">
        <v>631</v>
      </c>
      <c r="D148" s="497">
        <v>44115</v>
      </c>
      <c r="E148" s="498">
        <v>26923</v>
      </c>
      <c r="F148" s="496">
        <v>1001010006</v>
      </c>
      <c r="G148" s="496" t="s">
        <v>1659</v>
      </c>
    </row>
    <row r="149" spans="1:7">
      <c r="A149" s="496" t="s">
        <v>1401</v>
      </c>
      <c r="B149" s="496" t="s">
        <v>1661</v>
      </c>
      <c r="C149" s="496" t="s">
        <v>631</v>
      </c>
      <c r="D149" s="497">
        <v>44147</v>
      </c>
      <c r="E149" s="498">
        <v>31291</v>
      </c>
      <c r="F149" s="496">
        <v>1001010006</v>
      </c>
      <c r="G149" s="496" t="s">
        <v>1659</v>
      </c>
    </row>
    <row r="150" spans="1:7">
      <c r="A150" s="496" t="s">
        <v>1403</v>
      </c>
      <c r="B150" s="496" t="s">
        <v>1662</v>
      </c>
      <c r="C150" s="496" t="s">
        <v>631</v>
      </c>
      <c r="D150" s="497">
        <v>44175</v>
      </c>
      <c r="E150" s="498">
        <v>33343</v>
      </c>
      <c r="F150" s="496">
        <v>1001010006</v>
      </c>
      <c r="G150" s="496" t="s">
        <v>1659</v>
      </c>
    </row>
    <row r="151" spans="1:7">
      <c r="A151" s="496" t="s">
        <v>1663</v>
      </c>
      <c r="B151" s="496" t="s">
        <v>1664</v>
      </c>
      <c r="C151" s="496" t="s">
        <v>631</v>
      </c>
      <c r="D151" s="497">
        <v>44217</v>
      </c>
      <c r="E151" s="498">
        <v>39714</v>
      </c>
      <c r="F151" s="496">
        <v>1001010006</v>
      </c>
      <c r="G151" s="496" t="s">
        <v>1659</v>
      </c>
    </row>
    <row r="152" spans="1:7">
      <c r="A152" s="496" t="s">
        <v>1665</v>
      </c>
      <c r="B152" s="496" t="s">
        <v>1666</v>
      </c>
      <c r="C152" s="496" t="s">
        <v>631</v>
      </c>
      <c r="D152" s="497">
        <v>44243</v>
      </c>
      <c r="E152" s="498">
        <v>36682</v>
      </c>
      <c r="F152" s="496">
        <v>1001010006</v>
      </c>
      <c r="G152" s="496" t="s">
        <v>1659</v>
      </c>
    </row>
    <row r="153" spans="1:7">
      <c r="A153" s="496" t="s">
        <v>1411</v>
      </c>
      <c r="B153" s="496" t="s">
        <v>1667</v>
      </c>
      <c r="C153" s="496" t="s">
        <v>631</v>
      </c>
      <c r="D153" s="497">
        <v>44269</v>
      </c>
      <c r="E153" s="498">
        <v>54143</v>
      </c>
      <c r="F153" s="496">
        <v>1001010006</v>
      </c>
      <c r="G153" s="496" t="s">
        <v>1659</v>
      </c>
    </row>
    <row r="154" spans="1:7">
      <c r="A154" s="496" t="s">
        <v>1415</v>
      </c>
      <c r="B154" s="496" t="s">
        <v>1668</v>
      </c>
      <c r="C154" s="496" t="s">
        <v>631</v>
      </c>
      <c r="D154" s="497">
        <v>44329</v>
      </c>
      <c r="E154" s="498">
        <v>86974</v>
      </c>
      <c r="F154" s="496">
        <v>1001010006</v>
      </c>
      <c r="G154" s="496" t="s">
        <v>1659</v>
      </c>
    </row>
    <row r="155" spans="1:7">
      <c r="A155" s="496" t="s">
        <v>1417</v>
      </c>
      <c r="B155" s="496" t="s">
        <v>1669</v>
      </c>
      <c r="C155" s="496" t="s">
        <v>631</v>
      </c>
      <c r="D155" s="497">
        <v>44360</v>
      </c>
      <c r="E155" s="498">
        <v>36601</v>
      </c>
      <c r="F155" s="496">
        <v>1001010006</v>
      </c>
      <c r="G155" s="496" t="s">
        <v>1659</v>
      </c>
    </row>
    <row r="156" spans="1:7">
      <c r="A156" s="496" t="s">
        <v>1419</v>
      </c>
      <c r="B156" s="496" t="s">
        <v>1670</v>
      </c>
      <c r="C156" s="496" t="s">
        <v>631</v>
      </c>
      <c r="D156" s="497">
        <v>44392</v>
      </c>
      <c r="E156" s="498">
        <v>34360</v>
      </c>
      <c r="F156" s="496">
        <v>1001010006</v>
      </c>
      <c r="G156" s="496" t="s">
        <v>1659</v>
      </c>
    </row>
    <row r="157" spans="1:7">
      <c r="A157" s="496" t="s">
        <v>1424</v>
      </c>
      <c r="B157" s="496" t="s">
        <v>1671</v>
      </c>
      <c r="C157" s="496" t="s">
        <v>631</v>
      </c>
      <c r="D157" s="497">
        <v>44452</v>
      </c>
      <c r="E157" s="498">
        <v>81637</v>
      </c>
      <c r="F157" s="496">
        <v>1001010006</v>
      </c>
      <c r="G157" s="496" t="s">
        <v>1423</v>
      </c>
    </row>
    <row r="158" spans="1:7">
      <c r="A158" s="496" t="s">
        <v>1426</v>
      </c>
      <c r="B158" s="496" t="s">
        <v>1672</v>
      </c>
      <c r="C158" s="496" t="s">
        <v>631</v>
      </c>
      <c r="D158" s="497">
        <v>44480</v>
      </c>
      <c r="E158" s="498">
        <v>44571</v>
      </c>
      <c r="F158" s="496">
        <v>1001010006</v>
      </c>
      <c r="G158" s="496" t="s">
        <v>1659</v>
      </c>
    </row>
    <row r="159" spans="1:7">
      <c r="A159" s="496" t="s">
        <v>1428</v>
      </c>
      <c r="B159" s="496" t="s">
        <v>1673</v>
      </c>
      <c r="C159" s="496" t="s">
        <v>631</v>
      </c>
      <c r="D159" s="497">
        <v>44512</v>
      </c>
      <c r="E159" s="498">
        <v>46841</v>
      </c>
      <c r="F159" s="496">
        <v>1001010006</v>
      </c>
      <c r="G159" s="496" t="s">
        <v>1659</v>
      </c>
    </row>
    <row r="160" spans="1:7">
      <c r="A160" s="496" t="s">
        <v>1430</v>
      </c>
      <c r="B160" s="496" t="s">
        <v>1674</v>
      </c>
      <c r="C160" s="496" t="s">
        <v>631</v>
      </c>
      <c r="D160" s="497">
        <v>44543</v>
      </c>
      <c r="E160" s="498">
        <v>24136</v>
      </c>
      <c r="F160" s="496">
        <v>1001010006</v>
      </c>
      <c r="G160" s="496" t="s">
        <v>1659</v>
      </c>
    </row>
    <row r="161" spans="1:7">
      <c r="A161" s="496" t="s">
        <v>1675</v>
      </c>
      <c r="B161" s="496" t="s">
        <v>1676</v>
      </c>
      <c r="C161" s="496" t="s">
        <v>631</v>
      </c>
      <c r="D161" s="497">
        <v>44078</v>
      </c>
      <c r="E161" s="498">
        <v>27000</v>
      </c>
      <c r="F161" s="496">
        <v>1001010007</v>
      </c>
      <c r="G161" s="496" t="s">
        <v>1677</v>
      </c>
    </row>
    <row r="162" spans="1:7">
      <c r="A162" s="496" t="s">
        <v>1678</v>
      </c>
      <c r="B162" s="496" t="s">
        <v>1679</v>
      </c>
      <c r="C162" s="496" t="s">
        <v>631</v>
      </c>
      <c r="D162" s="497">
        <v>44175</v>
      </c>
      <c r="E162" s="498">
        <v>9000</v>
      </c>
      <c r="F162" s="496">
        <v>1001010007</v>
      </c>
      <c r="G162" s="496" t="s">
        <v>1680</v>
      </c>
    </row>
    <row r="163" spans="1:7">
      <c r="A163" s="496" t="s">
        <v>1681</v>
      </c>
      <c r="B163" s="496" t="s">
        <v>1682</v>
      </c>
      <c r="C163" s="496" t="s">
        <v>631</v>
      </c>
      <c r="D163" s="497">
        <v>44386</v>
      </c>
      <c r="E163" s="498">
        <v>9000</v>
      </c>
      <c r="F163" s="496">
        <v>1001010007</v>
      </c>
      <c r="G163" s="496" t="s">
        <v>1683</v>
      </c>
    </row>
    <row r="164" spans="1:7">
      <c r="A164" s="496" t="s">
        <v>1684</v>
      </c>
      <c r="B164" s="496" t="s">
        <v>1685</v>
      </c>
      <c r="C164" s="496" t="s">
        <v>631</v>
      </c>
      <c r="D164" s="497">
        <v>44421</v>
      </c>
      <c r="E164" s="498">
        <v>9000</v>
      </c>
      <c r="F164" s="496">
        <v>1001010007</v>
      </c>
      <c r="G164" s="496" t="s">
        <v>1686</v>
      </c>
    </row>
    <row r="165" spans="1:7">
      <c r="A165" s="496" t="s">
        <v>1687</v>
      </c>
      <c r="B165" s="496" t="s">
        <v>1688</v>
      </c>
      <c r="C165" s="496" t="s">
        <v>631</v>
      </c>
      <c r="D165" s="497">
        <v>44476</v>
      </c>
      <c r="E165" s="498">
        <v>9000</v>
      </c>
      <c r="F165" s="496">
        <v>1001010007</v>
      </c>
      <c r="G165" s="496" t="s">
        <v>1689</v>
      </c>
    </row>
    <row r="166" spans="1:7">
      <c r="A166" s="496" t="s">
        <v>1690</v>
      </c>
      <c r="B166" s="496" t="s">
        <v>1691</v>
      </c>
      <c r="C166" s="496" t="s">
        <v>631</v>
      </c>
      <c r="D166" s="497">
        <v>44519</v>
      </c>
      <c r="E166" s="498">
        <v>9000</v>
      </c>
      <c r="F166" s="496">
        <v>1001010007</v>
      </c>
      <c r="G166" s="496" t="s">
        <v>1692</v>
      </c>
    </row>
    <row r="167" spans="1:7">
      <c r="A167" s="496" t="s">
        <v>1693</v>
      </c>
      <c r="B167" s="496" t="s">
        <v>1694</v>
      </c>
      <c r="C167" s="496" t="s">
        <v>631</v>
      </c>
      <c r="D167" s="497">
        <v>44540</v>
      </c>
      <c r="E167" s="498">
        <v>9000</v>
      </c>
      <c r="F167" s="496">
        <v>1001010007</v>
      </c>
      <c r="G167" s="496" t="s">
        <v>1695</v>
      </c>
    </row>
    <row r="168" spans="1:7">
      <c r="A168" s="496" t="s">
        <v>1696</v>
      </c>
      <c r="B168" s="496" t="s">
        <v>1697</v>
      </c>
      <c r="C168" s="496" t="s">
        <v>631</v>
      </c>
      <c r="D168" s="497">
        <v>44148</v>
      </c>
      <c r="E168" s="498">
        <v>17576</v>
      </c>
      <c r="F168" s="496">
        <v>1001010010</v>
      </c>
      <c r="G168" s="496" t="s">
        <v>1382</v>
      </c>
    </row>
    <row r="169" spans="1:7">
      <c r="A169" s="496" t="s">
        <v>1698</v>
      </c>
      <c r="B169" s="496" t="s">
        <v>1699</v>
      </c>
      <c r="C169" s="496" t="s">
        <v>631</v>
      </c>
      <c r="D169" s="497">
        <v>44175</v>
      </c>
      <c r="E169" s="498">
        <v>22638</v>
      </c>
      <c r="F169" s="496">
        <v>1001010010</v>
      </c>
      <c r="G169" s="496" t="s">
        <v>1382</v>
      </c>
    </row>
    <row r="170" spans="1:7">
      <c r="A170" s="496" t="s">
        <v>1700</v>
      </c>
      <c r="B170" s="496" t="s">
        <v>1701</v>
      </c>
      <c r="C170" s="496" t="s">
        <v>631</v>
      </c>
      <c r="D170" s="497">
        <v>44416</v>
      </c>
      <c r="E170" s="498">
        <v>17576</v>
      </c>
      <c r="F170" s="496">
        <v>1001010010</v>
      </c>
      <c r="G170" s="496" t="s">
        <v>1382</v>
      </c>
    </row>
    <row r="171" spans="1:7">
      <c r="A171" s="496" t="s">
        <v>1702</v>
      </c>
      <c r="B171" s="496" t="s">
        <v>1703</v>
      </c>
      <c r="C171" s="496" t="s">
        <v>631</v>
      </c>
      <c r="D171" s="497">
        <v>44462</v>
      </c>
      <c r="E171" s="498">
        <v>20234</v>
      </c>
      <c r="F171" s="496">
        <v>1001010010</v>
      </c>
      <c r="G171" s="496" t="s">
        <v>1382</v>
      </c>
    </row>
    <row r="172" spans="1:7">
      <c r="A172" s="496" t="s">
        <v>1704</v>
      </c>
      <c r="B172" s="496" t="s">
        <v>1705</v>
      </c>
      <c r="C172" s="496" t="s">
        <v>631</v>
      </c>
      <c r="D172" s="497">
        <v>44489</v>
      </c>
      <c r="E172" s="498">
        <v>20069</v>
      </c>
      <c r="F172" s="496">
        <v>1001010010</v>
      </c>
      <c r="G172" s="496" t="s">
        <v>1382</v>
      </c>
    </row>
    <row r="173" spans="1:7">
      <c r="A173" s="496" t="s">
        <v>1706</v>
      </c>
      <c r="B173" s="496" t="s">
        <v>1707</v>
      </c>
      <c r="C173" s="496" t="s">
        <v>631</v>
      </c>
      <c r="D173" s="497">
        <v>44557</v>
      </c>
      <c r="E173" s="498">
        <v>19087</v>
      </c>
      <c r="F173" s="496">
        <v>1001010010</v>
      </c>
      <c r="G173" s="496" t="s">
        <v>1382</v>
      </c>
    </row>
    <row r="174" spans="1:7">
      <c r="A174" s="496" t="s">
        <v>1708</v>
      </c>
      <c r="B174" s="496" t="s">
        <v>1709</v>
      </c>
      <c r="C174" s="496" t="s">
        <v>631</v>
      </c>
      <c r="D174" s="497">
        <v>44215</v>
      </c>
      <c r="E174" s="498">
        <v>39300</v>
      </c>
      <c r="F174" s="496">
        <v>1001010011</v>
      </c>
      <c r="G174" s="496" t="s">
        <v>1382</v>
      </c>
    </row>
    <row r="175" spans="1:7">
      <c r="A175" s="496" t="s">
        <v>1710</v>
      </c>
      <c r="B175" s="496" t="s">
        <v>1711</v>
      </c>
      <c r="C175" s="496" t="s">
        <v>631</v>
      </c>
      <c r="D175" s="497">
        <v>44396</v>
      </c>
      <c r="E175" s="498">
        <v>39300</v>
      </c>
      <c r="F175" s="496">
        <v>1001010011</v>
      </c>
      <c r="G175" s="496" t="s">
        <v>1712</v>
      </c>
    </row>
    <row r="176" spans="1:7">
      <c r="A176" s="496" t="s">
        <v>1713</v>
      </c>
      <c r="B176" s="496" t="s">
        <v>1714</v>
      </c>
      <c r="C176" s="496" t="s">
        <v>631</v>
      </c>
      <c r="D176" s="497">
        <v>44421</v>
      </c>
      <c r="E176" s="498">
        <v>39300</v>
      </c>
      <c r="F176" s="496">
        <v>1001010011</v>
      </c>
      <c r="G176" s="496" t="s">
        <v>1712</v>
      </c>
    </row>
    <row r="177" spans="1:7">
      <c r="A177" s="496" t="s">
        <v>1715</v>
      </c>
      <c r="B177" s="496" t="s">
        <v>1716</v>
      </c>
      <c r="C177" s="496" t="s">
        <v>631</v>
      </c>
      <c r="D177" s="497">
        <v>44452</v>
      </c>
      <c r="E177" s="498">
        <v>39300</v>
      </c>
      <c r="F177" s="496">
        <v>1001010011</v>
      </c>
      <c r="G177" s="496" t="s">
        <v>1712</v>
      </c>
    </row>
    <row r="178" spans="1:7">
      <c r="A178" s="496" t="s">
        <v>1717</v>
      </c>
      <c r="B178" s="496" t="s">
        <v>1718</v>
      </c>
      <c r="C178" s="496" t="s">
        <v>631</v>
      </c>
      <c r="D178" s="497">
        <v>44481</v>
      </c>
      <c r="E178" s="498">
        <v>39300</v>
      </c>
      <c r="F178" s="496">
        <v>1001010011</v>
      </c>
      <c r="G178" s="496" t="s">
        <v>1712</v>
      </c>
    </row>
    <row r="179" spans="1:7">
      <c r="A179" s="496" t="s">
        <v>1719</v>
      </c>
      <c r="B179" s="496" t="s">
        <v>1720</v>
      </c>
      <c r="C179" s="496" t="s">
        <v>631</v>
      </c>
      <c r="D179" s="497">
        <v>44516</v>
      </c>
      <c r="E179" s="498">
        <v>39300</v>
      </c>
      <c r="F179" s="496">
        <v>1001010011</v>
      </c>
      <c r="G179" s="496" t="s">
        <v>1712</v>
      </c>
    </row>
    <row r="180" spans="1:7">
      <c r="A180" s="496" t="s">
        <v>1721</v>
      </c>
      <c r="B180" s="496" t="s">
        <v>1722</v>
      </c>
      <c r="C180" s="496" t="s">
        <v>631</v>
      </c>
      <c r="D180" s="497">
        <v>44543</v>
      </c>
      <c r="E180" s="498">
        <v>39300</v>
      </c>
      <c r="F180" s="496">
        <v>1001010011</v>
      </c>
      <c r="G180" s="496" t="s">
        <v>1712</v>
      </c>
    </row>
    <row r="181" spans="1:7">
      <c r="A181" s="496" t="s">
        <v>1723</v>
      </c>
      <c r="B181" s="496" t="s">
        <v>1724</v>
      </c>
      <c r="C181" s="496" t="s">
        <v>631</v>
      </c>
      <c r="D181" s="497">
        <v>43850</v>
      </c>
      <c r="E181" s="498">
        <v>19698</v>
      </c>
      <c r="F181" s="496">
        <v>1001010016</v>
      </c>
      <c r="G181" s="496" t="s">
        <v>1725</v>
      </c>
    </row>
    <row r="182" spans="1:7">
      <c r="A182" s="496" t="s">
        <v>1383</v>
      </c>
      <c r="B182" s="496" t="s">
        <v>1726</v>
      </c>
      <c r="C182" s="496" t="s">
        <v>631</v>
      </c>
      <c r="D182" s="497">
        <v>43868</v>
      </c>
      <c r="E182" s="498">
        <v>28374</v>
      </c>
      <c r="F182" s="496">
        <v>1001010016</v>
      </c>
      <c r="G182" s="496" t="s">
        <v>1725</v>
      </c>
    </row>
    <row r="183" spans="1:7">
      <c r="A183" s="496" t="s">
        <v>1385</v>
      </c>
      <c r="B183" s="496" t="s">
        <v>1727</v>
      </c>
      <c r="C183" s="496" t="s">
        <v>631</v>
      </c>
      <c r="D183" s="497">
        <v>43898</v>
      </c>
      <c r="E183" s="498">
        <v>19740</v>
      </c>
      <c r="F183" s="496">
        <v>1001010016</v>
      </c>
      <c r="G183" s="496" t="s">
        <v>1725</v>
      </c>
    </row>
    <row r="184" spans="1:7">
      <c r="A184" s="496" t="s">
        <v>1387</v>
      </c>
      <c r="B184" s="496" t="s">
        <v>1728</v>
      </c>
      <c r="C184" s="496" t="s">
        <v>631</v>
      </c>
      <c r="D184" s="497">
        <v>43932</v>
      </c>
      <c r="E184" s="498">
        <v>24002</v>
      </c>
      <c r="F184" s="496">
        <v>1001010016</v>
      </c>
      <c r="G184" s="496" t="s">
        <v>1725</v>
      </c>
    </row>
    <row r="185" spans="1:7">
      <c r="A185" s="496" t="s">
        <v>1729</v>
      </c>
      <c r="B185" s="496" t="s">
        <v>1730</v>
      </c>
      <c r="C185" s="496" t="s">
        <v>631</v>
      </c>
      <c r="D185" s="497">
        <v>43959</v>
      </c>
      <c r="E185" s="498">
        <v>19740</v>
      </c>
      <c r="F185" s="496">
        <v>1001010016</v>
      </c>
      <c r="G185" s="496" t="s">
        <v>1731</v>
      </c>
    </row>
    <row r="186" spans="1:7">
      <c r="A186" s="496" t="s">
        <v>1732</v>
      </c>
      <c r="B186" s="496" t="s">
        <v>1733</v>
      </c>
      <c r="C186" s="496" t="s">
        <v>631</v>
      </c>
      <c r="D186" s="497">
        <v>44025</v>
      </c>
      <c r="E186" s="498">
        <v>8526</v>
      </c>
      <c r="F186" s="496">
        <v>1001010016</v>
      </c>
      <c r="G186" s="496" t="s">
        <v>1725</v>
      </c>
    </row>
    <row r="187" spans="1:7">
      <c r="A187" s="496" t="s">
        <v>1395</v>
      </c>
      <c r="B187" s="496" t="s">
        <v>1734</v>
      </c>
      <c r="C187" s="496" t="s">
        <v>631</v>
      </c>
      <c r="D187" s="497">
        <v>44056</v>
      </c>
      <c r="E187" s="498">
        <v>24009</v>
      </c>
      <c r="F187" s="496">
        <v>1001010016</v>
      </c>
      <c r="G187" s="496" t="s">
        <v>1735</v>
      </c>
    </row>
    <row r="188" spans="1:7">
      <c r="A188" s="496" t="s">
        <v>1397</v>
      </c>
      <c r="B188" s="496" t="s">
        <v>1736</v>
      </c>
      <c r="C188" s="496" t="s">
        <v>631</v>
      </c>
      <c r="D188" s="497">
        <v>44086</v>
      </c>
      <c r="E188" s="498">
        <v>19740</v>
      </c>
      <c r="F188" s="496">
        <v>1001010016</v>
      </c>
      <c r="G188" s="496" t="s">
        <v>1725</v>
      </c>
    </row>
    <row r="189" spans="1:7">
      <c r="A189" s="496" t="s">
        <v>1399</v>
      </c>
      <c r="B189" s="496" t="s">
        <v>1737</v>
      </c>
      <c r="C189" s="496" t="s">
        <v>631</v>
      </c>
      <c r="D189" s="497">
        <v>44115</v>
      </c>
      <c r="E189" s="498">
        <v>24002</v>
      </c>
      <c r="F189" s="496">
        <v>1001010016</v>
      </c>
      <c r="G189" s="496" t="s">
        <v>1725</v>
      </c>
    </row>
    <row r="190" spans="1:7">
      <c r="A190" s="496" t="s">
        <v>1401</v>
      </c>
      <c r="B190" s="496" t="s">
        <v>1738</v>
      </c>
      <c r="C190" s="496" t="s">
        <v>631</v>
      </c>
      <c r="D190" s="497">
        <v>44147</v>
      </c>
      <c r="E190" s="498">
        <v>19777</v>
      </c>
      <c r="F190" s="496">
        <v>1001010016</v>
      </c>
      <c r="G190" s="496" t="s">
        <v>1725</v>
      </c>
    </row>
    <row r="191" spans="1:7">
      <c r="A191" s="496" t="s">
        <v>1403</v>
      </c>
      <c r="B191" s="496" t="s">
        <v>1739</v>
      </c>
      <c r="C191" s="496" t="s">
        <v>631</v>
      </c>
      <c r="D191" s="497">
        <v>44175</v>
      </c>
      <c r="E191" s="498">
        <v>19756</v>
      </c>
      <c r="F191" s="496">
        <v>1001010016</v>
      </c>
      <c r="G191" s="496" t="s">
        <v>1725</v>
      </c>
    </row>
    <row r="192" spans="1:7">
      <c r="A192" s="496" t="s">
        <v>1405</v>
      </c>
      <c r="B192" s="496" t="s">
        <v>1740</v>
      </c>
      <c r="C192" s="496" t="s">
        <v>631</v>
      </c>
      <c r="D192" s="497">
        <v>44212</v>
      </c>
      <c r="E192" s="498">
        <v>19756</v>
      </c>
      <c r="F192" s="496">
        <v>1001010016</v>
      </c>
      <c r="G192" s="496" t="s">
        <v>1725</v>
      </c>
    </row>
    <row r="193" spans="1:7">
      <c r="A193" s="496" t="s">
        <v>1405</v>
      </c>
      <c r="B193" s="496" t="s">
        <v>1741</v>
      </c>
      <c r="C193" s="496" t="s">
        <v>631</v>
      </c>
      <c r="D193" s="497">
        <v>44212</v>
      </c>
      <c r="E193" s="498">
        <v>-19756</v>
      </c>
      <c r="F193" s="496">
        <v>1001010016</v>
      </c>
      <c r="G193" s="496" t="s">
        <v>1725</v>
      </c>
    </row>
    <row r="194" spans="1:7">
      <c r="A194" s="496" t="s">
        <v>1405</v>
      </c>
      <c r="B194" s="496" t="s">
        <v>1742</v>
      </c>
      <c r="C194" s="496" t="s">
        <v>631</v>
      </c>
      <c r="D194" s="497">
        <v>44214</v>
      </c>
      <c r="E194" s="498">
        <v>24002</v>
      </c>
      <c r="F194" s="496">
        <v>1001010016</v>
      </c>
      <c r="G194" s="496" t="s">
        <v>1725</v>
      </c>
    </row>
    <row r="195" spans="1:7">
      <c r="A195" s="496" t="s">
        <v>1409</v>
      </c>
      <c r="B195" s="496" t="s">
        <v>1743</v>
      </c>
      <c r="C195" s="496" t="s">
        <v>631</v>
      </c>
      <c r="D195" s="497">
        <v>44241</v>
      </c>
      <c r="E195" s="498">
        <v>16077</v>
      </c>
      <c r="F195" s="496">
        <v>1001010016</v>
      </c>
      <c r="G195" s="496" t="s">
        <v>1725</v>
      </c>
    </row>
    <row r="196" spans="1:7">
      <c r="A196" s="496" t="s">
        <v>1411</v>
      </c>
      <c r="B196" s="496" t="s">
        <v>1744</v>
      </c>
      <c r="C196" s="496" t="s">
        <v>631</v>
      </c>
      <c r="D196" s="497">
        <v>44269</v>
      </c>
      <c r="E196" s="498">
        <v>37915</v>
      </c>
      <c r="F196" s="496">
        <v>1001010016</v>
      </c>
      <c r="G196" s="496" t="s">
        <v>1725</v>
      </c>
    </row>
    <row r="197" spans="1:7">
      <c r="A197" s="496" t="s">
        <v>1413</v>
      </c>
      <c r="B197" s="496" t="s">
        <v>1745</v>
      </c>
      <c r="C197" s="496" t="s">
        <v>631</v>
      </c>
      <c r="D197" s="497">
        <v>44299</v>
      </c>
      <c r="E197" s="498">
        <v>24713</v>
      </c>
      <c r="F197" s="496">
        <v>1001010016</v>
      </c>
      <c r="G197" s="496" t="s">
        <v>1725</v>
      </c>
    </row>
    <row r="198" spans="1:7">
      <c r="A198" s="496" t="s">
        <v>1415</v>
      </c>
      <c r="B198" s="496" t="s">
        <v>1746</v>
      </c>
      <c r="C198" s="496" t="s">
        <v>631</v>
      </c>
      <c r="D198" s="497">
        <v>44329</v>
      </c>
      <c r="E198" s="498">
        <v>24713</v>
      </c>
      <c r="F198" s="496">
        <v>1001010016</v>
      </c>
      <c r="G198" s="496" t="s">
        <v>1725</v>
      </c>
    </row>
    <row r="199" spans="1:7">
      <c r="A199" s="496" t="s">
        <v>1417</v>
      </c>
      <c r="B199" s="496" t="s">
        <v>1747</v>
      </c>
      <c r="C199" s="496" t="s">
        <v>631</v>
      </c>
      <c r="D199" s="497">
        <v>44360</v>
      </c>
      <c r="E199" s="498">
        <v>20366</v>
      </c>
      <c r="F199" s="496">
        <v>1001010016</v>
      </c>
      <c r="G199" s="496" t="s">
        <v>1725</v>
      </c>
    </row>
    <row r="200" spans="1:7">
      <c r="A200" s="496" t="s">
        <v>1748</v>
      </c>
      <c r="B200" s="496" t="s">
        <v>1749</v>
      </c>
      <c r="C200" s="496" t="s">
        <v>631</v>
      </c>
      <c r="D200" s="497">
        <v>44396</v>
      </c>
      <c r="E200" s="498">
        <v>20346</v>
      </c>
      <c r="F200" s="496">
        <v>1001010016</v>
      </c>
      <c r="G200" s="496" t="s">
        <v>1725</v>
      </c>
    </row>
    <row r="201" spans="1:7">
      <c r="A201" s="496" t="s">
        <v>1421</v>
      </c>
      <c r="B201" s="496" t="s">
        <v>1750</v>
      </c>
      <c r="C201" s="496" t="s">
        <v>631</v>
      </c>
      <c r="D201" s="497">
        <v>44420</v>
      </c>
      <c r="E201" s="498">
        <v>24713</v>
      </c>
      <c r="F201" s="496">
        <v>1001010016</v>
      </c>
      <c r="G201" s="496" t="s">
        <v>1725</v>
      </c>
    </row>
    <row r="202" spans="1:7">
      <c r="A202" s="496" t="s">
        <v>1426</v>
      </c>
      <c r="B202" s="496" t="s">
        <v>1751</v>
      </c>
      <c r="C202" s="496" t="s">
        <v>631</v>
      </c>
      <c r="D202" s="497">
        <v>44480</v>
      </c>
      <c r="E202" s="498">
        <v>74260</v>
      </c>
      <c r="F202" s="496">
        <v>1001010016</v>
      </c>
      <c r="G202" s="496" t="s">
        <v>1725</v>
      </c>
    </row>
    <row r="203" spans="1:7">
      <c r="A203" s="496" t="s">
        <v>1428</v>
      </c>
      <c r="B203" s="496" t="s">
        <v>1752</v>
      </c>
      <c r="C203" s="496" t="s">
        <v>631</v>
      </c>
      <c r="D203" s="497">
        <v>44512</v>
      </c>
      <c r="E203" s="498">
        <v>48272</v>
      </c>
      <c r="F203" s="496">
        <v>1001010016</v>
      </c>
      <c r="G203" s="496" t="s">
        <v>1725</v>
      </c>
    </row>
    <row r="204" spans="1:7">
      <c r="A204" s="496" t="s">
        <v>1430</v>
      </c>
      <c r="B204" s="496" t="s">
        <v>1753</v>
      </c>
      <c r="C204" s="496" t="s">
        <v>631</v>
      </c>
      <c r="D204" s="497">
        <v>44543</v>
      </c>
      <c r="E204" s="498">
        <v>25567</v>
      </c>
      <c r="F204" s="496">
        <v>1001010016</v>
      </c>
      <c r="G204" s="496" t="s">
        <v>1725</v>
      </c>
    </row>
    <row r="205" spans="1:7">
      <c r="A205" s="496" t="s">
        <v>1754</v>
      </c>
      <c r="B205" s="496" t="s">
        <v>1755</v>
      </c>
      <c r="C205" s="496" t="s">
        <v>631</v>
      </c>
      <c r="D205" s="497">
        <v>43843</v>
      </c>
      <c r="E205" s="498">
        <v>63878</v>
      </c>
      <c r="F205" s="496">
        <v>1001010017</v>
      </c>
      <c r="G205" s="496" t="s">
        <v>1382</v>
      </c>
    </row>
    <row r="206" spans="1:7">
      <c r="A206" s="496" t="s">
        <v>1756</v>
      </c>
      <c r="B206" s="496" t="s">
        <v>1757</v>
      </c>
      <c r="C206" s="496" t="s">
        <v>631</v>
      </c>
      <c r="D206" s="497">
        <v>43876</v>
      </c>
      <c r="E206" s="498">
        <v>76352</v>
      </c>
      <c r="F206" s="496">
        <v>1001010017</v>
      </c>
      <c r="G206" s="496" t="s">
        <v>1484</v>
      </c>
    </row>
    <row r="207" spans="1:7">
      <c r="A207" s="496" t="s">
        <v>1758</v>
      </c>
      <c r="B207" s="496" t="s">
        <v>1759</v>
      </c>
      <c r="C207" s="496" t="s">
        <v>631</v>
      </c>
      <c r="D207" s="497">
        <v>43902</v>
      </c>
      <c r="E207" s="498">
        <v>76568</v>
      </c>
      <c r="F207" s="496">
        <v>1001010017</v>
      </c>
      <c r="G207" s="496" t="s">
        <v>1382</v>
      </c>
    </row>
    <row r="208" spans="1:7">
      <c r="A208" s="496" t="s">
        <v>1760</v>
      </c>
      <c r="B208" s="496" t="s">
        <v>1761</v>
      </c>
      <c r="C208" s="496" t="s">
        <v>631</v>
      </c>
      <c r="D208" s="497">
        <v>43937</v>
      </c>
      <c r="E208" s="498">
        <v>76401</v>
      </c>
      <c r="F208" s="496">
        <v>1001010017</v>
      </c>
      <c r="G208" s="496" t="s">
        <v>1382</v>
      </c>
    </row>
    <row r="209" spans="1:7">
      <c r="A209" s="496" t="s">
        <v>1762</v>
      </c>
      <c r="B209" s="496" t="s">
        <v>1763</v>
      </c>
      <c r="C209" s="496" t="s">
        <v>631</v>
      </c>
      <c r="D209" s="497">
        <v>43968</v>
      </c>
      <c r="E209" s="498">
        <v>42971</v>
      </c>
      <c r="F209" s="496">
        <v>1001010017</v>
      </c>
      <c r="G209" s="496" t="s">
        <v>1382</v>
      </c>
    </row>
    <row r="210" spans="1:7">
      <c r="A210" s="496" t="s">
        <v>1764</v>
      </c>
      <c r="B210" s="496" t="s">
        <v>1765</v>
      </c>
      <c r="C210" s="496" t="s">
        <v>631</v>
      </c>
      <c r="D210" s="497">
        <v>43998</v>
      </c>
      <c r="E210" s="498">
        <v>30881</v>
      </c>
      <c r="F210" s="496">
        <v>1001010017</v>
      </c>
      <c r="G210" s="496" t="s">
        <v>1484</v>
      </c>
    </row>
    <row r="211" spans="1:7">
      <c r="A211" s="496" t="s">
        <v>1766</v>
      </c>
      <c r="B211" s="496" t="s">
        <v>1767</v>
      </c>
      <c r="C211" s="496" t="s">
        <v>631</v>
      </c>
      <c r="D211" s="497">
        <v>44024</v>
      </c>
      <c r="E211" s="498">
        <v>36412</v>
      </c>
      <c r="F211" s="496">
        <v>1001010017</v>
      </c>
      <c r="G211" s="496" t="s">
        <v>1484</v>
      </c>
    </row>
    <row r="212" spans="1:7">
      <c r="A212" s="496" t="s">
        <v>1768</v>
      </c>
      <c r="B212" s="496" t="s">
        <v>1769</v>
      </c>
      <c r="C212" s="496" t="s">
        <v>631</v>
      </c>
      <c r="D212" s="497">
        <v>44057</v>
      </c>
      <c r="E212" s="498">
        <v>34312</v>
      </c>
      <c r="F212" s="496">
        <v>1001010017</v>
      </c>
      <c r="G212" s="496" t="s">
        <v>1484</v>
      </c>
    </row>
    <row r="213" spans="1:7">
      <c r="A213" s="496" t="s">
        <v>1770</v>
      </c>
      <c r="B213" s="496" t="s">
        <v>1771</v>
      </c>
      <c r="C213" s="496" t="s">
        <v>631</v>
      </c>
      <c r="D213" s="497">
        <v>44088</v>
      </c>
      <c r="E213" s="498">
        <v>44832</v>
      </c>
      <c r="F213" s="496">
        <v>1001010017</v>
      </c>
      <c r="G213" s="496" t="s">
        <v>1484</v>
      </c>
    </row>
    <row r="214" spans="1:7">
      <c r="A214" s="496" t="s">
        <v>1772</v>
      </c>
      <c r="B214" s="496" t="s">
        <v>1773</v>
      </c>
      <c r="C214" s="496" t="s">
        <v>631</v>
      </c>
      <c r="D214" s="497">
        <v>44115</v>
      </c>
      <c r="E214" s="498">
        <v>38561</v>
      </c>
      <c r="F214" s="496">
        <v>1001010017</v>
      </c>
      <c r="G214" s="496" t="s">
        <v>1484</v>
      </c>
    </row>
    <row r="215" spans="1:7">
      <c r="A215" s="496" t="s">
        <v>1774</v>
      </c>
      <c r="B215" s="496" t="s">
        <v>1775</v>
      </c>
      <c r="C215" s="496" t="s">
        <v>631</v>
      </c>
      <c r="D215" s="497">
        <v>44148</v>
      </c>
      <c r="E215" s="498">
        <v>36412</v>
      </c>
      <c r="F215" s="496">
        <v>1001010017</v>
      </c>
      <c r="G215" s="496" t="s">
        <v>1484</v>
      </c>
    </row>
    <row r="216" spans="1:7">
      <c r="A216" s="496" t="s">
        <v>1776</v>
      </c>
      <c r="B216" s="496" t="s">
        <v>1777</v>
      </c>
      <c r="C216" s="496" t="s">
        <v>631</v>
      </c>
      <c r="D216" s="497">
        <v>44177</v>
      </c>
      <c r="E216" s="498">
        <v>59595</v>
      </c>
      <c r="F216" s="496">
        <v>1001010017</v>
      </c>
      <c r="G216" s="496" t="s">
        <v>1484</v>
      </c>
    </row>
    <row r="217" spans="1:7">
      <c r="A217" s="496" t="s">
        <v>1778</v>
      </c>
      <c r="B217" s="496" t="s">
        <v>1779</v>
      </c>
      <c r="C217" s="496" t="s">
        <v>631</v>
      </c>
      <c r="D217" s="497">
        <v>44214</v>
      </c>
      <c r="E217" s="498">
        <v>46913</v>
      </c>
      <c r="F217" s="496">
        <v>1001010017</v>
      </c>
      <c r="G217" s="496" t="s">
        <v>1484</v>
      </c>
    </row>
    <row r="218" spans="1:7">
      <c r="A218" s="496" t="s">
        <v>1780</v>
      </c>
      <c r="B218" s="496" t="s">
        <v>1781</v>
      </c>
      <c r="C218" s="496" t="s">
        <v>631</v>
      </c>
      <c r="D218" s="497">
        <v>44246</v>
      </c>
      <c r="E218" s="498">
        <v>47016</v>
      </c>
      <c r="F218" s="496">
        <v>1001010017</v>
      </c>
      <c r="G218" s="496" t="s">
        <v>1509</v>
      </c>
    </row>
    <row r="219" spans="1:7">
      <c r="A219" s="496" t="s">
        <v>1782</v>
      </c>
      <c r="B219" s="496" t="s">
        <v>1783</v>
      </c>
      <c r="C219" s="496" t="s">
        <v>631</v>
      </c>
      <c r="D219" s="497">
        <v>44266</v>
      </c>
      <c r="E219" s="498">
        <v>36525</v>
      </c>
      <c r="F219" s="496">
        <v>1001010017</v>
      </c>
      <c r="G219" s="496" t="s">
        <v>1509</v>
      </c>
    </row>
    <row r="220" spans="1:7">
      <c r="A220" s="496" t="s">
        <v>1784</v>
      </c>
      <c r="B220" s="496" t="s">
        <v>1785</v>
      </c>
      <c r="C220" s="496" t="s">
        <v>631</v>
      </c>
      <c r="D220" s="497">
        <v>44300</v>
      </c>
      <c r="E220" s="498">
        <v>38753</v>
      </c>
      <c r="F220" s="496">
        <v>1001010017</v>
      </c>
      <c r="G220" s="496" t="s">
        <v>1509</v>
      </c>
    </row>
    <row r="221" spans="1:7">
      <c r="A221" s="496" t="s">
        <v>1786</v>
      </c>
      <c r="B221" s="496" t="s">
        <v>1787</v>
      </c>
      <c r="C221" s="496" t="s">
        <v>631</v>
      </c>
      <c r="D221" s="497">
        <v>44329</v>
      </c>
      <c r="E221" s="498">
        <v>45317</v>
      </c>
      <c r="F221" s="496">
        <v>1001010017</v>
      </c>
      <c r="G221" s="496" t="s">
        <v>1509</v>
      </c>
    </row>
    <row r="222" spans="1:7">
      <c r="A222" s="496" t="s">
        <v>1788</v>
      </c>
      <c r="B222" s="496" t="s">
        <v>1789</v>
      </c>
      <c r="C222" s="496" t="s">
        <v>631</v>
      </c>
      <c r="D222" s="497">
        <v>44365</v>
      </c>
      <c r="E222" s="498">
        <v>36868</v>
      </c>
      <c r="F222" s="496">
        <v>1001010017</v>
      </c>
      <c r="G222" s="496" t="s">
        <v>1509</v>
      </c>
    </row>
    <row r="223" spans="1:7">
      <c r="A223" s="496" t="s">
        <v>1790</v>
      </c>
      <c r="B223" s="496" t="s">
        <v>1791</v>
      </c>
      <c r="C223" s="496" t="s">
        <v>631</v>
      </c>
      <c r="D223" s="497">
        <v>44389</v>
      </c>
      <c r="E223" s="498">
        <v>17823</v>
      </c>
      <c r="F223" s="496">
        <v>1001010017</v>
      </c>
      <c r="G223" s="496" t="s">
        <v>1509</v>
      </c>
    </row>
    <row r="224" spans="1:7">
      <c r="A224" s="496" t="s">
        <v>1792</v>
      </c>
      <c r="B224" s="496" t="s">
        <v>1793</v>
      </c>
      <c r="C224" s="496" t="s">
        <v>631</v>
      </c>
      <c r="D224" s="497">
        <v>44431</v>
      </c>
      <c r="E224" s="498">
        <v>54226</v>
      </c>
      <c r="F224" s="496">
        <v>1001010017</v>
      </c>
      <c r="G224" s="496" t="s">
        <v>1509</v>
      </c>
    </row>
    <row r="225" spans="1:7">
      <c r="A225" s="496" t="s">
        <v>1794</v>
      </c>
      <c r="B225" s="496" t="s">
        <v>1795</v>
      </c>
      <c r="C225" s="496" t="s">
        <v>631</v>
      </c>
      <c r="D225" s="497">
        <v>44452</v>
      </c>
      <c r="E225" s="498">
        <v>48125</v>
      </c>
      <c r="F225" s="496">
        <v>1001010017</v>
      </c>
      <c r="G225" s="496" t="s">
        <v>1509</v>
      </c>
    </row>
    <row r="226" spans="1:7">
      <c r="A226" s="496" t="s">
        <v>1796</v>
      </c>
      <c r="B226" s="496" t="s">
        <v>1797</v>
      </c>
      <c r="C226" s="496" t="s">
        <v>631</v>
      </c>
      <c r="D226" s="497">
        <v>44480</v>
      </c>
      <c r="E226" s="498">
        <v>28716</v>
      </c>
      <c r="F226" s="496">
        <v>1001010017</v>
      </c>
      <c r="G226" s="496" t="s">
        <v>1509</v>
      </c>
    </row>
    <row r="227" spans="1:7">
      <c r="A227" s="496" t="s">
        <v>1798</v>
      </c>
      <c r="B227" s="496" t="s">
        <v>1799</v>
      </c>
      <c r="C227" s="496" t="s">
        <v>631</v>
      </c>
      <c r="D227" s="497">
        <v>44511</v>
      </c>
      <c r="E227" s="498">
        <v>45428</v>
      </c>
      <c r="F227" s="496">
        <v>1001010017</v>
      </c>
      <c r="G227" s="496" t="s">
        <v>1509</v>
      </c>
    </row>
    <row r="228" spans="1:7">
      <c r="A228" s="496" t="s">
        <v>1800</v>
      </c>
      <c r="B228" s="496" t="s">
        <v>1801</v>
      </c>
      <c r="C228" s="496" t="s">
        <v>631</v>
      </c>
      <c r="D228" s="497">
        <v>44544</v>
      </c>
      <c r="E228" s="498">
        <v>54533</v>
      </c>
      <c r="F228" s="496">
        <v>1001010017</v>
      </c>
      <c r="G228" s="496" t="s">
        <v>1509</v>
      </c>
    </row>
    <row r="229" spans="1:7">
      <c r="A229" s="496" t="s">
        <v>1802</v>
      </c>
      <c r="B229" s="496" t="s">
        <v>1803</v>
      </c>
      <c r="C229" s="496" t="s">
        <v>631</v>
      </c>
      <c r="D229" s="497">
        <v>43869</v>
      </c>
      <c r="E229" s="498">
        <v>40358</v>
      </c>
      <c r="F229" s="496">
        <v>1001010021</v>
      </c>
      <c r="G229" s="496" t="s">
        <v>1382</v>
      </c>
    </row>
    <row r="230" spans="1:7">
      <c r="A230" s="496" t="s">
        <v>1804</v>
      </c>
      <c r="B230" s="496" t="s">
        <v>1805</v>
      </c>
      <c r="C230" s="496" t="s">
        <v>631</v>
      </c>
      <c r="D230" s="497">
        <v>44210</v>
      </c>
      <c r="E230" s="498">
        <v>17233</v>
      </c>
      <c r="F230" s="496">
        <v>1001010099</v>
      </c>
      <c r="G230" s="496" t="s">
        <v>1806</v>
      </c>
    </row>
    <row r="231" spans="1:7">
      <c r="A231" s="496" t="s">
        <v>1807</v>
      </c>
      <c r="B231" s="496" t="s">
        <v>1808</v>
      </c>
      <c r="C231" s="496" t="s">
        <v>631</v>
      </c>
      <c r="D231" s="497">
        <v>44242</v>
      </c>
      <c r="E231" s="498">
        <v>16552</v>
      </c>
      <c r="F231" s="496">
        <v>1001010099</v>
      </c>
      <c r="G231" s="496" t="s">
        <v>1806</v>
      </c>
    </row>
    <row r="232" spans="1:7">
      <c r="A232" s="496" t="s">
        <v>1809</v>
      </c>
      <c r="B232" s="496" t="s">
        <v>1810</v>
      </c>
      <c r="C232" s="496" t="s">
        <v>631</v>
      </c>
      <c r="D232" s="497">
        <v>44264</v>
      </c>
      <c r="E232" s="498">
        <v>14471</v>
      </c>
      <c r="F232" s="496">
        <v>1001010099</v>
      </c>
      <c r="G232" s="496" t="s">
        <v>1806</v>
      </c>
    </row>
    <row r="233" spans="1:7">
      <c r="A233" s="496" t="s">
        <v>1811</v>
      </c>
      <c r="B233" s="496" t="s">
        <v>1812</v>
      </c>
      <c r="C233" s="496" t="s">
        <v>631</v>
      </c>
      <c r="D233" s="497">
        <v>44298</v>
      </c>
      <c r="E233" s="498">
        <v>15675</v>
      </c>
      <c r="F233" s="496">
        <v>1001010099</v>
      </c>
      <c r="G233" s="496" t="s">
        <v>1806</v>
      </c>
    </row>
    <row r="234" spans="1:7">
      <c r="A234" s="496" t="s">
        <v>1813</v>
      </c>
      <c r="B234" s="496" t="s">
        <v>1814</v>
      </c>
      <c r="C234" s="496" t="s">
        <v>631</v>
      </c>
      <c r="D234" s="497">
        <v>44330</v>
      </c>
      <c r="E234" s="498">
        <v>17143</v>
      </c>
      <c r="F234" s="496">
        <v>1001010099</v>
      </c>
      <c r="G234" s="496" t="s">
        <v>1806</v>
      </c>
    </row>
    <row r="235" spans="1:7">
      <c r="A235" s="496" t="s">
        <v>1815</v>
      </c>
      <c r="B235" s="496" t="s">
        <v>1816</v>
      </c>
      <c r="C235" s="496" t="s">
        <v>631</v>
      </c>
      <c r="D235" s="497">
        <v>44364</v>
      </c>
      <c r="E235" s="498">
        <v>12126</v>
      </c>
      <c r="F235" s="496">
        <v>1001010099</v>
      </c>
      <c r="G235" s="496" t="s">
        <v>1806</v>
      </c>
    </row>
    <row r="236" spans="1:7">
      <c r="A236" s="496" t="s">
        <v>1817</v>
      </c>
      <c r="B236" s="496" t="s">
        <v>1818</v>
      </c>
      <c r="C236" s="496" t="s">
        <v>631</v>
      </c>
      <c r="D236" s="497">
        <v>44386</v>
      </c>
      <c r="E236" s="498">
        <v>14337</v>
      </c>
      <c r="F236" s="496">
        <v>1001010099</v>
      </c>
      <c r="G236" s="496" t="s">
        <v>1819</v>
      </c>
    </row>
    <row r="237" spans="1:7">
      <c r="A237" s="496" t="s">
        <v>1820</v>
      </c>
      <c r="B237" s="496" t="s">
        <v>1821</v>
      </c>
      <c r="C237" s="496" t="s">
        <v>631</v>
      </c>
      <c r="D237" s="497">
        <v>44420</v>
      </c>
      <c r="E237" s="498">
        <v>14291</v>
      </c>
      <c r="F237" s="496">
        <v>1001010099</v>
      </c>
      <c r="G237" s="496" t="s">
        <v>1819</v>
      </c>
    </row>
    <row r="238" spans="1:7">
      <c r="A238" s="496" t="s">
        <v>1822</v>
      </c>
      <c r="B238" s="496" t="s">
        <v>1823</v>
      </c>
      <c r="C238" s="496" t="s">
        <v>631</v>
      </c>
      <c r="D238" s="497">
        <v>44450</v>
      </c>
      <c r="E238" s="498">
        <v>18044</v>
      </c>
      <c r="F238" s="496">
        <v>1001010099</v>
      </c>
      <c r="G238" s="496" t="s">
        <v>1819</v>
      </c>
    </row>
    <row r="239" spans="1:7">
      <c r="A239" s="496" t="s">
        <v>1824</v>
      </c>
      <c r="B239" s="496" t="s">
        <v>1825</v>
      </c>
      <c r="C239" s="496" t="s">
        <v>631</v>
      </c>
      <c r="D239" s="497">
        <v>44490</v>
      </c>
      <c r="E239" s="498">
        <v>17071</v>
      </c>
      <c r="F239" s="496">
        <v>1001010099</v>
      </c>
      <c r="G239" s="496" t="s">
        <v>1819</v>
      </c>
    </row>
    <row r="240" spans="1:7">
      <c r="A240" s="496" t="s">
        <v>1826</v>
      </c>
      <c r="B240" s="496" t="s">
        <v>1827</v>
      </c>
      <c r="C240" s="496" t="s">
        <v>631</v>
      </c>
      <c r="D240" s="497">
        <v>44512</v>
      </c>
      <c r="E240" s="498">
        <v>16422</v>
      </c>
      <c r="F240" s="496">
        <v>1001010099</v>
      </c>
      <c r="G240" s="496" t="s">
        <v>1819</v>
      </c>
    </row>
    <row r="241" spans="1:7">
      <c r="A241" s="496" t="s">
        <v>1828</v>
      </c>
      <c r="B241" s="496" t="s">
        <v>1829</v>
      </c>
      <c r="C241" s="496" t="s">
        <v>631</v>
      </c>
      <c r="D241" s="497">
        <v>44541</v>
      </c>
      <c r="E241" s="498">
        <v>11233</v>
      </c>
      <c r="F241" s="496">
        <v>1001010099</v>
      </c>
      <c r="G241" s="496" t="s">
        <v>1819</v>
      </c>
    </row>
    <row r="242" spans="1:7">
      <c r="A242" s="496" t="s">
        <v>1830</v>
      </c>
      <c r="B242" s="496" t="s">
        <v>1831</v>
      </c>
      <c r="C242" s="496" t="s">
        <v>631</v>
      </c>
      <c r="D242" s="497">
        <v>43871</v>
      </c>
      <c r="E242" s="498">
        <v>9625</v>
      </c>
      <c r="F242" s="496">
        <v>1001020001</v>
      </c>
      <c r="G242" s="496" t="s">
        <v>1382</v>
      </c>
    </row>
    <row r="243" spans="1:7">
      <c r="A243" s="496" t="s">
        <v>1830</v>
      </c>
      <c r="B243" s="496" t="s">
        <v>1832</v>
      </c>
      <c r="C243" s="496" t="s">
        <v>631</v>
      </c>
      <c r="D243" s="497">
        <v>43871</v>
      </c>
      <c r="E243" s="498">
        <v>-9625</v>
      </c>
      <c r="F243" s="496">
        <v>1001020001</v>
      </c>
      <c r="G243" s="496" t="s">
        <v>1382</v>
      </c>
    </row>
    <row r="244" spans="1:7">
      <c r="A244" s="496" t="s">
        <v>1833</v>
      </c>
      <c r="B244" s="496" t="s">
        <v>1834</v>
      </c>
      <c r="C244" s="496" t="s">
        <v>631</v>
      </c>
      <c r="D244" s="497">
        <v>44231</v>
      </c>
      <c r="E244" s="498">
        <v>22500</v>
      </c>
      <c r="F244" s="496">
        <v>1001020004</v>
      </c>
      <c r="G244" s="496" t="s">
        <v>1509</v>
      </c>
    </row>
    <row r="245" spans="1:7">
      <c r="A245" s="496" t="s">
        <v>1833</v>
      </c>
      <c r="B245" s="496" t="s">
        <v>1835</v>
      </c>
      <c r="C245" s="496" t="s">
        <v>631</v>
      </c>
      <c r="D245" s="497">
        <v>44231</v>
      </c>
      <c r="E245" s="498">
        <v>-22500</v>
      </c>
      <c r="F245" s="496">
        <v>1001020004</v>
      </c>
      <c r="G245" s="496" t="s">
        <v>1509</v>
      </c>
    </row>
    <row r="246" spans="1:7">
      <c r="A246" s="496" t="s">
        <v>1836</v>
      </c>
      <c r="B246" s="496" t="s">
        <v>1837</v>
      </c>
      <c r="C246" s="496" t="s">
        <v>631</v>
      </c>
      <c r="D246" s="497">
        <v>43841</v>
      </c>
      <c r="E246" s="498">
        <v>33775</v>
      </c>
      <c r="F246" s="496">
        <v>1002020002</v>
      </c>
      <c r="G246" s="496" t="s">
        <v>1382</v>
      </c>
    </row>
    <row r="247" spans="1:7">
      <c r="A247" s="496" t="s">
        <v>1838</v>
      </c>
      <c r="B247" s="496" t="s">
        <v>1839</v>
      </c>
      <c r="C247" s="496" t="s">
        <v>631</v>
      </c>
      <c r="D247" s="497">
        <v>43871</v>
      </c>
      <c r="E247" s="498">
        <v>35055</v>
      </c>
      <c r="F247" s="496">
        <v>1002020002</v>
      </c>
      <c r="G247" s="496" t="s">
        <v>1382</v>
      </c>
    </row>
    <row r="248" spans="1:7">
      <c r="A248" s="496" t="s">
        <v>1840</v>
      </c>
      <c r="B248" s="496" t="s">
        <v>1841</v>
      </c>
      <c r="C248" s="496" t="s">
        <v>631</v>
      </c>
      <c r="D248" s="497">
        <v>43900</v>
      </c>
      <c r="E248" s="498">
        <v>22585</v>
      </c>
      <c r="F248" s="496">
        <v>1002020002</v>
      </c>
      <c r="G248" s="496" t="s">
        <v>1382</v>
      </c>
    </row>
    <row r="249" spans="1:7">
      <c r="A249" s="496" t="s">
        <v>1842</v>
      </c>
      <c r="B249" s="496" t="s">
        <v>1843</v>
      </c>
      <c r="C249" s="496" t="s">
        <v>631</v>
      </c>
      <c r="D249" s="497">
        <v>43934</v>
      </c>
      <c r="E249" s="498">
        <v>20346</v>
      </c>
      <c r="F249" s="496">
        <v>1002020002</v>
      </c>
      <c r="G249" s="496" t="s">
        <v>1382</v>
      </c>
    </row>
    <row r="250" spans="1:7">
      <c r="A250" s="496" t="s">
        <v>1844</v>
      </c>
      <c r="B250" s="496" t="s">
        <v>1845</v>
      </c>
      <c r="C250" s="496" t="s">
        <v>631</v>
      </c>
      <c r="D250" s="497">
        <v>43958</v>
      </c>
      <c r="E250" s="498">
        <v>18660</v>
      </c>
      <c r="F250" s="496">
        <v>1002020002</v>
      </c>
      <c r="G250" s="496" t="s">
        <v>1382</v>
      </c>
    </row>
    <row r="251" spans="1:7">
      <c r="A251" s="496" t="s">
        <v>1846</v>
      </c>
      <c r="B251" s="496" t="s">
        <v>1847</v>
      </c>
      <c r="C251" s="496" t="s">
        <v>631</v>
      </c>
      <c r="D251" s="497">
        <v>44001</v>
      </c>
      <c r="E251" s="498">
        <v>10218</v>
      </c>
      <c r="F251" s="496">
        <v>1002020002</v>
      </c>
      <c r="G251" s="496" t="s">
        <v>1382</v>
      </c>
    </row>
    <row r="252" spans="1:7">
      <c r="A252" s="496" t="s">
        <v>1848</v>
      </c>
      <c r="B252" s="496" t="s">
        <v>1849</v>
      </c>
      <c r="C252" s="496" t="s">
        <v>631</v>
      </c>
      <c r="D252" s="497">
        <v>44015</v>
      </c>
      <c r="E252" s="498">
        <v>9834</v>
      </c>
      <c r="F252" s="496">
        <v>1002020002</v>
      </c>
      <c r="G252" s="496" t="s">
        <v>1382</v>
      </c>
    </row>
    <row r="253" spans="1:7">
      <c r="A253" s="496" t="s">
        <v>1850</v>
      </c>
      <c r="B253" s="496" t="s">
        <v>1851</v>
      </c>
      <c r="C253" s="496" t="s">
        <v>631</v>
      </c>
      <c r="D253" s="497">
        <v>44055</v>
      </c>
      <c r="E253" s="498">
        <v>16741</v>
      </c>
      <c r="F253" s="496">
        <v>1002020002</v>
      </c>
      <c r="G253" s="496" t="s">
        <v>1382</v>
      </c>
    </row>
    <row r="254" spans="1:7">
      <c r="A254" s="496" t="s">
        <v>1852</v>
      </c>
      <c r="B254" s="496" t="s">
        <v>1853</v>
      </c>
      <c r="C254" s="496" t="s">
        <v>631</v>
      </c>
      <c r="D254" s="497">
        <v>44088</v>
      </c>
      <c r="E254" s="498">
        <v>20578</v>
      </c>
      <c r="F254" s="496">
        <v>1002020002</v>
      </c>
      <c r="G254" s="496" t="s">
        <v>1382</v>
      </c>
    </row>
    <row r="255" spans="1:7">
      <c r="A255" s="496" t="s">
        <v>1854</v>
      </c>
      <c r="B255" s="496" t="s">
        <v>1855</v>
      </c>
      <c r="C255" s="496" t="s">
        <v>631</v>
      </c>
      <c r="D255" s="497">
        <v>44118</v>
      </c>
      <c r="E255" s="498">
        <v>16358</v>
      </c>
      <c r="F255" s="496">
        <v>1002020002</v>
      </c>
      <c r="G255" s="496" t="s">
        <v>1382</v>
      </c>
    </row>
    <row r="256" spans="1:7">
      <c r="A256" s="496" t="s">
        <v>1856</v>
      </c>
      <c r="B256" s="496" t="s">
        <v>1857</v>
      </c>
      <c r="C256" s="496" t="s">
        <v>631</v>
      </c>
      <c r="D256" s="497">
        <v>44149</v>
      </c>
      <c r="E256" s="498">
        <v>19068</v>
      </c>
      <c r="F256" s="496">
        <v>1002020002</v>
      </c>
      <c r="G256" s="496" t="s">
        <v>1382</v>
      </c>
    </row>
    <row r="257" spans="1:7">
      <c r="A257" s="496" t="s">
        <v>1858</v>
      </c>
      <c r="B257" s="496" t="s">
        <v>1859</v>
      </c>
      <c r="C257" s="496" t="s">
        <v>631</v>
      </c>
      <c r="D257" s="497">
        <v>44174</v>
      </c>
      <c r="E257" s="498">
        <v>19826</v>
      </c>
      <c r="F257" s="496">
        <v>1002020002</v>
      </c>
      <c r="G257" s="496" t="s">
        <v>1382</v>
      </c>
    </row>
    <row r="258" spans="1:7">
      <c r="A258" s="496" t="s">
        <v>1804</v>
      </c>
      <c r="B258" s="496" t="s">
        <v>1805</v>
      </c>
      <c r="C258" s="496" t="s">
        <v>631</v>
      </c>
      <c r="D258" s="497">
        <v>44210</v>
      </c>
      <c r="E258" s="498">
        <v>17233</v>
      </c>
      <c r="F258" s="496">
        <v>1002020002</v>
      </c>
      <c r="G258" s="496" t="s">
        <v>1806</v>
      </c>
    </row>
    <row r="259" spans="1:7">
      <c r="A259" s="496" t="s">
        <v>1807</v>
      </c>
      <c r="B259" s="496" t="s">
        <v>1808</v>
      </c>
      <c r="C259" s="496" t="s">
        <v>631</v>
      </c>
      <c r="D259" s="497">
        <v>44242</v>
      </c>
      <c r="E259" s="498">
        <v>16552</v>
      </c>
      <c r="F259" s="496">
        <v>1002020002</v>
      </c>
      <c r="G259" s="496" t="s">
        <v>1806</v>
      </c>
    </row>
    <row r="260" spans="1:7">
      <c r="A260" s="496" t="s">
        <v>1809</v>
      </c>
      <c r="B260" s="496" t="s">
        <v>1810</v>
      </c>
      <c r="C260" s="496" t="s">
        <v>631</v>
      </c>
      <c r="D260" s="497">
        <v>44264</v>
      </c>
      <c r="E260" s="498">
        <v>14471</v>
      </c>
      <c r="F260" s="496">
        <v>1002020002</v>
      </c>
      <c r="G260" s="496" t="s">
        <v>1806</v>
      </c>
    </row>
    <row r="261" spans="1:7">
      <c r="A261" s="496" t="s">
        <v>1811</v>
      </c>
      <c r="B261" s="496" t="s">
        <v>1812</v>
      </c>
      <c r="C261" s="496" t="s">
        <v>631</v>
      </c>
      <c r="D261" s="497">
        <v>44298</v>
      </c>
      <c r="E261" s="498">
        <v>15675</v>
      </c>
      <c r="F261" s="496">
        <v>1002020002</v>
      </c>
      <c r="G261" s="496" t="s">
        <v>1806</v>
      </c>
    </row>
    <row r="262" spans="1:7">
      <c r="A262" s="496" t="s">
        <v>1813</v>
      </c>
      <c r="B262" s="496" t="s">
        <v>1814</v>
      </c>
      <c r="C262" s="496" t="s">
        <v>631</v>
      </c>
      <c r="D262" s="497">
        <v>44330</v>
      </c>
      <c r="E262" s="498">
        <v>17143</v>
      </c>
      <c r="F262" s="496">
        <v>1002020002</v>
      </c>
      <c r="G262" s="496" t="s">
        <v>1806</v>
      </c>
    </row>
    <row r="263" spans="1:7">
      <c r="A263" s="496" t="s">
        <v>1815</v>
      </c>
      <c r="B263" s="496" t="s">
        <v>1816</v>
      </c>
      <c r="C263" s="496" t="s">
        <v>631</v>
      </c>
      <c r="D263" s="497">
        <v>44364</v>
      </c>
      <c r="E263" s="498">
        <v>12126</v>
      </c>
      <c r="F263" s="496">
        <v>1002020002</v>
      </c>
      <c r="G263" s="496" t="s">
        <v>1806</v>
      </c>
    </row>
    <row r="264" spans="1:7">
      <c r="A264" s="496" t="s">
        <v>1817</v>
      </c>
      <c r="B264" s="496" t="s">
        <v>1818</v>
      </c>
      <c r="C264" s="496" t="s">
        <v>631</v>
      </c>
      <c r="D264" s="497">
        <v>44386</v>
      </c>
      <c r="E264" s="498">
        <v>14337</v>
      </c>
      <c r="F264" s="496">
        <v>1002020002</v>
      </c>
      <c r="G264" s="496" t="s">
        <v>1819</v>
      </c>
    </row>
    <row r="265" spans="1:7">
      <c r="A265" s="496" t="s">
        <v>1820</v>
      </c>
      <c r="B265" s="496" t="s">
        <v>1821</v>
      </c>
      <c r="C265" s="496" t="s">
        <v>631</v>
      </c>
      <c r="D265" s="497">
        <v>44420</v>
      </c>
      <c r="E265" s="498">
        <v>14291</v>
      </c>
      <c r="F265" s="496">
        <v>1002020002</v>
      </c>
      <c r="G265" s="496" t="s">
        <v>1819</v>
      </c>
    </row>
    <row r="266" spans="1:7">
      <c r="A266" s="496" t="s">
        <v>1822</v>
      </c>
      <c r="B266" s="496" t="s">
        <v>1823</v>
      </c>
      <c r="C266" s="496" t="s">
        <v>631</v>
      </c>
      <c r="D266" s="497">
        <v>44450</v>
      </c>
      <c r="E266" s="498">
        <v>18044</v>
      </c>
      <c r="F266" s="496">
        <v>1002020002</v>
      </c>
      <c r="G266" s="496" t="s">
        <v>1819</v>
      </c>
    </row>
    <row r="267" spans="1:7">
      <c r="A267" s="496" t="s">
        <v>1824</v>
      </c>
      <c r="B267" s="496" t="s">
        <v>1825</v>
      </c>
      <c r="C267" s="496" t="s">
        <v>631</v>
      </c>
      <c r="D267" s="497">
        <v>44490</v>
      </c>
      <c r="E267" s="498">
        <v>17071</v>
      </c>
      <c r="F267" s="496">
        <v>1002020002</v>
      </c>
      <c r="G267" s="496" t="s">
        <v>1819</v>
      </c>
    </row>
    <row r="268" spans="1:7">
      <c r="A268" s="496" t="s">
        <v>1826</v>
      </c>
      <c r="B268" s="496" t="s">
        <v>1827</v>
      </c>
      <c r="C268" s="496" t="s">
        <v>631</v>
      </c>
      <c r="D268" s="497">
        <v>44512</v>
      </c>
      <c r="E268" s="498">
        <v>16422</v>
      </c>
      <c r="F268" s="496">
        <v>1002020002</v>
      </c>
      <c r="G268" s="496" t="s">
        <v>1819</v>
      </c>
    </row>
    <row r="269" spans="1:7">
      <c r="A269" s="496" t="s">
        <v>1828</v>
      </c>
      <c r="B269" s="496" t="s">
        <v>1829</v>
      </c>
      <c r="C269" s="496" t="s">
        <v>631</v>
      </c>
      <c r="D269" s="497">
        <v>44541</v>
      </c>
      <c r="E269" s="498">
        <v>11233</v>
      </c>
      <c r="F269" s="496">
        <v>1002020002</v>
      </c>
      <c r="G269" s="496" t="s">
        <v>1819</v>
      </c>
    </row>
    <row r="270" spans="1:7">
      <c r="A270" s="496" t="s">
        <v>1836</v>
      </c>
      <c r="B270" s="496" t="s">
        <v>1837</v>
      </c>
      <c r="C270" s="496" t="s">
        <v>631</v>
      </c>
      <c r="D270" s="497">
        <v>43841</v>
      </c>
      <c r="E270" s="498">
        <v>33775</v>
      </c>
      <c r="F270" s="496">
        <v>1002020003</v>
      </c>
      <c r="G270" s="496" t="s">
        <v>1382</v>
      </c>
    </row>
    <row r="271" spans="1:7">
      <c r="A271" s="496" t="s">
        <v>1838</v>
      </c>
      <c r="B271" s="496" t="s">
        <v>1839</v>
      </c>
      <c r="C271" s="496" t="s">
        <v>631</v>
      </c>
      <c r="D271" s="497">
        <v>43871</v>
      </c>
      <c r="E271" s="498">
        <v>35055</v>
      </c>
      <c r="F271" s="496">
        <v>1002020003</v>
      </c>
      <c r="G271" s="496" t="s">
        <v>1382</v>
      </c>
    </row>
    <row r="272" spans="1:7">
      <c r="A272" s="496" t="s">
        <v>1840</v>
      </c>
      <c r="B272" s="496" t="s">
        <v>1841</v>
      </c>
      <c r="C272" s="496" t="s">
        <v>631</v>
      </c>
      <c r="D272" s="497">
        <v>43900</v>
      </c>
      <c r="E272" s="498">
        <v>22585</v>
      </c>
      <c r="F272" s="496">
        <v>1002020003</v>
      </c>
      <c r="G272" s="496" t="s">
        <v>1382</v>
      </c>
    </row>
    <row r="273" spans="1:7">
      <c r="A273" s="496" t="s">
        <v>1842</v>
      </c>
      <c r="B273" s="496" t="s">
        <v>1843</v>
      </c>
      <c r="C273" s="496" t="s">
        <v>631</v>
      </c>
      <c r="D273" s="497">
        <v>43934</v>
      </c>
      <c r="E273" s="498">
        <v>20346</v>
      </c>
      <c r="F273" s="496">
        <v>1002020003</v>
      </c>
      <c r="G273" s="496" t="s">
        <v>1382</v>
      </c>
    </row>
    <row r="274" spans="1:7">
      <c r="A274" s="496" t="s">
        <v>1844</v>
      </c>
      <c r="B274" s="496" t="s">
        <v>1845</v>
      </c>
      <c r="C274" s="496" t="s">
        <v>631</v>
      </c>
      <c r="D274" s="497">
        <v>43958</v>
      </c>
      <c r="E274" s="498">
        <v>18660</v>
      </c>
      <c r="F274" s="496">
        <v>1002020003</v>
      </c>
      <c r="G274" s="496" t="s">
        <v>1382</v>
      </c>
    </row>
    <row r="275" spans="1:7">
      <c r="A275" s="496" t="s">
        <v>1846</v>
      </c>
      <c r="B275" s="496" t="s">
        <v>1847</v>
      </c>
      <c r="C275" s="496" t="s">
        <v>631</v>
      </c>
      <c r="D275" s="497">
        <v>44001</v>
      </c>
      <c r="E275" s="498">
        <v>10218</v>
      </c>
      <c r="F275" s="496">
        <v>1002020003</v>
      </c>
      <c r="G275" s="496" t="s">
        <v>1382</v>
      </c>
    </row>
    <row r="276" spans="1:7">
      <c r="A276" s="496" t="s">
        <v>1848</v>
      </c>
      <c r="B276" s="496" t="s">
        <v>1849</v>
      </c>
      <c r="C276" s="496" t="s">
        <v>631</v>
      </c>
      <c r="D276" s="497">
        <v>44015</v>
      </c>
      <c r="E276" s="498">
        <v>9834</v>
      </c>
      <c r="F276" s="496">
        <v>1002020003</v>
      </c>
      <c r="G276" s="496" t="s">
        <v>1382</v>
      </c>
    </row>
    <row r="277" spans="1:7">
      <c r="A277" s="496" t="s">
        <v>1850</v>
      </c>
      <c r="B277" s="496" t="s">
        <v>1851</v>
      </c>
      <c r="C277" s="496" t="s">
        <v>631</v>
      </c>
      <c r="D277" s="497">
        <v>44055</v>
      </c>
      <c r="E277" s="498">
        <v>16741</v>
      </c>
      <c r="F277" s="496">
        <v>1002020003</v>
      </c>
      <c r="G277" s="496" t="s">
        <v>1382</v>
      </c>
    </row>
    <row r="278" spans="1:7">
      <c r="A278" s="496" t="s">
        <v>1852</v>
      </c>
      <c r="B278" s="496" t="s">
        <v>1853</v>
      </c>
      <c r="C278" s="496" t="s">
        <v>631</v>
      </c>
      <c r="D278" s="497">
        <v>44088</v>
      </c>
      <c r="E278" s="498">
        <v>20578</v>
      </c>
      <c r="F278" s="496">
        <v>1002020003</v>
      </c>
      <c r="G278" s="496" t="s">
        <v>1382</v>
      </c>
    </row>
    <row r="279" spans="1:7">
      <c r="A279" s="496" t="s">
        <v>1854</v>
      </c>
      <c r="B279" s="496" t="s">
        <v>1855</v>
      </c>
      <c r="C279" s="496" t="s">
        <v>631</v>
      </c>
      <c r="D279" s="497">
        <v>44118</v>
      </c>
      <c r="E279" s="498">
        <v>16358</v>
      </c>
      <c r="F279" s="496">
        <v>1002020003</v>
      </c>
      <c r="G279" s="496" t="s">
        <v>1382</v>
      </c>
    </row>
    <row r="280" spans="1:7">
      <c r="A280" s="496" t="s">
        <v>1856</v>
      </c>
      <c r="B280" s="496" t="s">
        <v>1857</v>
      </c>
      <c r="C280" s="496" t="s">
        <v>631</v>
      </c>
      <c r="D280" s="497">
        <v>44149</v>
      </c>
      <c r="E280" s="498">
        <v>19068</v>
      </c>
      <c r="F280" s="496">
        <v>1002020003</v>
      </c>
      <c r="G280" s="496" t="s">
        <v>1382</v>
      </c>
    </row>
    <row r="281" spans="1:7">
      <c r="A281" s="496" t="s">
        <v>1858</v>
      </c>
      <c r="B281" s="496" t="s">
        <v>1859</v>
      </c>
      <c r="C281" s="496" t="s">
        <v>631</v>
      </c>
      <c r="D281" s="497">
        <v>44174</v>
      </c>
      <c r="E281" s="498">
        <v>19826</v>
      </c>
      <c r="F281" s="496">
        <v>1002020003</v>
      </c>
      <c r="G281" s="496" t="s">
        <v>1382</v>
      </c>
    </row>
    <row r="282" spans="1:7">
      <c r="A282" s="496" t="s">
        <v>1804</v>
      </c>
      <c r="B282" s="496" t="s">
        <v>1805</v>
      </c>
      <c r="C282" s="496" t="s">
        <v>631</v>
      </c>
      <c r="D282" s="497">
        <v>44210</v>
      </c>
      <c r="E282" s="498">
        <v>17233</v>
      </c>
      <c r="F282" s="496">
        <v>1002020003</v>
      </c>
      <c r="G282" s="496" t="s">
        <v>1806</v>
      </c>
    </row>
    <row r="283" spans="1:7">
      <c r="A283" s="496" t="s">
        <v>1807</v>
      </c>
      <c r="B283" s="496" t="s">
        <v>1808</v>
      </c>
      <c r="C283" s="496" t="s">
        <v>631</v>
      </c>
      <c r="D283" s="497">
        <v>44242</v>
      </c>
      <c r="E283" s="498">
        <v>16552</v>
      </c>
      <c r="F283" s="496">
        <v>1002020003</v>
      </c>
      <c r="G283" s="496" t="s">
        <v>1806</v>
      </c>
    </row>
    <row r="284" spans="1:7">
      <c r="A284" s="496" t="s">
        <v>1809</v>
      </c>
      <c r="B284" s="496" t="s">
        <v>1810</v>
      </c>
      <c r="C284" s="496" t="s">
        <v>631</v>
      </c>
      <c r="D284" s="497">
        <v>44264</v>
      </c>
      <c r="E284" s="498">
        <v>14471</v>
      </c>
      <c r="F284" s="496">
        <v>1002020003</v>
      </c>
      <c r="G284" s="496" t="s">
        <v>1806</v>
      </c>
    </row>
    <row r="285" spans="1:7">
      <c r="A285" s="496" t="s">
        <v>1811</v>
      </c>
      <c r="B285" s="496" t="s">
        <v>1812</v>
      </c>
      <c r="C285" s="496" t="s">
        <v>631</v>
      </c>
      <c r="D285" s="497">
        <v>44298</v>
      </c>
      <c r="E285" s="498">
        <v>15675</v>
      </c>
      <c r="F285" s="496">
        <v>1002020003</v>
      </c>
      <c r="G285" s="496" t="s">
        <v>1806</v>
      </c>
    </row>
    <row r="286" spans="1:7">
      <c r="A286" s="496" t="s">
        <v>1813</v>
      </c>
      <c r="B286" s="496" t="s">
        <v>1814</v>
      </c>
      <c r="C286" s="496" t="s">
        <v>631</v>
      </c>
      <c r="D286" s="497">
        <v>44330</v>
      </c>
      <c r="E286" s="498">
        <v>17143</v>
      </c>
      <c r="F286" s="496">
        <v>1002020003</v>
      </c>
      <c r="G286" s="496" t="s">
        <v>1806</v>
      </c>
    </row>
    <row r="287" spans="1:7">
      <c r="A287" s="496" t="s">
        <v>1815</v>
      </c>
      <c r="B287" s="496" t="s">
        <v>1816</v>
      </c>
      <c r="C287" s="496" t="s">
        <v>631</v>
      </c>
      <c r="D287" s="497">
        <v>44364</v>
      </c>
      <c r="E287" s="498">
        <v>12126</v>
      </c>
      <c r="F287" s="496">
        <v>1002020003</v>
      </c>
      <c r="G287" s="496" t="s">
        <v>1806</v>
      </c>
    </row>
    <row r="288" spans="1:7">
      <c r="A288" s="496" t="s">
        <v>1817</v>
      </c>
      <c r="B288" s="496" t="s">
        <v>1818</v>
      </c>
      <c r="C288" s="496" t="s">
        <v>631</v>
      </c>
      <c r="D288" s="497">
        <v>44386</v>
      </c>
      <c r="E288" s="498">
        <v>14337</v>
      </c>
      <c r="F288" s="496">
        <v>1002020003</v>
      </c>
      <c r="G288" s="496" t="s">
        <v>1819</v>
      </c>
    </row>
    <row r="289" spans="1:7">
      <c r="A289" s="496" t="s">
        <v>1820</v>
      </c>
      <c r="B289" s="496" t="s">
        <v>1821</v>
      </c>
      <c r="C289" s="496" t="s">
        <v>631</v>
      </c>
      <c r="D289" s="497">
        <v>44420</v>
      </c>
      <c r="E289" s="498">
        <v>14290</v>
      </c>
      <c r="F289" s="496">
        <v>1002020003</v>
      </c>
      <c r="G289" s="496" t="s">
        <v>1819</v>
      </c>
    </row>
    <row r="290" spans="1:7">
      <c r="A290" s="496" t="s">
        <v>1822</v>
      </c>
      <c r="B290" s="496" t="s">
        <v>1823</v>
      </c>
      <c r="C290" s="496" t="s">
        <v>631</v>
      </c>
      <c r="D290" s="497">
        <v>44450</v>
      </c>
      <c r="E290" s="498">
        <v>18044</v>
      </c>
      <c r="F290" s="496">
        <v>1002020003</v>
      </c>
      <c r="G290" s="496" t="s">
        <v>1819</v>
      </c>
    </row>
    <row r="291" spans="1:7">
      <c r="A291" s="496" t="s">
        <v>1824</v>
      </c>
      <c r="B291" s="496" t="s">
        <v>1825</v>
      </c>
      <c r="C291" s="496" t="s">
        <v>631</v>
      </c>
      <c r="D291" s="497">
        <v>44490</v>
      </c>
      <c r="E291" s="498">
        <v>17071</v>
      </c>
      <c r="F291" s="496">
        <v>1002020003</v>
      </c>
      <c r="G291" s="496" t="s">
        <v>1819</v>
      </c>
    </row>
    <row r="292" spans="1:7">
      <c r="A292" s="496" t="s">
        <v>1826</v>
      </c>
      <c r="B292" s="496" t="s">
        <v>1827</v>
      </c>
      <c r="C292" s="496" t="s">
        <v>631</v>
      </c>
      <c r="D292" s="497">
        <v>44512</v>
      </c>
      <c r="E292" s="498">
        <v>16422</v>
      </c>
      <c r="F292" s="496">
        <v>1002020003</v>
      </c>
      <c r="G292" s="496" t="s">
        <v>1819</v>
      </c>
    </row>
    <row r="293" spans="1:7">
      <c r="A293" s="496" t="s">
        <v>1828</v>
      </c>
      <c r="B293" s="496" t="s">
        <v>1829</v>
      </c>
      <c r="C293" s="496" t="s">
        <v>631</v>
      </c>
      <c r="D293" s="497">
        <v>44541</v>
      </c>
      <c r="E293" s="498">
        <v>11233</v>
      </c>
      <c r="F293" s="496">
        <v>1002020003</v>
      </c>
      <c r="G293" s="496" t="s">
        <v>1819</v>
      </c>
    </row>
    <row r="294" spans="1:7">
      <c r="A294" s="496" t="s">
        <v>1836</v>
      </c>
      <c r="B294" s="496" t="s">
        <v>1837</v>
      </c>
      <c r="C294" s="496" t="s">
        <v>631</v>
      </c>
      <c r="D294" s="497">
        <v>43841</v>
      </c>
      <c r="E294" s="498">
        <v>33774</v>
      </c>
      <c r="F294" s="496">
        <v>1002030099</v>
      </c>
      <c r="G294" s="496" t="s">
        <v>1382</v>
      </c>
    </row>
    <row r="295" spans="1:7">
      <c r="A295" s="496" t="s">
        <v>1838</v>
      </c>
      <c r="B295" s="496" t="s">
        <v>1839</v>
      </c>
      <c r="C295" s="496" t="s">
        <v>631</v>
      </c>
      <c r="D295" s="497">
        <v>43871</v>
      </c>
      <c r="E295" s="498">
        <v>35055</v>
      </c>
      <c r="F295" s="496">
        <v>1002030099</v>
      </c>
      <c r="G295" s="496" t="s">
        <v>1382</v>
      </c>
    </row>
    <row r="296" spans="1:7">
      <c r="A296" s="496" t="s">
        <v>1840</v>
      </c>
      <c r="B296" s="496" t="s">
        <v>1841</v>
      </c>
      <c r="C296" s="496" t="s">
        <v>631</v>
      </c>
      <c r="D296" s="497">
        <v>43900</v>
      </c>
      <c r="E296" s="498">
        <v>22585</v>
      </c>
      <c r="F296" s="496">
        <v>1002030099</v>
      </c>
      <c r="G296" s="496" t="s">
        <v>1382</v>
      </c>
    </row>
    <row r="297" spans="1:7">
      <c r="A297" s="496" t="s">
        <v>1842</v>
      </c>
      <c r="B297" s="496" t="s">
        <v>1843</v>
      </c>
      <c r="C297" s="496" t="s">
        <v>631</v>
      </c>
      <c r="D297" s="497">
        <v>43934</v>
      </c>
      <c r="E297" s="498">
        <v>20346</v>
      </c>
      <c r="F297" s="496">
        <v>1002030099</v>
      </c>
      <c r="G297" s="496" t="s">
        <v>1382</v>
      </c>
    </row>
    <row r="298" spans="1:7">
      <c r="A298" s="496" t="s">
        <v>1804</v>
      </c>
      <c r="B298" s="496" t="s">
        <v>1805</v>
      </c>
      <c r="C298" s="496" t="s">
        <v>631</v>
      </c>
      <c r="D298" s="497">
        <v>44210</v>
      </c>
      <c r="E298" s="498">
        <v>17233</v>
      </c>
      <c r="F298" s="496">
        <v>1002030099</v>
      </c>
      <c r="G298" s="496" t="s">
        <v>1806</v>
      </c>
    </row>
    <row r="299" spans="1:7">
      <c r="A299" s="496" t="s">
        <v>1807</v>
      </c>
      <c r="B299" s="496" t="s">
        <v>1808</v>
      </c>
      <c r="C299" s="496" t="s">
        <v>631</v>
      </c>
      <c r="D299" s="497">
        <v>44242</v>
      </c>
      <c r="E299" s="498">
        <v>16552</v>
      </c>
      <c r="F299" s="496">
        <v>1002030099</v>
      </c>
      <c r="G299" s="496" t="s">
        <v>1806</v>
      </c>
    </row>
    <row r="300" spans="1:7">
      <c r="A300" s="496" t="s">
        <v>1809</v>
      </c>
      <c r="B300" s="496" t="s">
        <v>1810</v>
      </c>
      <c r="C300" s="496" t="s">
        <v>631</v>
      </c>
      <c r="D300" s="497">
        <v>44264</v>
      </c>
      <c r="E300" s="498">
        <v>14471</v>
      </c>
      <c r="F300" s="496">
        <v>1002030099</v>
      </c>
      <c r="G300" s="496" t="s">
        <v>1806</v>
      </c>
    </row>
    <row r="301" spans="1:7">
      <c r="A301" s="496" t="s">
        <v>1811</v>
      </c>
      <c r="B301" s="496" t="s">
        <v>1812</v>
      </c>
      <c r="C301" s="496" t="s">
        <v>631</v>
      </c>
      <c r="D301" s="497">
        <v>44298</v>
      </c>
      <c r="E301" s="498">
        <v>15675</v>
      </c>
      <c r="F301" s="496">
        <v>1002030099</v>
      </c>
      <c r="G301" s="496" t="s">
        <v>1806</v>
      </c>
    </row>
    <row r="302" spans="1:7">
      <c r="A302" s="496" t="s">
        <v>1813</v>
      </c>
      <c r="B302" s="496" t="s">
        <v>1814</v>
      </c>
      <c r="C302" s="496" t="s">
        <v>631</v>
      </c>
      <c r="D302" s="497">
        <v>44330</v>
      </c>
      <c r="E302" s="498">
        <v>17143</v>
      </c>
      <c r="F302" s="496">
        <v>1002030099</v>
      </c>
      <c r="G302" s="496" t="s">
        <v>1806</v>
      </c>
    </row>
    <row r="303" spans="1:7">
      <c r="A303" s="496" t="s">
        <v>1815</v>
      </c>
      <c r="B303" s="496" t="s">
        <v>1816</v>
      </c>
      <c r="C303" s="496" t="s">
        <v>631</v>
      </c>
      <c r="D303" s="497">
        <v>44364</v>
      </c>
      <c r="E303" s="498">
        <v>12126</v>
      </c>
      <c r="F303" s="496">
        <v>1002030099</v>
      </c>
      <c r="G303" s="496" t="s">
        <v>1806</v>
      </c>
    </row>
    <row r="304" spans="1:7">
      <c r="A304" s="496" t="s">
        <v>1817</v>
      </c>
      <c r="B304" s="496" t="s">
        <v>1818</v>
      </c>
      <c r="C304" s="496" t="s">
        <v>631</v>
      </c>
      <c r="D304" s="497">
        <v>44386</v>
      </c>
      <c r="E304" s="498">
        <v>14337</v>
      </c>
      <c r="F304" s="496">
        <v>1002030099</v>
      </c>
      <c r="G304" s="496" t="s">
        <v>1819</v>
      </c>
    </row>
    <row r="305" spans="1:7">
      <c r="A305" s="496" t="s">
        <v>1820</v>
      </c>
      <c r="B305" s="496" t="s">
        <v>1821</v>
      </c>
      <c r="C305" s="496" t="s">
        <v>631</v>
      </c>
      <c r="D305" s="497">
        <v>44420</v>
      </c>
      <c r="E305" s="498">
        <v>14290</v>
      </c>
      <c r="F305" s="496">
        <v>1002030099</v>
      </c>
      <c r="G305" s="496" t="s">
        <v>1819</v>
      </c>
    </row>
    <row r="306" spans="1:7">
      <c r="A306" s="496" t="s">
        <v>1822</v>
      </c>
      <c r="B306" s="496" t="s">
        <v>1823</v>
      </c>
      <c r="C306" s="496" t="s">
        <v>631</v>
      </c>
      <c r="D306" s="497">
        <v>44450</v>
      </c>
      <c r="E306" s="498">
        <v>18044</v>
      </c>
      <c r="F306" s="496">
        <v>1002030099</v>
      </c>
      <c r="G306" s="496" t="s">
        <v>1819</v>
      </c>
    </row>
    <row r="307" spans="1:7">
      <c r="A307" s="496" t="s">
        <v>1824</v>
      </c>
      <c r="B307" s="496" t="s">
        <v>1825</v>
      </c>
      <c r="C307" s="496" t="s">
        <v>631</v>
      </c>
      <c r="D307" s="497">
        <v>44490</v>
      </c>
      <c r="E307" s="498">
        <v>17071</v>
      </c>
      <c r="F307" s="496">
        <v>1002030099</v>
      </c>
      <c r="G307" s="496" t="s">
        <v>1819</v>
      </c>
    </row>
    <row r="308" spans="1:7">
      <c r="A308" s="496" t="s">
        <v>1826</v>
      </c>
      <c r="B308" s="496" t="s">
        <v>1827</v>
      </c>
      <c r="C308" s="496" t="s">
        <v>631</v>
      </c>
      <c r="D308" s="497">
        <v>44512</v>
      </c>
      <c r="E308" s="498">
        <v>16422</v>
      </c>
      <c r="F308" s="496">
        <v>1002030099</v>
      </c>
      <c r="G308" s="496" t="s">
        <v>1819</v>
      </c>
    </row>
    <row r="309" spans="1:7">
      <c r="A309" s="496" t="s">
        <v>1828</v>
      </c>
      <c r="B309" s="496" t="s">
        <v>1829</v>
      </c>
      <c r="C309" s="496" t="s">
        <v>631</v>
      </c>
      <c r="D309" s="497">
        <v>44541</v>
      </c>
      <c r="E309" s="498">
        <v>11233</v>
      </c>
      <c r="F309" s="496">
        <v>1002030099</v>
      </c>
      <c r="G309" s="496" t="s">
        <v>1819</v>
      </c>
    </row>
    <row r="310" spans="1:7">
      <c r="A310" s="496" t="s">
        <v>1804</v>
      </c>
      <c r="B310" s="496" t="s">
        <v>1805</v>
      </c>
      <c r="C310" s="496" t="s">
        <v>631</v>
      </c>
      <c r="D310" s="497">
        <v>44210</v>
      </c>
      <c r="E310" s="498">
        <v>17233</v>
      </c>
      <c r="F310" s="496">
        <v>1003990001</v>
      </c>
      <c r="G310" s="496" t="s">
        <v>1806</v>
      </c>
    </row>
    <row r="311" spans="1:7">
      <c r="A311" s="496" t="s">
        <v>1807</v>
      </c>
      <c r="B311" s="496" t="s">
        <v>1808</v>
      </c>
      <c r="C311" s="496" t="s">
        <v>631</v>
      </c>
      <c r="D311" s="497">
        <v>44242</v>
      </c>
      <c r="E311" s="498">
        <v>16552</v>
      </c>
      <c r="F311" s="496">
        <v>1003990001</v>
      </c>
      <c r="G311" s="496" t="s">
        <v>1806</v>
      </c>
    </row>
    <row r="312" spans="1:7">
      <c r="A312" s="496" t="s">
        <v>1809</v>
      </c>
      <c r="B312" s="496" t="s">
        <v>1810</v>
      </c>
      <c r="C312" s="496" t="s">
        <v>631</v>
      </c>
      <c r="D312" s="497">
        <v>44264</v>
      </c>
      <c r="E312" s="498">
        <v>14471</v>
      </c>
      <c r="F312" s="496">
        <v>1003990001</v>
      </c>
      <c r="G312" s="496" t="s">
        <v>1806</v>
      </c>
    </row>
    <row r="313" spans="1:7">
      <c r="A313" s="496" t="s">
        <v>1811</v>
      </c>
      <c r="B313" s="496" t="s">
        <v>1812</v>
      </c>
      <c r="C313" s="496" t="s">
        <v>631</v>
      </c>
      <c r="D313" s="497">
        <v>44298</v>
      </c>
      <c r="E313" s="498">
        <v>15675</v>
      </c>
      <c r="F313" s="496">
        <v>1003990001</v>
      </c>
      <c r="G313" s="496" t="s">
        <v>1806</v>
      </c>
    </row>
    <row r="314" spans="1:7">
      <c r="A314" s="496" t="s">
        <v>1813</v>
      </c>
      <c r="B314" s="496" t="s">
        <v>1814</v>
      </c>
      <c r="C314" s="496" t="s">
        <v>631</v>
      </c>
      <c r="D314" s="497">
        <v>44330</v>
      </c>
      <c r="E314" s="498">
        <v>17143</v>
      </c>
      <c r="F314" s="496">
        <v>1003990001</v>
      </c>
      <c r="G314" s="496" t="s">
        <v>1806</v>
      </c>
    </row>
    <row r="315" spans="1:7">
      <c r="A315" s="496" t="s">
        <v>1815</v>
      </c>
      <c r="B315" s="496" t="s">
        <v>1816</v>
      </c>
      <c r="C315" s="496" t="s">
        <v>631</v>
      </c>
      <c r="D315" s="497">
        <v>44364</v>
      </c>
      <c r="E315" s="498">
        <v>12126</v>
      </c>
      <c r="F315" s="496">
        <v>1003990001</v>
      </c>
      <c r="G315" s="496" t="s">
        <v>1806</v>
      </c>
    </row>
    <row r="316" spans="1:7">
      <c r="A316" s="496" t="s">
        <v>1817</v>
      </c>
      <c r="B316" s="496" t="s">
        <v>1818</v>
      </c>
      <c r="C316" s="496" t="s">
        <v>631</v>
      </c>
      <c r="D316" s="497">
        <v>44386</v>
      </c>
      <c r="E316" s="498">
        <v>14337</v>
      </c>
      <c r="F316" s="496">
        <v>1003990001</v>
      </c>
      <c r="G316" s="496" t="s">
        <v>1819</v>
      </c>
    </row>
    <row r="317" spans="1:7">
      <c r="A317" s="496" t="s">
        <v>1820</v>
      </c>
      <c r="B317" s="496" t="s">
        <v>1821</v>
      </c>
      <c r="C317" s="496" t="s">
        <v>631</v>
      </c>
      <c r="D317" s="497">
        <v>44420</v>
      </c>
      <c r="E317" s="498">
        <v>14290</v>
      </c>
      <c r="F317" s="496">
        <v>1003990001</v>
      </c>
      <c r="G317" s="496" t="s">
        <v>1819</v>
      </c>
    </row>
    <row r="318" spans="1:7">
      <c r="A318" s="496" t="s">
        <v>1822</v>
      </c>
      <c r="B318" s="496" t="s">
        <v>1823</v>
      </c>
      <c r="C318" s="496" t="s">
        <v>631</v>
      </c>
      <c r="D318" s="497">
        <v>44450</v>
      </c>
      <c r="E318" s="498">
        <v>18044</v>
      </c>
      <c r="F318" s="496">
        <v>1003990001</v>
      </c>
      <c r="G318" s="496" t="s">
        <v>1819</v>
      </c>
    </row>
    <row r="319" spans="1:7">
      <c r="A319" s="496" t="s">
        <v>1824</v>
      </c>
      <c r="B319" s="496" t="s">
        <v>1825</v>
      </c>
      <c r="C319" s="496" t="s">
        <v>631</v>
      </c>
      <c r="D319" s="497">
        <v>44490</v>
      </c>
      <c r="E319" s="498">
        <v>17071</v>
      </c>
      <c r="F319" s="496">
        <v>1003990001</v>
      </c>
      <c r="G319" s="496" t="s">
        <v>1819</v>
      </c>
    </row>
    <row r="320" spans="1:7">
      <c r="A320" s="496" t="s">
        <v>1826</v>
      </c>
      <c r="B320" s="496" t="s">
        <v>1827</v>
      </c>
      <c r="C320" s="496" t="s">
        <v>631</v>
      </c>
      <c r="D320" s="497">
        <v>44512</v>
      </c>
      <c r="E320" s="498">
        <v>16422</v>
      </c>
      <c r="F320" s="496">
        <v>1003990001</v>
      </c>
      <c r="G320" s="496" t="s">
        <v>1819</v>
      </c>
    </row>
    <row r="321" spans="1:7">
      <c r="A321" s="496" t="s">
        <v>1828</v>
      </c>
      <c r="B321" s="496" t="s">
        <v>1829</v>
      </c>
      <c r="C321" s="496" t="s">
        <v>631</v>
      </c>
      <c r="D321" s="497">
        <v>44541</v>
      </c>
      <c r="E321" s="498">
        <v>11233</v>
      </c>
      <c r="F321" s="496">
        <v>1003990001</v>
      </c>
      <c r="G321" s="496" t="s">
        <v>1819</v>
      </c>
    </row>
    <row r="322" spans="1:7">
      <c r="A322" s="496" t="s">
        <v>1860</v>
      </c>
      <c r="B322" s="496" t="s">
        <v>1861</v>
      </c>
      <c r="C322" s="496" t="s">
        <v>631</v>
      </c>
      <c r="D322" s="497">
        <v>44242</v>
      </c>
      <c r="E322" s="498">
        <v>15609</v>
      </c>
      <c r="F322" s="496">
        <v>1007010001</v>
      </c>
      <c r="G322" s="496" t="s">
        <v>1862</v>
      </c>
    </row>
    <row r="323" spans="1:7">
      <c r="A323" s="496" t="s">
        <v>1807</v>
      </c>
      <c r="B323" s="496" t="s">
        <v>1863</v>
      </c>
      <c r="C323" s="496" t="s">
        <v>631</v>
      </c>
      <c r="D323" s="497">
        <v>44242</v>
      </c>
      <c r="E323" s="498">
        <v>16552</v>
      </c>
      <c r="F323" s="496">
        <v>1007010001</v>
      </c>
      <c r="G323" s="496" t="s">
        <v>1806</v>
      </c>
    </row>
    <row r="324" spans="1:7">
      <c r="A324" s="496" t="s">
        <v>1809</v>
      </c>
      <c r="B324" s="496" t="s">
        <v>1864</v>
      </c>
      <c r="C324" s="496" t="s">
        <v>631</v>
      </c>
      <c r="D324" s="497">
        <v>44264</v>
      </c>
      <c r="E324" s="498">
        <v>14471</v>
      </c>
      <c r="F324" s="496">
        <v>1007010001</v>
      </c>
      <c r="G324" s="496" t="s">
        <v>1806</v>
      </c>
    </row>
    <row r="325" spans="1:7">
      <c r="A325" s="496" t="s">
        <v>1811</v>
      </c>
      <c r="B325" s="496" t="s">
        <v>1865</v>
      </c>
      <c r="C325" s="496" t="s">
        <v>631</v>
      </c>
      <c r="D325" s="497">
        <v>44298</v>
      </c>
      <c r="E325" s="498">
        <v>15675</v>
      </c>
      <c r="F325" s="496">
        <v>1007010001</v>
      </c>
      <c r="G325" s="496" t="s">
        <v>1806</v>
      </c>
    </row>
    <row r="326" spans="1:7">
      <c r="A326" s="496" t="s">
        <v>1813</v>
      </c>
      <c r="B326" s="496" t="s">
        <v>1866</v>
      </c>
      <c r="C326" s="496" t="s">
        <v>631</v>
      </c>
      <c r="D326" s="497">
        <v>44330</v>
      </c>
      <c r="E326" s="498">
        <v>17143</v>
      </c>
      <c r="F326" s="496">
        <v>1007010001</v>
      </c>
      <c r="G326" s="496" t="s">
        <v>1806</v>
      </c>
    </row>
    <row r="327" spans="1:7">
      <c r="A327" s="496" t="s">
        <v>1867</v>
      </c>
      <c r="B327" s="496" t="s">
        <v>1868</v>
      </c>
      <c r="C327" s="496" t="s">
        <v>631</v>
      </c>
      <c r="D327" s="497">
        <v>44355</v>
      </c>
      <c r="E327" s="498">
        <v>9431</v>
      </c>
      <c r="F327" s="496">
        <v>1007010001</v>
      </c>
      <c r="G327" s="496" t="s">
        <v>1869</v>
      </c>
    </row>
    <row r="328" spans="1:7">
      <c r="A328" s="496" t="s">
        <v>1815</v>
      </c>
      <c r="B328" s="496" t="s">
        <v>1870</v>
      </c>
      <c r="C328" s="496" t="s">
        <v>631</v>
      </c>
      <c r="D328" s="497">
        <v>44364</v>
      </c>
      <c r="E328" s="498">
        <v>12126</v>
      </c>
      <c r="F328" s="496">
        <v>1007010001</v>
      </c>
      <c r="G328" s="496" t="s">
        <v>1806</v>
      </c>
    </row>
    <row r="329" spans="1:7">
      <c r="A329" s="496" t="s">
        <v>1817</v>
      </c>
      <c r="B329" s="496" t="s">
        <v>1871</v>
      </c>
      <c r="C329" s="496" t="s">
        <v>631</v>
      </c>
      <c r="D329" s="497">
        <v>44385</v>
      </c>
      <c r="E329" s="498">
        <v>14337</v>
      </c>
      <c r="F329" s="496">
        <v>1007010001</v>
      </c>
      <c r="G329" s="496" t="s">
        <v>1819</v>
      </c>
    </row>
    <row r="330" spans="1:7">
      <c r="A330" s="496" t="s">
        <v>1872</v>
      </c>
      <c r="B330" s="496" t="s">
        <v>1873</v>
      </c>
      <c r="C330" s="496" t="s">
        <v>631</v>
      </c>
      <c r="D330" s="497">
        <v>44396</v>
      </c>
      <c r="E330" s="498">
        <v>43634</v>
      </c>
      <c r="F330" s="496">
        <v>1007010001</v>
      </c>
      <c r="G330" s="496" t="s">
        <v>1874</v>
      </c>
    </row>
    <row r="331" spans="1:7">
      <c r="A331" s="496" t="s">
        <v>1820</v>
      </c>
      <c r="B331" s="496" t="s">
        <v>1875</v>
      </c>
      <c r="C331" s="496" t="s">
        <v>631</v>
      </c>
      <c r="D331" s="497">
        <v>44420</v>
      </c>
      <c r="E331" s="498">
        <v>14290</v>
      </c>
      <c r="F331" s="496">
        <v>1007010001</v>
      </c>
      <c r="G331" s="496" t="s">
        <v>1806</v>
      </c>
    </row>
    <row r="332" spans="1:7">
      <c r="A332" s="496" t="s">
        <v>1822</v>
      </c>
      <c r="B332" s="496" t="s">
        <v>1876</v>
      </c>
      <c r="C332" s="496" t="s">
        <v>631</v>
      </c>
      <c r="D332" s="497">
        <v>44450</v>
      </c>
      <c r="E332" s="498">
        <v>18044</v>
      </c>
      <c r="F332" s="496">
        <v>1007010001</v>
      </c>
      <c r="G332" s="496" t="s">
        <v>1806</v>
      </c>
    </row>
    <row r="333" spans="1:7">
      <c r="A333" s="496" t="s">
        <v>1877</v>
      </c>
      <c r="B333" s="496" t="s">
        <v>1878</v>
      </c>
      <c r="C333" s="496" t="s">
        <v>631</v>
      </c>
      <c r="D333" s="497">
        <v>44454</v>
      </c>
      <c r="E333" s="498">
        <v>48657</v>
      </c>
      <c r="F333" s="496">
        <v>1007010001</v>
      </c>
      <c r="G333" s="496" t="s">
        <v>1879</v>
      </c>
    </row>
    <row r="334" spans="1:7">
      <c r="A334" s="496" t="s">
        <v>1880</v>
      </c>
      <c r="B334" s="496" t="s">
        <v>1881</v>
      </c>
      <c r="C334" s="496" t="s">
        <v>631</v>
      </c>
      <c r="D334" s="497">
        <v>44488</v>
      </c>
      <c r="E334" s="498">
        <v>44249</v>
      </c>
      <c r="F334" s="496">
        <v>1007010001</v>
      </c>
      <c r="G334" s="496" t="s">
        <v>1882</v>
      </c>
    </row>
    <row r="335" spans="1:7">
      <c r="A335" s="496" t="s">
        <v>1824</v>
      </c>
      <c r="B335" s="496" t="s">
        <v>1883</v>
      </c>
      <c r="C335" s="496" t="s">
        <v>631</v>
      </c>
      <c r="D335" s="497">
        <v>44490</v>
      </c>
      <c r="E335" s="498">
        <v>17071</v>
      </c>
      <c r="F335" s="496">
        <v>1007010001</v>
      </c>
      <c r="G335" s="496" t="s">
        <v>1806</v>
      </c>
    </row>
    <row r="336" spans="1:7">
      <c r="A336" s="496" t="s">
        <v>1826</v>
      </c>
      <c r="B336" s="496" t="s">
        <v>1884</v>
      </c>
      <c r="C336" s="496" t="s">
        <v>631</v>
      </c>
      <c r="D336" s="497">
        <v>44512</v>
      </c>
      <c r="E336" s="498">
        <v>16422</v>
      </c>
      <c r="F336" s="496">
        <v>1007010001</v>
      </c>
      <c r="G336" s="496" t="s">
        <v>1806</v>
      </c>
    </row>
    <row r="337" spans="1:7">
      <c r="A337" s="496" t="s">
        <v>1885</v>
      </c>
      <c r="B337" s="496" t="s">
        <v>1886</v>
      </c>
      <c r="C337" s="496" t="s">
        <v>631</v>
      </c>
      <c r="D337" s="497">
        <v>44518</v>
      </c>
      <c r="E337" s="498">
        <v>44534</v>
      </c>
      <c r="F337" s="496">
        <v>1007010001</v>
      </c>
      <c r="G337" s="496" t="s">
        <v>1874</v>
      </c>
    </row>
    <row r="338" spans="1:7">
      <c r="A338" s="496" t="s">
        <v>1828</v>
      </c>
      <c r="B338" s="496" t="s">
        <v>1887</v>
      </c>
      <c r="C338" s="496" t="s">
        <v>631</v>
      </c>
      <c r="D338" s="497">
        <v>44541</v>
      </c>
      <c r="E338" s="498">
        <v>11233</v>
      </c>
      <c r="F338" s="496">
        <v>1007010001</v>
      </c>
      <c r="G338" s="496" t="s">
        <v>1806</v>
      </c>
    </row>
    <row r="339" spans="1:7">
      <c r="A339" s="496" t="s">
        <v>1888</v>
      </c>
      <c r="B339" s="496" t="s">
        <v>1889</v>
      </c>
      <c r="C339" s="496" t="s">
        <v>631</v>
      </c>
      <c r="D339" s="497">
        <v>44541</v>
      </c>
      <c r="E339" s="498">
        <v>45074</v>
      </c>
      <c r="F339" s="496">
        <v>1007010001</v>
      </c>
      <c r="G339" s="496" t="s">
        <v>1862</v>
      </c>
    </row>
    <row r="340" spans="1:7">
      <c r="A340" s="496" t="s">
        <v>1836</v>
      </c>
      <c r="B340" s="496" t="s">
        <v>1837</v>
      </c>
      <c r="C340" s="496" t="s">
        <v>631</v>
      </c>
      <c r="D340" s="497">
        <v>43841</v>
      </c>
      <c r="E340" s="498">
        <v>33774</v>
      </c>
      <c r="F340" s="496">
        <v>1007010002</v>
      </c>
      <c r="G340" s="496" t="s">
        <v>1382</v>
      </c>
    </row>
    <row r="341" spans="1:7">
      <c r="A341" s="496" t="s">
        <v>1840</v>
      </c>
      <c r="B341" s="496" t="s">
        <v>1841</v>
      </c>
      <c r="C341" s="496" t="s">
        <v>631</v>
      </c>
      <c r="D341" s="497">
        <v>43900</v>
      </c>
      <c r="E341" s="498">
        <v>22585</v>
      </c>
      <c r="F341" s="496">
        <v>1007010002</v>
      </c>
      <c r="G341" s="496" t="s">
        <v>1382</v>
      </c>
    </row>
    <row r="342" spans="1:7">
      <c r="A342" s="496" t="s">
        <v>1842</v>
      </c>
      <c r="B342" s="496" t="s">
        <v>1843</v>
      </c>
      <c r="C342" s="496" t="s">
        <v>631</v>
      </c>
      <c r="D342" s="497">
        <v>43934</v>
      </c>
      <c r="E342" s="498">
        <v>20346</v>
      </c>
      <c r="F342" s="496">
        <v>1007010002</v>
      </c>
      <c r="G342" s="496" t="s">
        <v>1382</v>
      </c>
    </row>
    <row r="343" spans="1:7">
      <c r="A343" s="496" t="s">
        <v>1844</v>
      </c>
      <c r="B343" s="496" t="s">
        <v>1845</v>
      </c>
      <c r="C343" s="496" t="s">
        <v>631</v>
      </c>
      <c r="D343" s="497">
        <v>43958</v>
      </c>
      <c r="E343" s="498">
        <v>18660</v>
      </c>
      <c r="F343" s="496">
        <v>1007010002</v>
      </c>
      <c r="G343" s="496" t="s">
        <v>1382</v>
      </c>
    </row>
    <row r="344" spans="1:7">
      <c r="A344" s="496" t="s">
        <v>1890</v>
      </c>
      <c r="B344" s="496" t="s">
        <v>1891</v>
      </c>
      <c r="C344" s="496" t="s">
        <v>631</v>
      </c>
      <c r="D344" s="497">
        <v>43977</v>
      </c>
      <c r="E344" s="498">
        <v>11333</v>
      </c>
      <c r="F344" s="496">
        <v>1007010002</v>
      </c>
      <c r="G344" s="496" t="s">
        <v>1892</v>
      </c>
    </row>
    <row r="345" spans="1:7">
      <c r="A345" s="496" t="s">
        <v>1893</v>
      </c>
      <c r="B345" s="496" t="s">
        <v>1894</v>
      </c>
      <c r="C345" s="496" t="s">
        <v>631</v>
      </c>
      <c r="D345" s="497">
        <v>43993</v>
      </c>
      <c r="E345" s="498">
        <v>8135</v>
      </c>
      <c r="F345" s="496">
        <v>1007010002</v>
      </c>
      <c r="G345" s="496" t="s">
        <v>1895</v>
      </c>
    </row>
    <row r="346" spans="1:7">
      <c r="A346" s="496" t="s">
        <v>1846</v>
      </c>
      <c r="B346" s="496" t="s">
        <v>1847</v>
      </c>
      <c r="C346" s="496" t="s">
        <v>631</v>
      </c>
      <c r="D346" s="497">
        <v>44001</v>
      </c>
      <c r="E346" s="498">
        <v>10218</v>
      </c>
      <c r="F346" s="496">
        <v>1007010002</v>
      </c>
      <c r="G346" s="496" t="s">
        <v>1382</v>
      </c>
    </row>
    <row r="347" spans="1:7">
      <c r="A347" s="496" t="s">
        <v>1848</v>
      </c>
      <c r="B347" s="496" t="s">
        <v>1849</v>
      </c>
      <c r="C347" s="496" t="s">
        <v>631</v>
      </c>
      <c r="D347" s="497">
        <v>44015</v>
      </c>
      <c r="E347" s="498">
        <v>9834</v>
      </c>
      <c r="F347" s="496">
        <v>1007010002</v>
      </c>
      <c r="G347" s="496" t="s">
        <v>1382</v>
      </c>
    </row>
    <row r="348" spans="1:7">
      <c r="A348" s="496" t="s">
        <v>1896</v>
      </c>
      <c r="B348" s="496" t="s">
        <v>1897</v>
      </c>
      <c r="C348" s="496" t="s">
        <v>631</v>
      </c>
      <c r="D348" s="497">
        <v>44025</v>
      </c>
      <c r="E348" s="498">
        <v>7506</v>
      </c>
      <c r="F348" s="496">
        <v>1007010002</v>
      </c>
      <c r="G348" s="496" t="s">
        <v>1898</v>
      </c>
    </row>
    <row r="349" spans="1:7">
      <c r="A349" s="496" t="s">
        <v>1850</v>
      </c>
      <c r="B349" s="496" t="s">
        <v>1851</v>
      </c>
      <c r="C349" s="496" t="s">
        <v>631</v>
      </c>
      <c r="D349" s="497">
        <v>44055</v>
      </c>
      <c r="E349" s="498">
        <v>16741</v>
      </c>
      <c r="F349" s="496">
        <v>1007010002</v>
      </c>
      <c r="G349" s="496" t="s">
        <v>1382</v>
      </c>
    </row>
    <row r="350" spans="1:7">
      <c r="A350" s="496" t="s">
        <v>1899</v>
      </c>
      <c r="B350" s="496" t="s">
        <v>1900</v>
      </c>
      <c r="C350" s="496" t="s">
        <v>631</v>
      </c>
      <c r="D350" s="497">
        <v>44055</v>
      </c>
      <c r="E350" s="498">
        <v>7507</v>
      </c>
      <c r="F350" s="496">
        <v>1007010002</v>
      </c>
      <c r="G350" s="496" t="s">
        <v>1901</v>
      </c>
    </row>
    <row r="351" spans="1:7">
      <c r="A351" s="496" t="s">
        <v>1902</v>
      </c>
      <c r="B351" s="496" t="s">
        <v>1903</v>
      </c>
      <c r="C351" s="496" t="s">
        <v>631</v>
      </c>
      <c r="D351" s="497">
        <v>44088</v>
      </c>
      <c r="E351" s="498">
        <v>7506</v>
      </c>
      <c r="F351" s="496">
        <v>1007010002</v>
      </c>
      <c r="G351" s="496" t="s">
        <v>1874</v>
      </c>
    </row>
    <row r="352" spans="1:7">
      <c r="A352" s="496" t="s">
        <v>1852</v>
      </c>
      <c r="B352" s="496" t="s">
        <v>1853</v>
      </c>
      <c r="C352" s="496" t="s">
        <v>631</v>
      </c>
      <c r="D352" s="497">
        <v>44088</v>
      </c>
      <c r="E352" s="498">
        <v>20578</v>
      </c>
      <c r="F352" s="496">
        <v>1007010002</v>
      </c>
      <c r="G352" s="496" t="s">
        <v>1382</v>
      </c>
    </row>
    <row r="353" spans="1:7">
      <c r="A353" s="496" t="s">
        <v>1854</v>
      </c>
      <c r="B353" s="496" t="s">
        <v>1855</v>
      </c>
      <c r="C353" s="496" t="s">
        <v>631</v>
      </c>
      <c r="D353" s="497">
        <v>44118</v>
      </c>
      <c r="E353" s="498">
        <v>16358</v>
      </c>
      <c r="F353" s="496">
        <v>1007010002</v>
      </c>
      <c r="G353" s="496" t="s">
        <v>1382</v>
      </c>
    </row>
    <row r="354" spans="1:7">
      <c r="A354" s="496" t="s">
        <v>1856</v>
      </c>
      <c r="B354" s="496" t="s">
        <v>1857</v>
      </c>
      <c r="C354" s="496" t="s">
        <v>631</v>
      </c>
      <c r="D354" s="497">
        <v>44149</v>
      </c>
      <c r="E354" s="498">
        <v>19068</v>
      </c>
      <c r="F354" s="496">
        <v>1007010002</v>
      </c>
      <c r="G354" s="496" t="s">
        <v>1382</v>
      </c>
    </row>
    <row r="355" spans="1:7">
      <c r="A355" s="496" t="s">
        <v>1904</v>
      </c>
      <c r="B355" s="496" t="s">
        <v>1905</v>
      </c>
      <c r="C355" s="496" t="s">
        <v>631</v>
      </c>
      <c r="D355" s="497">
        <v>44152</v>
      </c>
      <c r="E355" s="498">
        <v>12272</v>
      </c>
      <c r="F355" s="496">
        <v>1007010002</v>
      </c>
      <c r="G355" s="496" t="s">
        <v>1382</v>
      </c>
    </row>
    <row r="356" spans="1:7">
      <c r="A356" s="496" t="s">
        <v>1904</v>
      </c>
      <c r="B356" s="496" t="s">
        <v>1906</v>
      </c>
      <c r="C356" s="496" t="s">
        <v>631</v>
      </c>
      <c r="D356" s="497">
        <v>44152</v>
      </c>
      <c r="E356" s="498">
        <v>9413</v>
      </c>
      <c r="F356" s="496">
        <v>1007010002</v>
      </c>
      <c r="G356" s="496" t="s">
        <v>1892</v>
      </c>
    </row>
    <row r="357" spans="1:7">
      <c r="A357" s="496" t="s">
        <v>1858</v>
      </c>
      <c r="B357" s="496" t="s">
        <v>1859</v>
      </c>
      <c r="C357" s="496" t="s">
        <v>631</v>
      </c>
      <c r="D357" s="497">
        <v>44174</v>
      </c>
      <c r="E357" s="498">
        <v>19826</v>
      </c>
      <c r="F357" s="496">
        <v>1007010002</v>
      </c>
      <c r="G357" s="496" t="s">
        <v>1382</v>
      </c>
    </row>
    <row r="358" spans="1:7">
      <c r="A358" s="496" t="s">
        <v>1907</v>
      </c>
      <c r="B358" s="496" t="s">
        <v>1908</v>
      </c>
      <c r="C358" s="496" t="s">
        <v>631</v>
      </c>
      <c r="D358" s="497">
        <v>44176</v>
      </c>
      <c r="E358" s="498">
        <v>11404</v>
      </c>
      <c r="F358" s="496">
        <v>1007010002</v>
      </c>
      <c r="G358" s="496" t="s">
        <v>1892</v>
      </c>
    </row>
    <row r="359" spans="1:7">
      <c r="A359" s="496" t="s">
        <v>1909</v>
      </c>
      <c r="B359" s="496" t="s">
        <v>1910</v>
      </c>
      <c r="C359" s="496" t="s">
        <v>631</v>
      </c>
      <c r="D359" s="497">
        <v>44210</v>
      </c>
      <c r="E359" s="498">
        <v>15476</v>
      </c>
      <c r="F359" s="496">
        <v>1007010002</v>
      </c>
      <c r="G359" s="496" t="s">
        <v>1911</v>
      </c>
    </row>
    <row r="360" spans="1:7">
      <c r="A360" s="496" t="s">
        <v>1804</v>
      </c>
      <c r="B360" s="496" t="s">
        <v>1912</v>
      </c>
      <c r="C360" s="496" t="s">
        <v>631</v>
      </c>
      <c r="D360" s="497">
        <v>44210</v>
      </c>
      <c r="E360" s="498">
        <v>17233</v>
      </c>
      <c r="F360" s="496">
        <v>1007010002</v>
      </c>
      <c r="G360" s="496" t="s">
        <v>1806</v>
      </c>
    </row>
    <row r="361" spans="1:7">
      <c r="A361" s="496" t="s">
        <v>1913</v>
      </c>
      <c r="B361" s="496" t="s">
        <v>1914</v>
      </c>
      <c r="C361" s="496" t="s">
        <v>631</v>
      </c>
      <c r="D361" s="497">
        <v>44214</v>
      </c>
      <c r="E361" s="498">
        <v>15659</v>
      </c>
      <c r="F361" s="496">
        <v>1007010002</v>
      </c>
      <c r="G361" s="496" t="s">
        <v>1915</v>
      </c>
    </row>
    <row r="362" spans="1:7">
      <c r="A362" s="496" t="s">
        <v>1860</v>
      </c>
      <c r="B362" s="496" t="s">
        <v>1861</v>
      </c>
      <c r="C362" s="496" t="s">
        <v>631</v>
      </c>
      <c r="D362" s="497">
        <v>44242</v>
      </c>
      <c r="E362" s="498">
        <v>15609</v>
      </c>
      <c r="F362" s="496">
        <v>1007010002</v>
      </c>
      <c r="G362" s="496" t="s">
        <v>1862</v>
      </c>
    </row>
    <row r="363" spans="1:7">
      <c r="A363" s="496" t="s">
        <v>1916</v>
      </c>
      <c r="B363" s="496" t="s">
        <v>1917</v>
      </c>
      <c r="C363" s="496" t="s">
        <v>631</v>
      </c>
      <c r="D363" s="497">
        <v>44242</v>
      </c>
      <c r="E363" s="498">
        <v>15958</v>
      </c>
      <c r="F363" s="496">
        <v>1007010002</v>
      </c>
      <c r="G363" s="496" t="s">
        <v>1806</v>
      </c>
    </row>
    <row r="364" spans="1:7">
      <c r="A364" s="496" t="s">
        <v>1807</v>
      </c>
      <c r="B364" s="496" t="s">
        <v>1863</v>
      </c>
      <c r="C364" s="496" t="s">
        <v>631</v>
      </c>
      <c r="D364" s="497">
        <v>44242</v>
      </c>
      <c r="E364" s="498">
        <v>16552</v>
      </c>
      <c r="F364" s="496">
        <v>1007010002</v>
      </c>
      <c r="G364" s="496" t="s">
        <v>1806</v>
      </c>
    </row>
    <row r="365" spans="1:7">
      <c r="A365" s="496" t="s">
        <v>1809</v>
      </c>
      <c r="B365" s="496" t="s">
        <v>1864</v>
      </c>
      <c r="C365" s="496" t="s">
        <v>631</v>
      </c>
      <c r="D365" s="497">
        <v>44264</v>
      </c>
      <c r="E365" s="498">
        <v>14471</v>
      </c>
      <c r="F365" s="496">
        <v>1007010002</v>
      </c>
      <c r="G365" s="496" t="s">
        <v>1806</v>
      </c>
    </row>
    <row r="366" spans="1:7">
      <c r="A366" s="496" t="s">
        <v>1918</v>
      </c>
      <c r="B366" s="496" t="s">
        <v>1919</v>
      </c>
      <c r="C366" s="496" t="s">
        <v>631</v>
      </c>
      <c r="D366" s="497">
        <v>44264</v>
      </c>
      <c r="E366" s="498">
        <v>24763</v>
      </c>
      <c r="F366" s="496">
        <v>1007010002</v>
      </c>
      <c r="G366" s="496" t="s">
        <v>1911</v>
      </c>
    </row>
    <row r="367" spans="1:7">
      <c r="A367" s="496" t="s">
        <v>1920</v>
      </c>
      <c r="B367" s="496" t="s">
        <v>1921</v>
      </c>
      <c r="C367" s="496" t="s">
        <v>631</v>
      </c>
      <c r="D367" s="497">
        <v>44266</v>
      </c>
      <c r="E367" s="498">
        <v>11800</v>
      </c>
      <c r="F367" s="496">
        <v>1007010002</v>
      </c>
      <c r="G367" s="496" t="s">
        <v>1922</v>
      </c>
    </row>
    <row r="368" spans="1:7">
      <c r="A368" s="496" t="s">
        <v>1923</v>
      </c>
      <c r="B368" s="496" t="s">
        <v>1924</v>
      </c>
      <c r="C368" s="496" t="s">
        <v>631</v>
      </c>
      <c r="D368" s="497">
        <v>44298</v>
      </c>
      <c r="E368" s="498">
        <v>16023</v>
      </c>
      <c r="F368" s="496">
        <v>1007010002</v>
      </c>
      <c r="G368" s="496" t="s">
        <v>1925</v>
      </c>
    </row>
    <row r="369" spans="1:7">
      <c r="A369" s="496" t="s">
        <v>1811</v>
      </c>
      <c r="B369" s="496" t="s">
        <v>1865</v>
      </c>
      <c r="C369" s="496" t="s">
        <v>631</v>
      </c>
      <c r="D369" s="497">
        <v>44298</v>
      </c>
      <c r="E369" s="498">
        <v>15675</v>
      </c>
      <c r="F369" s="496">
        <v>1007010002</v>
      </c>
      <c r="G369" s="496" t="s">
        <v>1806</v>
      </c>
    </row>
    <row r="370" spans="1:7">
      <c r="A370" s="496" t="s">
        <v>1926</v>
      </c>
      <c r="B370" s="496" t="s">
        <v>1927</v>
      </c>
      <c r="C370" s="496" t="s">
        <v>631</v>
      </c>
      <c r="D370" s="497">
        <v>44307</v>
      </c>
      <c r="E370" s="498">
        <v>19936</v>
      </c>
      <c r="F370" s="496">
        <v>1007010002</v>
      </c>
      <c r="G370" s="496" t="s">
        <v>1928</v>
      </c>
    </row>
    <row r="371" spans="1:7">
      <c r="A371" s="496" t="s">
        <v>1813</v>
      </c>
      <c r="B371" s="496" t="s">
        <v>1866</v>
      </c>
      <c r="C371" s="496" t="s">
        <v>631</v>
      </c>
      <c r="D371" s="497">
        <v>44330</v>
      </c>
      <c r="E371" s="498">
        <v>17143</v>
      </c>
      <c r="F371" s="496">
        <v>1007010002</v>
      </c>
      <c r="G371" s="496" t="s">
        <v>1806</v>
      </c>
    </row>
    <row r="372" spans="1:7">
      <c r="A372" s="496" t="s">
        <v>1929</v>
      </c>
      <c r="B372" s="496" t="s">
        <v>1930</v>
      </c>
      <c r="C372" s="496" t="s">
        <v>631</v>
      </c>
      <c r="D372" s="497">
        <v>44330</v>
      </c>
      <c r="E372" s="498">
        <v>15946</v>
      </c>
      <c r="F372" s="496">
        <v>1007010002</v>
      </c>
      <c r="G372" s="496" t="s">
        <v>1931</v>
      </c>
    </row>
    <row r="373" spans="1:7">
      <c r="A373" s="496" t="s">
        <v>1932</v>
      </c>
      <c r="B373" s="496" t="s">
        <v>1933</v>
      </c>
      <c r="C373" s="496" t="s">
        <v>631</v>
      </c>
      <c r="D373" s="497">
        <v>44334</v>
      </c>
      <c r="E373" s="498">
        <v>15982</v>
      </c>
      <c r="F373" s="496">
        <v>1007010002</v>
      </c>
      <c r="G373" s="496" t="s">
        <v>1934</v>
      </c>
    </row>
    <row r="374" spans="1:7">
      <c r="A374" s="496" t="s">
        <v>1867</v>
      </c>
      <c r="B374" s="496" t="s">
        <v>1868</v>
      </c>
      <c r="C374" s="496" t="s">
        <v>631</v>
      </c>
      <c r="D374" s="497">
        <v>44355</v>
      </c>
      <c r="E374" s="498">
        <v>9431</v>
      </c>
      <c r="F374" s="496">
        <v>1007010002</v>
      </c>
      <c r="G374" s="496" t="s">
        <v>1869</v>
      </c>
    </row>
    <row r="375" spans="1:7">
      <c r="A375" s="496" t="s">
        <v>1815</v>
      </c>
      <c r="B375" s="496" t="s">
        <v>1870</v>
      </c>
      <c r="C375" s="496" t="s">
        <v>631</v>
      </c>
      <c r="D375" s="497">
        <v>44364</v>
      </c>
      <c r="E375" s="498">
        <v>12126</v>
      </c>
      <c r="F375" s="496">
        <v>1007010002</v>
      </c>
      <c r="G375" s="496" t="s">
        <v>1806</v>
      </c>
    </row>
    <row r="376" spans="1:7">
      <c r="A376" s="496" t="s">
        <v>1935</v>
      </c>
      <c r="B376" s="496" t="s">
        <v>1936</v>
      </c>
      <c r="C376" s="496" t="s">
        <v>631</v>
      </c>
      <c r="D376" s="497">
        <v>44369</v>
      </c>
      <c r="E376" s="498">
        <v>15970</v>
      </c>
      <c r="F376" s="496">
        <v>1007010002</v>
      </c>
      <c r="G376" s="496" t="s">
        <v>1806</v>
      </c>
    </row>
    <row r="377" spans="1:7">
      <c r="A377" s="496" t="s">
        <v>1817</v>
      </c>
      <c r="B377" s="496" t="s">
        <v>1871</v>
      </c>
      <c r="C377" s="496" t="s">
        <v>631</v>
      </c>
      <c r="D377" s="497">
        <v>44385</v>
      </c>
      <c r="E377" s="498">
        <v>14337</v>
      </c>
      <c r="F377" s="496">
        <v>1007010002</v>
      </c>
      <c r="G377" s="496" t="s">
        <v>1819</v>
      </c>
    </row>
    <row r="378" spans="1:7">
      <c r="A378" s="496" t="s">
        <v>1937</v>
      </c>
      <c r="B378" s="496" t="s">
        <v>1938</v>
      </c>
      <c r="C378" s="496" t="s">
        <v>631</v>
      </c>
      <c r="D378" s="497">
        <v>44385</v>
      </c>
      <c r="E378" s="498">
        <v>24837</v>
      </c>
      <c r="F378" s="496">
        <v>1007010002</v>
      </c>
      <c r="G378" s="496" t="s">
        <v>1939</v>
      </c>
    </row>
    <row r="379" spans="1:7">
      <c r="A379" s="496" t="s">
        <v>1872</v>
      </c>
      <c r="B379" s="496" t="s">
        <v>1873</v>
      </c>
      <c r="C379" s="496" t="s">
        <v>631</v>
      </c>
      <c r="D379" s="497">
        <v>44396</v>
      </c>
      <c r="E379" s="498">
        <v>43533</v>
      </c>
      <c r="F379" s="496">
        <v>1007010002</v>
      </c>
      <c r="G379" s="496" t="s">
        <v>1874</v>
      </c>
    </row>
    <row r="380" spans="1:7">
      <c r="A380" s="496" t="s">
        <v>1820</v>
      </c>
      <c r="B380" s="496" t="s">
        <v>1875</v>
      </c>
      <c r="C380" s="496" t="s">
        <v>631</v>
      </c>
      <c r="D380" s="497">
        <v>44420</v>
      </c>
      <c r="E380" s="498">
        <v>14290</v>
      </c>
      <c r="F380" s="496">
        <v>1007010002</v>
      </c>
      <c r="G380" s="496" t="s">
        <v>1806</v>
      </c>
    </row>
    <row r="381" spans="1:7">
      <c r="A381" s="496" t="s">
        <v>1940</v>
      </c>
      <c r="B381" s="496" t="s">
        <v>1941</v>
      </c>
      <c r="C381" s="496" t="s">
        <v>631</v>
      </c>
      <c r="D381" s="497">
        <v>44420</v>
      </c>
      <c r="E381" s="498">
        <v>15946</v>
      </c>
      <c r="F381" s="496">
        <v>1007010002</v>
      </c>
      <c r="G381" s="496" t="s">
        <v>1806</v>
      </c>
    </row>
    <row r="382" spans="1:7">
      <c r="A382" s="496" t="s">
        <v>1942</v>
      </c>
      <c r="B382" s="496" t="s">
        <v>1943</v>
      </c>
      <c r="C382" s="496" t="s">
        <v>631</v>
      </c>
      <c r="D382" s="497">
        <v>44426</v>
      </c>
      <c r="E382" s="498">
        <v>16905</v>
      </c>
      <c r="F382" s="496">
        <v>1007010002</v>
      </c>
      <c r="G382" s="496" t="s">
        <v>1944</v>
      </c>
    </row>
    <row r="383" spans="1:7">
      <c r="A383" s="496" t="s">
        <v>1822</v>
      </c>
      <c r="B383" s="496" t="s">
        <v>1876</v>
      </c>
      <c r="C383" s="496" t="s">
        <v>631</v>
      </c>
      <c r="D383" s="497">
        <v>44450</v>
      </c>
      <c r="E383" s="498">
        <v>18044</v>
      </c>
      <c r="F383" s="496">
        <v>1007010002</v>
      </c>
      <c r="G383" s="496" t="s">
        <v>1806</v>
      </c>
    </row>
    <row r="384" spans="1:7">
      <c r="A384" s="496" t="s">
        <v>1945</v>
      </c>
      <c r="B384" s="496" t="s">
        <v>1946</v>
      </c>
      <c r="C384" s="496" t="s">
        <v>631</v>
      </c>
      <c r="D384" s="497">
        <v>44450</v>
      </c>
      <c r="E384" s="498">
        <v>16486</v>
      </c>
      <c r="F384" s="496">
        <v>1007010002</v>
      </c>
      <c r="G384" s="496" t="s">
        <v>1947</v>
      </c>
    </row>
    <row r="385" spans="1:7">
      <c r="A385" s="496" t="s">
        <v>1877</v>
      </c>
      <c r="B385" s="496" t="s">
        <v>1878</v>
      </c>
      <c r="C385" s="496" t="s">
        <v>631</v>
      </c>
      <c r="D385" s="497">
        <v>44454</v>
      </c>
      <c r="E385" s="498">
        <v>48657</v>
      </c>
      <c r="F385" s="496">
        <v>1007010002</v>
      </c>
      <c r="G385" s="496" t="s">
        <v>1879</v>
      </c>
    </row>
    <row r="386" spans="1:7">
      <c r="A386" s="496" t="s">
        <v>1880</v>
      </c>
      <c r="B386" s="496" t="s">
        <v>1881</v>
      </c>
      <c r="C386" s="496" t="s">
        <v>631</v>
      </c>
      <c r="D386" s="497">
        <v>44488</v>
      </c>
      <c r="E386" s="498">
        <v>44249</v>
      </c>
      <c r="F386" s="496">
        <v>1007010002</v>
      </c>
      <c r="G386" s="496" t="s">
        <v>1882</v>
      </c>
    </row>
    <row r="387" spans="1:7">
      <c r="A387" s="496" t="s">
        <v>1948</v>
      </c>
      <c r="B387" s="496" t="s">
        <v>1949</v>
      </c>
      <c r="C387" s="496" t="s">
        <v>631</v>
      </c>
      <c r="D387" s="497">
        <v>44490</v>
      </c>
      <c r="E387" s="498">
        <v>30109</v>
      </c>
      <c r="F387" s="496">
        <v>1007010002</v>
      </c>
      <c r="G387" s="496" t="s">
        <v>1806</v>
      </c>
    </row>
    <row r="388" spans="1:7">
      <c r="A388" s="496" t="s">
        <v>1824</v>
      </c>
      <c r="B388" s="496" t="s">
        <v>1883</v>
      </c>
      <c r="C388" s="496" t="s">
        <v>631</v>
      </c>
      <c r="D388" s="497">
        <v>44490</v>
      </c>
      <c r="E388" s="498">
        <v>17071</v>
      </c>
      <c r="F388" s="496">
        <v>1007010002</v>
      </c>
      <c r="G388" s="496" t="s">
        <v>1806</v>
      </c>
    </row>
    <row r="389" spans="1:7">
      <c r="A389" s="496" t="s">
        <v>1826</v>
      </c>
      <c r="B389" s="496" t="s">
        <v>1884</v>
      </c>
      <c r="C389" s="496" t="s">
        <v>631</v>
      </c>
      <c r="D389" s="497">
        <v>44512</v>
      </c>
      <c r="E389" s="498">
        <v>16422</v>
      </c>
      <c r="F389" s="496">
        <v>1007010002</v>
      </c>
      <c r="G389" s="496" t="s">
        <v>1806</v>
      </c>
    </row>
    <row r="390" spans="1:7">
      <c r="A390" s="496" t="s">
        <v>1885</v>
      </c>
      <c r="B390" s="496" t="s">
        <v>1886</v>
      </c>
      <c r="C390" s="496" t="s">
        <v>631</v>
      </c>
      <c r="D390" s="497">
        <v>44518</v>
      </c>
      <c r="E390" s="498">
        <v>44535</v>
      </c>
      <c r="F390" s="496">
        <v>1007010002</v>
      </c>
      <c r="G390" s="496" t="s">
        <v>1874</v>
      </c>
    </row>
    <row r="391" spans="1:7">
      <c r="A391" s="496" t="s">
        <v>1828</v>
      </c>
      <c r="B391" s="496" t="s">
        <v>1887</v>
      </c>
      <c r="C391" s="496" t="s">
        <v>631</v>
      </c>
      <c r="D391" s="497">
        <v>44541</v>
      </c>
      <c r="E391" s="498">
        <v>11233</v>
      </c>
      <c r="F391" s="496">
        <v>1007010002</v>
      </c>
      <c r="G391" s="496" t="s">
        <v>1806</v>
      </c>
    </row>
    <row r="392" spans="1:7">
      <c r="A392" s="496" t="s">
        <v>1888</v>
      </c>
      <c r="B392" s="496" t="s">
        <v>1889</v>
      </c>
      <c r="C392" s="496" t="s">
        <v>631</v>
      </c>
      <c r="D392" s="497">
        <v>44541</v>
      </c>
      <c r="E392" s="498">
        <v>45074</v>
      </c>
      <c r="F392" s="496">
        <v>1007010002</v>
      </c>
      <c r="G392" s="496" t="s">
        <v>1862</v>
      </c>
    </row>
    <row r="393" spans="1:7">
      <c r="A393" s="496" t="s">
        <v>1836</v>
      </c>
      <c r="B393" s="496" t="s">
        <v>1837</v>
      </c>
      <c r="C393" s="496" t="s">
        <v>631</v>
      </c>
      <c r="D393" s="497">
        <v>43841</v>
      </c>
      <c r="E393" s="498">
        <v>33774</v>
      </c>
      <c r="F393" s="496">
        <v>1007010003</v>
      </c>
      <c r="G393" s="496" t="s">
        <v>1382</v>
      </c>
    </row>
    <row r="394" spans="1:7">
      <c r="A394" s="496" t="s">
        <v>1838</v>
      </c>
      <c r="B394" s="496" t="s">
        <v>1839</v>
      </c>
      <c r="C394" s="496" t="s">
        <v>631</v>
      </c>
      <c r="D394" s="497">
        <v>43871</v>
      </c>
      <c r="E394" s="498">
        <v>35055</v>
      </c>
      <c r="F394" s="496">
        <v>1007010003</v>
      </c>
      <c r="G394" s="496" t="s">
        <v>1382</v>
      </c>
    </row>
    <row r="395" spans="1:7">
      <c r="A395" s="496" t="s">
        <v>1840</v>
      </c>
      <c r="B395" s="496" t="s">
        <v>1841</v>
      </c>
      <c r="C395" s="496" t="s">
        <v>631</v>
      </c>
      <c r="D395" s="497">
        <v>43900</v>
      </c>
      <c r="E395" s="498">
        <v>22584</v>
      </c>
      <c r="F395" s="496">
        <v>1007010003</v>
      </c>
      <c r="G395" s="496" t="s">
        <v>1382</v>
      </c>
    </row>
    <row r="396" spans="1:7">
      <c r="A396" s="496" t="s">
        <v>1842</v>
      </c>
      <c r="B396" s="496" t="s">
        <v>1843</v>
      </c>
      <c r="C396" s="496" t="s">
        <v>631</v>
      </c>
      <c r="D396" s="497">
        <v>43934</v>
      </c>
      <c r="E396" s="498">
        <v>20346</v>
      </c>
      <c r="F396" s="496">
        <v>1007010003</v>
      </c>
      <c r="G396" s="496" t="s">
        <v>1382</v>
      </c>
    </row>
    <row r="397" spans="1:7">
      <c r="A397" s="496" t="s">
        <v>1836</v>
      </c>
      <c r="B397" s="496" t="s">
        <v>1837</v>
      </c>
      <c r="C397" s="496" t="s">
        <v>631</v>
      </c>
      <c r="D397" s="497">
        <v>43841</v>
      </c>
      <c r="E397" s="498">
        <v>33774</v>
      </c>
      <c r="F397" s="496">
        <v>1007010004</v>
      </c>
      <c r="G397" s="496" t="s">
        <v>1382</v>
      </c>
    </row>
    <row r="398" spans="1:7">
      <c r="A398" s="496" t="s">
        <v>1838</v>
      </c>
      <c r="B398" s="496" t="s">
        <v>1839</v>
      </c>
      <c r="C398" s="496" t="s">
        <v>631</v>
      </c>
      <c r="D398" s="497">
        <v>43871</v>
      </c>
      <c r="E398" s="498">
        <v>35055</v>
      </c>
      <c r="F398" s="496">
        <v>1007010004</v>
      </c>
      <c r="G398" s="496" t="s">
        <v>1382</v>
      </c>
    </row>
    <row r="399" spans="1:7">
      <c r="A399" s="496" t="s">
        <v>1840</v>
      </c>
      <c r="B399" s="496" t="s">
        <v>1841</v>
      </c>
      <c r="C399" s="496" t="s">
        <v>631</v>
      </c>
      <c r="D399" s="497">
        <v>43900</v>
      </c>
      <c r="E399" s="498">
        <v>22584</v>
      </c>
      <c r="F399" s="496">
        <v>1007010004</v>
      </c>
      <c r="G399" s="496" t="s">
        <v>1382</v>
      </c>
    </row>
    <row r="400" spans="1:7">
      <c r="A400" s="496" t="s">
        <v>1842</v>
      </c>
      <c r="B400" s="496" t="s">
        <v>1843</v>
      </c>
      <c r="C400" s="496" t="s">
        <v>631</v>
      </c>
      <c r="D400" s="497">
        <v>43934</v>
      </c>
      <c r="E400" s="498">
        <v>20346</v>
      </c>
      <c r="F400" s="496">
        <v>1007010004</v>
      </c>
      <c r="G400" s="496" t="s">
        <v>1382</v>
      </c>
    </row>
    <row r="401" spans="1:7">
      <c r="A401" s="496" t="s">
        <v>1844</v>
      </c>
      <c r="B401" s="496" t="s">
        <v>1845</v>
      </c>
      <c r="C401" s="496" t="s">
        <v>631</v>
      </c>
      <c r="D401" s="497">
        <v>43958</v>
      </c>
      <c r="E401" s="498">
        <v>18660</v>
      </c>
      <c r="F401" s="496">
        <v>1007010004</v>
      </c>
      <c r="G401" s="496" t="s">
        <v>1382</v>
      </c>
    </row>
    <row r="402" spans="1:7">
      <c r="A402" s="496" t="s">
        <v>1846</v>
      </c>
      <c r="B402" s="496" t="s">
        <v>1847</v>
      </c>
      <c r="C402" s="496" t="s">
        <v>631</v>
      </c>
      <c r="D402" s="497">
        <v>44001</v>
      </c>
      <c r="E402" s="498">
        <v>10218</v>
      </c>
      <c r="F402" s="496">
        <v>1007010004</v>
      </c>
      <c r="G402" s="496" t="s">
        <v>1382</v>
      </c>
    </row>
    <row r="403" spans="1:7">
      <c r="A403" s="496" t="s">
        <v>1848</v>
      </c>
      <c r="B403" s="496" t="s">
        <v>1849</v>
      </c>
      <c r="C403" s="496" t="s">
        <v>631</v>
      </c>
      <c r="D403" s="497">
        <v>44015</v>
      </c>
      <c r="E403" s="498">
        <v>9834</v>
      </c>
      <c r="F403" s="496">
        <v>1007010004</v>
      </c>
      <c r="G403" s="496" t="s">
        <v>1382</v>
      </c>
    </row>
    <row r="404" spans="1:7">
      <c r="A404" s="496" t="s">
        <v>1850</v>
      </c>
      <c r="B404" s="496" t="s">
        <v>1851</v>
      </c>
      <c r="C404" s="496" t="s">
        <v>631</v>
      </c>
      <c r="D404" s="497">
        <v>44055</v>
      </c>
      <c r="E404" s="498">
        <v>16741</v>
      </c>
      <c r="F404" s="496">
        <v>1007010004</v>
      </c>
      <c r="G404" s="496" t="s">
        <v>1382</v>
      </c>
    </row>
    <row r="405" spans="1:7">
      <c r="A405" s="496" t="s">
        <v>1852</v>
      </c>
      <c r="B405" s="496" t="s">
        <v>1853</v>
      </c>
      <c r="C405" s="496" t="s">
        <v>631</v>
      </c>
      <c r="D405" s="497">
        <v>44088</v>
      </c>
      <c r="E405" s="498">
        <v>20578</v>
      </c>
      <c r="F405" s="496">
        <v>1007010004</v>
      </c>
      <c r="G405" s="496" t="s">
        <v>1382</v>
      </c>
    </row>
    <row r="406" spans="1:7">
      <c r="A406" s="496" t="s">
        <v>1854</v>
      </c>
      <c r="B406" s="496" t="s">
        <v>1855</v>
      </c>
      <c r="C406" s="496" t="s">
        <v>631</v>
      </c>
      <c r="D406" s="497">
        <v>44118</v>
      </c>
      <c r="E406" s="498">
        <v>16358</v>
      </c>
      <c r="F406" s="496">
        <v>1007010004</v>
      </c>
      <c r="G406" s="496" t="s">
        <v>1382</v>
      </c>
    </row>
    <row r="407" spans="1:7">
      <c r="A407" s="496" t="s">
        <v>1856</v>
      </c>
      <c r="B407" s="496" t="s">
        <v>1857</v>
      </c>
      <c r="C407" s="496" t="s">
        <v>631</v>
      </c>
      <c r="D407" s="497">
        <v>44149</v>
      </c>
      <c r="E407" s="498">
        <v>19068</v>
      </c>
      <c r="F407" s="496">
        <v>1007010004</v>
      </c>
      <c r="G407" s="496" t="s">
        <v>1382</v>
      </c>
    </row>
    <row r="408" spans="1:7">
      <c r="A408" s="496" t="s">
        <v>1858</v>
      </c>
      <c r="B408" s="496" t="s">
        <v>1859</v>
      </c>
      <c r="C408" s="496" t="s">
        <v>631</v>
      </c>
      <c r="D408" s="497">
        <v>44174</v>
      </c>
      <c r="E408" s="498">
        <v>19826</v>
      </c>
      <c r="F408" s="496">
        <v>1007010004</v>
      </c>
      <c r="G408" s="496" t="s">
        <v>1382</v>
      </c>
    </row>
    <row r="409" spans="1:7">
      <c r="A409" s="496" t="s">
        <v>1804</v>
      </c>
      <c r="B409" s="496" t="s">
        <v>1912</v>
      </c>
      <c r="C409" s="496" t="s">
        <v>631</v>
      </c>
      <c r="D409" s="497">
        <v>44210</v>
      </c>
      <c r="E409" s="498">
        <v>17233</v>
      </c>
      <c r="F409" s="496">
        <v>1007010004</v>
      </c>
      <c r="G409" s="496" t="s">
        <v>1806</v>
      </c>
    </row>
    <row r="410" spans="1:7">
      <c r="A410" s="496" t="s">
        <v>1807</v>
      </c>
      <c r="B410" s="496" t="s">
        <v>1863</v>
      </c>
      <c r="C410" s="496" t="s">
        <v>631</v>
      </c>
      <c r="D410" s="497">
        <v>44242</v>
      </c>
      <c r="E410" s="498">
        <v>16552</v>
      </c>
      <c r="F410" s="496">
        <v>1007010004</v>
      </c>
      <c r="G410" s="496" t="s">
        <v>1806</v>
      </c>
    </row>
    <row r="411" spans="1:7">
      <c r="A411" s="496" t="s">
        <v>1809</v>
      </c>
      <c r="B411" s="496" t="s">
        <v>1864</v>
      </c>
      <c r="C411" s="496" t="s">
        <v>631</v>
      </c>
      <c r="D411" s="497">
        <v>44264</v>
      </c>
      <c r="E411" s="498">
        <v>14471</v>
      </c>
      <c r="F411" s="496">
        <v>1007010004</v>
      </c>
      <c r="G411" s="496" t="s">
        <v>1806</v>
      </c>
    </row>
    <row r="412" spans="1:7">
      <c r="A412" s="496" t="s">
        <v>1811</v>
      </c>
      <c r="B412" s="496" t="s">
        <v>1865</v>
      </c>
      <c r="C412" s="496" t="s">
        <v>631</v>
      </c>
      <c r="D412" s="497">
        <v>44298</v>
      </c>
      <c r="E412" s="498">
        <v>15675</v>
      </c>
      <c r="F412" s="496">
        <v>1007010004</v>
      </c>
      <c r="G412" s="496" t="s">
        <v>1806</v>
      </c>
    </row>
    <row r="413" spans="1:7">
      <c r="A413" s="496" t="s">
        <v>1813</v>
      </c>
      <c r="B413" s="496" t="s">
        <v>1866</v>
      </c>
      <c r="C413" s="496" t="s">
        <v>631</v>
      </c>
      <c r="D413" s="497">
        <v>44330</v>
      </c>
      <c r="E413" s="498">
        <v>17143</v>
      </c>
      <c r="F413" s="496">
        <v>1007010004</v>
      </c>
      <c r="G413" s="496" t="s">
        <v>1806</v>
      </c>
    </row>
    <row r="414" spans="1:7">
      <c r="A414" s="496" t="s">
        <v>1815</v>
      </c>
      <c r="B414" s="496" t="s">
        <v>1870</v>
      </c>
      <c r="C414" s="496" t="s">
        <v>631</v>
      </c>
      <c r="D414" s="497">
        <v>44364</v>
      </c>
      <c r="E414" s="498">
        <v>12126</v>
      </c>
      <c r="F414" s="496">
        <v>1007010004</v>
      </c>
      <c r="G414" s="496" t="s">
        <v>1806</v>
      </c>
    </row>
    <row r="415" spans="1:7">
      <c r="A415" s="496" t="s">
        <v>1817</v>
      </c>
      <c r="B415" s="496" t="s">
        <v>1871</v>
      </c>
      <c r="C415" s="496" t="s">
        <v>631</v>
      </c>
      <c r="D415" s="497">
        <v>44385</v>
      </c>
      <c r="E415" s="498">
        <v>14337</v>
      </c>
      <c r="F415" s="496">
        <v>1007010004</v>
      </c>
      <c r="G415" s="496" t="s">
        <v>1819</v>
      </c>
    </row>
    <row r="416" spans="1:7">
      <c r="A416" s="496" t="s">
        <v>1820</v>
      </c>
      <c r="B416" s="496" t="s">
        <v>1875</v>
      </c>
      <c r="C416" s="496" t="s">
        <v>631</v>
      </c>
      <c r="D416" s="497">
        <v>44420</v>
      </c>
      <c r="E416" s="498">
        <v>14290</v>
      </c>
      <c r="F416" s="496">
        <v>1007010004</v>
      </c>
      <c r="G416" s="496" t="s">
        <v>1806</v>
      </c>
    </row>
    <row r="417" spans="1:7">
      <c r="A417" s="496" t="s">
        <v>1822</v>
      </c>
      <c r="B417" s="496" t="s">
        <v>1876</v>
      </c>
      <c r="C417" s="496" t="s">
        <v>631</v>
      </c>
      <c r="D417" s="497">
        <v>44450</v>
      </c>
      <c r="E417" s="498">
        <v>18044</v>
      </c>
      <c r="F417" s="496">
        <v>1007010004</v>
      </c>
      <c r="G417" s="496" t="s">
        <v>1806</v>
      </c>
    </row>
    <row r="418" spans="1:7">
      <c r="A418" s="496" t="s">
        <v>1824</v>
      </c>
      <c r="B418" s="496" t="s">
        <v>1883</v>
      </c>
      <c r="C418" s="496" t="s">
        <v>631</v>
      </c>
      <c r="D418" s="497">
        <v>44490</v>
      </c>
      <c r="E418" s="498">
        <v>17071</v>
      </c>
      <c r="F418" s="496">
        <v>1007010004</v>
      </c>
      <c r="G418" s="496" t="s">
        <v>1806</v>
      </c>
    </row>
    <row r="419" spans="1:7">
      <c r="A419" s="496" t="s">
        <v>1826</v>
      </c>
      <c r="B419" s="496" t="s">
        <v>1884</v>
      </c>
      <c r="C419" s="496" t="s">
        <v>631</v>
      </c>
      <c r="D419" s="497">
        <v>44512</v>
      </c>
      <c r="E419" s="498">
        <v>16422</v>
      </c>
      <c r="F419" s="496">
        <v>1007010004</v>
      </c>
      <c r="G419" s="496" t="s">
        <v>1806</v>
      </c>
    </row>
    <row r="420" spans="1:7">
      <c r="A420" s="496" t="s">
        <v>1828</v>
      </c>
      <c r="B420" s="496" t="s">
        <v>1887</v>
      </c>
      <c r="C420" s="496" t="s">
        <v>631</v>
      </c>
      <c r="D420" s="497">
        <v>44541</v>
      </c>
      <c r="E420" s="498">
        <v>11233</v>
      </c>
      <c r="F420" s="496">
        <v>1007010004</v>
      </c>
      <c r="G420" s="496" t="s">
        <v>1806</v>
      </c>
    </row>
    <row r="421" spans="1:7">
      <c r="A421" s="496" t="s">
        <v>1836</v>
      </c>
      <c r="B421" s="496" t="s">
        <v>1837</v>
      </c>
      <c r="C421" s="496" t="s">
        <v>631</v>
      </c>
      <c r="D421" s="497">
        <v>43841</v>
      </c>
      <c r="E421" s="498">
        <v>33774</v>
      </c>
      <c r="F421" s="496">
        <v>1007010006</v>
      </c>
      <c r="G421" s="496" t="s">
        <v>1382</v>
      </c>
    </row>
    <row r="422" spans="1:7">
      <c r="A422" s="496" t="s">
        <v>1838</v>
      </c>
      <c r="B422" s="496" t="s">
        <v>1839</v>
      </c>
      <c r="C422" s="496" t="s">
        <v>631</v>
      </c>
      <c r="D422" s="497">
        <v>43871</v>
      </c>
      <c r="E422" s="498">
        <v>35055</v>
      </c>
      <c r="F422" s="496">
        <v>1007010006</v>
      </c>
      <c r="G422" s="496" t="s">
        <v>1382</v>
      </c>
    </row>
    <row r="423" spans="1:7">
      <c r="A423" s="496" t="s">
        <v>1840</v>
      </c>
      <c r="B423" s="496" t="s">
        <v>1841</v>
      </c>
      <c r="C423" s="496" t="s">
        <v>631</v>
      </c>
      <c r="D423" s="497">
        <v>43900</v>
      </c>
      <c r="E423" s="498">
        <v>22584</v>
      </c>
      <c r="F423" s="496">
        <v>1007010006</v>
      </c>
      <c r="G423" s="496" t="s">
        <v>1382</v>
      </c>
    </row>
    <row r="424" spans="1:7">
      <c r="A424" s="496" t="s">
        <v>1842</v>
      </c>
      <c r="B424" s="496" t="s">
        <v>1843</v>
      </c>
      <c r="C424" s="496" t="s">
        <v>631</v>
      </c>
      <c r="D424" s="497">
        <v>43934</v>
      </c>
      <c r="E424" s="498">
        <v>20346</v>
      </c>
      <c r="F424" s="496">
        <v>1007010006</v>
      </c>
      <c r="G424" s="496" t="s">
        <v>1382</v>
      </c>
    </row>
    <row r="425" spans="1:7">
      <c r="A425" s="496" t="s">
        <v>1844</v>
      </c>
      <c r="B425" s="496" t="s">
        <v>1845</v>
      </c>
      <c r="C425" s="496" t="s">
        <v>631</v>
      </c>
      <c r="D425" s="497">
        <v>43958</v>
      </c>
      <c r="E425" s="498">
        <v>18660</v>
      </c>
      <c r="F425" s="496">
        <v>1007010006</v>
      </c>
      <c r="G425" s="496" t="s">
        <v>1382</v>
      </c>
    </row>
    <row r="426" spans="1:7">
      <c r="A426" s="496" t="s">
        <v>1846</v>
      </c>
      <c r="B426" s="496" t="s">
        <v>1847</v>
      </c>
      <c r="C426" s="496" t="s">
        <v>631</v>
      </c>
      <c r="D426" s="497">
        <v>44001</v>
      </c>
      <c r="E426" s="498">
        <v>10218</v>
      </c>
      <c r="F426" s="496">
        <v>1007010006</v>
      </c>
      <c r="G426" s="496" t="s">
        <v>1382</v>
      </c>
    </row>
    <row r="427" spans="1:7">
      <c r="A427" s="496" t="s">
        <v>1848</v>
      </c>
      <c r="B427" s="496" t="s">
        <v>1849</v>
      </c>
      <c r="C427" s="496" t="s">
        <v>631</v>
      </c>
      <c r="D427" s="497">
        <v>44015</v>
      </c>
      <c r="E427" s="498">
        <v>9834</v>
      </c>
      <c r="F427" s="496">
        <v>1007010006</v>
      </c>
      <c r="G427" s="496" t="s">
        <v>1382</v>
      </c>
    </row>
    <row r="428" spans="1:7">
      <c r="A428" s="496" t="s">
        <v>1850</v>
      </c>
      <c r="B428" s="496" t="s">
        <v>1851</v>
      </c>
      <c r="C428" s="496" t="s">
        <v>631</v>
      </c>
      <c r="D428" s="497">
        <v>44055</v>
      </c>
      <c r="E428" s="498">
        <v>16741</v>
      </c>
      <c r="F428" s="496">
        <v>1007010006</v>
      </c>
      <c r="G428" s="496" t="s">
        <v>1382</v>
      </c>
    </row>
    <row r="429" spans="1:7">
      <c r="A429" s="496" t="s">
        <v>1852</v>
      </c>
      <c r="B429" s="496" t="s">
        <v>1853</v>
      </c>
      <c r="C429" s="496" t="s">
        <v>631</v>
      </c>
      <c r="D429" s="497">
        <v>44088</v>
      </c>
      <c r="E429" s="498">
        <v>20578</v>
      </c>
      <c r="F429" s="496">
        <v>1007010006</v>
      </c>
      <c r="G429" s="496" t="s">
        <v>1382</v>
      </c>
    </row>
    <row r="430" spans="1:7">
      <c r="A430" s="496" t="s">
        <v>1854</v>
      </c>
      <c r="B430" s="496" t="s">
        <v>1855</v>
      </c>
      <c r="C430" s="496" t="s">
        <v>631</v>
      </c>
      <c r="D430" s="497">
        <v>44118</v>
      </c>
      <c r="E430" s="498">
        <v>16358</v>
      </c>
      <c r="F430" s="496">
        <v>1007010006</v>
      </c>
      <c r="G430" s="496" t="s">
        <v>1382</v>
      </c>
    </row>
    <row r="431" spans="1:7">
      <c r="A431" s="496" t="s">
        <v>1856</v>
      </c>
      <c r="B431" s="496" t="s">
        <v>1857</v>
      </c>
      <c r="C431" s="496" t="s">
        <v>631</v>
      </c>
      <c r="D431" s="497">
        <v>44149</v>
      </c>
      <c r="E431" s="498">
        <v>19068</v>
      </c>
      <c r="F431" s="496">
        <v>1007010006</v>
      </c>
      <c r="G431" s="496" t="s">
        <v>1382</v>
      </c>
    </row>
    <row r="432" spans="1:7">
      <c r="A432" s="496" t="s">
        <v>1858</v>
      </c>
      <c r="B432" s="496" t="s">
        <v>1859</v>
      </c>
      <c r="C432" s="496" t="s">
        <v>631</v>
      </c>
      <c r="D432" s="497">
        <v>44174</v>
      </c>
      <c r="E432" s="498">
        <v>19826</v>
      </c>
      <c r="F432" s="496">
        <v>1007010006</v>
      </c>
      <c r="G432" s="496" t="s">
        <v>1382</v>
      </c>
    </row>
    <row r="433" spans="1:7">
      <c r="A433" s="496" t="s">
        <v>1804</v>
      </c>
      <c r="B433" s="496" t="s">
        <v>1912</v>
      </c>
      <c r="C433" s="496" t="s">
        <v>631</v>
      </c>
      <c r="D433" s="497">
        <v>44210</v>
      </c>
      <c r="E433" s="498">
        <v>17233</v>
      </c>
      <c r="F433" s="496">
        <v>1007010006</v>
      </c>
      <c r="G433" s="496" t="s">
        <v>1806</v>
      </c>
    </row>
    <row r="434" spans="1:7">
      <c r="A434" s="496" t="s">
        <v>1807</v>
      </c>
      <c r="B434" s="496" t="s">
        <v>1863</v>
      </c>
      <c r="C434" s="496" t="s">
        <v>631</v>
      </c>
      <c r="D434" s="497">
        <v>44242</v>
      </c>
      <c r="E434" s="498">
        <v>16552</v>
      </c>
      <c r="F434" s="496">
        <v>1007010006</v>
      </c>
      <c r="G434" s="496" t="s">
        <v>1806</v>
      </c>
    </row>
    <row r="435" spans="1:7">
      <c r="A435" s="496" t="s">
        <v>1809</v>
      </c>
      <c r="B435" s="496" t="s">
        <v>1864</v>
      </c>
      <c r="C435" s="496" t="s">
        <v>631</v>
      </c>
      <c r="D435" s="497">
        <v>44264</v>
      </c>
      <c r="E435" s="498">
        <v>14471</v>
      </c>
      <c r="F435" s="496">
        <v>1007010006</v>
      </c>
      <c r="G435" s="496" t="s">
        <v>1806</v>
      </c>
    </row>
    <row r="436" spans="1:7">
      <c r="A436" s="496" t="s">
        <v>1811</v>
      </c>
      <c r="B436" s="496" t="s">
        <v>1865</v>
      </c>
      <c r="C436" s="496" t="s">
        <v>631</v>
      </c>
      <c r="D436" s="497">
        <v>44298</v>
      </c>
      <c r="E436" s="498">
        <v>15675</v>
      </c>
      <c r="F436" s="496">
        <v>1007010006</v>
      </c>
      <c r="G436" s="496" t="s">
        <v>1806</v>
      </c>
    </row>
    <row r="437" spans="1:7">
      <c r="A437" s="496" t="s">
        <v>1813</v>
      </c>
      <c r="B437" s="496" t="s">
        <v>1866</v>
      </c>
      <c r="C437" s="496" t="s">
        <v>631</v>
      </c>
      <c r="D437" s="497">
        <v>44330</v>
      </c>
      <c r="E437" s="498">
        <v>17143</v>
      </c>
      <c r="F437" s="496">
        <v>1007010006</v>
      </c>
      <c r="G437" s="496" t="s">
        <v>1806</v>
      </c>
    </row>
    <row r="438" spans="1:7">
      <c r="A438" s="496" t="s">
        <v>1815</v>
      </c>
      <c r="B438" s="496" t="s">
        <v>1870</v>
      </c>
      <c r="C438" s="496" t="s">
        <v>631</v>
      </c>
      <c r="D438" s="497">
        <v>44364</v>
      </c>
      <c r="E438" s="498">
        <v>12126</v>
      </c>
      <c r="F438" s="496">
        <v>1007010006</v>
      </c>
      <c r="G438" s="496" t="s">
        <v>1806</v>
      </c>
    </row>
    <row r="439" spans="1:7">
      <c r="A439" s="496" t="s">
        <v>1817</v>
      </c>
      <c r="B439" s="496" t="s">
        <v>1871</v>
      </c>
      <c r="C439" s="496" t="s">
        <v>631</v>
      </c>
      <c r="D439" s="497">
        <v>44385</v>
      </c>
      <c r="E439" s="498">
        <v>14337</v>
      </c>
      <c r="F439" s="496">
        <v>1007010006</v>
      </c>
      <c r="G439" s="496" t="s">
        <v>1819</v>
      </c>
    </row>
    <row r="440" spans="1:7">
      <c r="A440" s="496" t="s">
        <v>1820</v>
      </c>
      <c r="B440" s="496" t="s">
        <v>1875</v>
      </c>
      <c r="C440" s="496" t="s">
        <v>631</v>
      </c>
      <c r="D440" s="497">
        <v>44420</v>
      </c>
      <c r="E440" s="498">
        <v>14290</v>
      </c>
      <c r="F440" s="496">
        <v>1007010006</v>
      </c>
      <c r="G440" s="496" t="s">
        <v>1806</v>
      </c>
    </row>
    <row r="441" spans="1:7">
      <c r="A441" s="496" t="s">
        <v>1822</v>
      </c>
      <c r="B441" s="496" t="s">
        <v>1876</v>
      </c>
      <c r="C441" s="496" t="s">
        <v>631</v>
      </c>
      <c r="D441" s="497">
        <v>44450</v>
      </c>
      <c r="E441" s="498">
        <v>18044</v>
      </c>
      <c r="F441" s="496">
        <v>1007010006</v>
      </c>
      <c r="G441" s="496" t="s">
        <v>1806</v>
      </c>
    </row>
    <row r="442" spans="1:7">
      <c r="A442" s="496" t="s">
        <v>1824</v>
      </c>
      <c r="B442" s="496" t="s">
        <v>1883</v>
      </c>
      <c r="C442" s="496" t="s">
        <v>631</v>
      </c>
      <c r="D442" s="497">
        <v>44490</v>
      </c>
      <c r="E442" s="498">
        <v>17071</v>
      </c>
      <c r="F442" s="496">
        <v>1007010006</v>
      </c>
      <c r="G442" s="496" t="s">
        <v>1806</v>
      </c>
    </row>
    <row r="443" spans="1:7">
      <c r="A443" s="496" t="s">
        <v>1826</v>
      </c>
      <c r="B443" s="496" t="s">
        <v>1884</v>
      </c>
      <c r="C443" s="496" t="s">
        <v>631</v>
      </c>
      <c r="D443" s="497">
        <v>44512</v>
      </c>
      <c r="E443" s="498">
        <v>16422</v>
      </c>
      <c r="F443" s="496">
        <v>1007010006</v>
      </c>
      <c r="G443" s="496" t="s">
        <v>1806</v>
      </c>
    </row>
    <row r="444" spans="1:7">
      <c r="A444" s="496" t="s">
        <v>1828</v>
      </c>
      <c r="B444" s="496" t="s">
        <v>1887</v>
      </c>
      <c r="C444" s="496" t="s">
        <v>631</v>
      </c>
      <c r="D444" s="497">
        <v>44541</v>
      </c>
      <c r="E444" s="498">
        <v>11233</v>
      </c>
      <c r="F444" s="496">
        <v>1007010006</v>
      </c>
      <c r="G444" s="496" t="s">
        <v>1806</v>
      </c>
    </row>
    <row r="445" spans="1:7">
      <c r="A445" s="496" t="s">
        <v>1836</v>
      </c>
      <c r="B445" s="496" t="s">
        <v>1837</v>
      </c>
      <c r="C445" s="496" t="s">
        <v>631</v>
      </c>
      <c r="D445" s="497">
        <v>43841</v>
      </c>
      <c r="E445" s="498">
        <v>33774</v>
      </c>
      <c r="F445" s="496">
        <v>1007010009</v>
      </c>
      <c r="G445" s="496" t="s">
        <v>1382</v>
      </c>
    </row>
    <row r="446" spans="1:7">
      <c r="A446" s="496" t="s">
        <v>1838</v>
      </c>
      <c r="B446" s="496" t="s">
        <v>1839</v>
      </c>
      <c r="C446" s="496" t="s">
        <v>631</v>
      </c>
      <c r="D446" s="497">
        <v>43871</v>
      </c>
      <c r="E446" s="498">
        <v>35055</v>
      </c>
      <c r="F446" s="496">
        <v>1007010009</v>
      </c>
      <c r="G446" s="496" t="s">
        <v>1382</v>
      </c>
    </row>
    <row r="447" spans="1:7">
      <c r="A447" s="496" t="s">
        <v>1840</v>
      </c>
      <c r="B447" s="496" t="s">
        <v>1841</v>
      </c>
      <c r="C447" s="496" t="s">
        <v>631</v>
      </c>
      <c r="D447" s="497">
        <v>43900</v>
      </c>
      <c r="E447" s="498">
        <v>22584</v>
      </c>
      <c r="F447" s="496">
        <v>1007010009</v>
      </c>
      <c r="G447" s="496" t="s">
        <v>1382</v>
      </c>
    </row>
    <row r="448" spans="1:7">
      <c r="A448" s="496" t="s">
        <v>1842</v>
      </c>
      <c r="B448" s="496" t="s">
        <v>1843</v>
      </c>
      <c r="C448" s="496" t="s">
        <v>631</v>
      </c>
      <c r="D448" s="497">
        <v>43934</v>
      </c>
      <c r="E448" s="498">
        <v>20346</v>
      </c>
      <c r="F448" s="496">
        <v>1007010009</v>
      </c>
      <c r="G448" s="496" t="s">
        <v>1382</v>
      </c>
    </row>
    <row r="449" spans="1:7">
      <c r="A449" s="496" t="s">
        <v>1844</v>
      </c>
      <c r="B449" s="496" t="s">
        <v>1845</v>
      </c>
      <c r="C449" s="496" t="s">
        <v>631</v>
      </c>
      <c r="D449" s="497">
        <v>43958</v>
      </c>
      <c r="E449" s="498">
        <v>18660</v>
      </c>
      <c r="F449" s="496">
        <v>1007010009</v>
      </c>
      <c r="G449" s="496" t="s">
        <v>1382</v>
      </c>
    </row>
    <row r="450" spans="1:7">
      <c r="A450" s="496" t="s">
        <v>1846</v>
      </c>
      <c r="B450" s="496" t="s">
        <v>1847</v>
      </c>
      <c r="C450" s="496" t="s">
        <v>631</v>
      </c>
      <c r="D450" s="497">
        <v>44001</v>
      </c>
      <c r="E450" s="498">
        <v>10218</v>
      </c>
      <c r="F450" s="496">
        <v>1007010009</v>
      </c>
      <c r="G450" s="496" t="s">
        <v>1382</v>
      </c>
    </row>
    <row r="451" spans="1:7">
      <c r="A451" s="496" t="s">
        <v>1848</v>
      </c>
      <c r="B451" s="496" t="s">
        <v>1849</v>
      </c>
      <c r="C451" s="496" t="s">
        <v>631</v>
      </c>
      <c r="D451" s="497">
        <v>44015</v>
      </c>
      <c r="E451" s="498">
        <v>9834</v>
      </c>
      <c r="F451" s="496">
        <v>1007010009</v>
      </c>
      <c r="G451" s="496" t="s">
        <v>1382</v>
      </c>
    </row>
    <row r="452" spans="1:7">
      <c r="A452" s="496" t="s">
        <v>1850</v>
      </c>
      <c r="B452" s="496" t="s">
        <v>1851</v>
      </c>
      <c r="C452" s="496" t="s">
        <v>631</v>
      </c>
      <c r="D452" s="497">
        <v>44055</v>
      </c>
      <c r="E452" s="498">
        <v>16741</v>
      </c>
      <c r="F452" s="496">
        <v>1007010009</v>
      </c>
      <c r="G452" s="496" t="s">
        <v>1382</v>
      </c>
    </row>
    <row r="453" spans="1:7">
      <c r="A453" s="496" t="s">
        <v>1852</v>
      </c>
      <c r="B453" s="496" t="s">
        <v>1853</v>
      </c>
      <c r="C453" s="496" t="s">
        <v>631</v>
      </c>
      <c r="D453" s="497">
        <v>44088</v>
      </c>
      <c r="E453" s="498">
        <v>20578</v>
      </c>
      <c r="F453" s="496">
        <v>1007010009</v>
      </c>
      <c r="G453" s="496" t="s">
        <v>1382</v>
      </c>
    </row>
    <row r="454" spans="1:7">
      <c r="A454" s="496" t="s">
        <v>1854</v>
      </c>
      <c r="B454" s="496" t="s">
        <v>1855</v>
      </c>
      <c r="C454" s="496" t="s">
        <v>631</v>
      </c>
      <c r="D454" s="497">
        <v>44118</v>
      </c>
      <c r="E454" s="498">
        <v>16358</v>
      </c>
      <c r="F454" s="496">
        <v>1007010009</v>
      </c>
      <c r="G454" s="496" t="s">
        <v>1382</v>
      </c>
    </row>
    <row r="455" spans="1:7">
      <c r="A455" s="496" t="s">
        <v>1856</v>
      </c>
      <c r="B455" s="496" t="s">
        <v>1857</v>
      </c>
      <c r="C455" s="496" t="s">
        <v>631</v>
      </c>
      <c r="D455" s="497">
        <v>44149</v>
      </c>
      <c r="E455" s="498">
        <v>19068</v>
      </c>
      <c r="F455" s="496">
        <v>1007010009</v>
      </c>
      <c r="G455" s="496" t="s">
        <v>1382</v>
      </c>
    </row>
    <row r="456" spans="1:7">
      <c r="A456" s="496" t="s">
        <v>1858</v>
      </c>
      <c r="B456" s="496" t="s">
        <v>1859</v>
      </c>
      <c r="C456" s="496" t="s">
        <v>631</v>
      </c>
      <c r="D456" s="497">
        <v>44174</v>
      </c>
      <c r="E456" s="498">
        <v>19826</v>
      </c>
      <c r="F456" s="496">
        <v>1007010009</v>
      </c>
      <c r="G456" s="496" t="s">
        <v>1382</v>
      </c>
    </row>
    <row r="457" spans="1:7">
      <c r="A457" s="496" t="s">
        <v>1804</v>
      </c>
      <c r="B457" s="496" t="s">
        <v>1912</v>
      </c>
      <c r="C457" s="496" t="s">
        <v>631</v>
      </c>
      <c r="D457" s="497">
        <v>44210</v>
      </c>
      <c r="E457" s="498">
        <v>17233</v>
      </c>
      <c r="F457" s="496">
        <v>1007010009</v>
      </c>
      <c r="G457" s="496" t="s">
        <v>1806</v>
      </c>
    </row>
    <row r="458" spans="1:7">
      <c r="A458" s="496" t="s">
        <v>1807</v>
      </c>
      <c r="B458" s="496" t="s">
        <v>1863</v>
      </c>
      <c r="C458" s="496" t="s">
        <v>631</v>
      </c>
      <c r="D458" s="497">
        <v>44242</v>
      </c>
      <c r="E458" s="498">
        <v>16552</v>
      </c>
      <c r="F458" s="496">
        <v>1007010009</v>
      </c>
      <c r="G458" s="496" t="s">
        <v>1806</v>
      </c>
    </row>
    <row r="459" spans="1:7">
      <c r="A459" s="496" t="s">
        <v>1809</v>
      </c>
      <c r="B459" s="496" t="s">
        <v>1864</v>
      </c>
      <c r="C459" s="496" t="s">
        <v>631</v>
      </c>
      <c r="D459" s="497">
        <v>44264</v>
      </c>
      <c r="E459" s="498">
        <v>14471</v>
      </c>
      <c r="F459" s="496">
        <v>1007010009</v>
      </c>
      <c r="G459" s="496" t="s">
        <v>1806</v>
      </c>
    </row>
    <row r="460" spans="1:7">
      <c r="A460" s="496" t="s">
        <v>1811</v>
      </c>
      <c r="B460" s="496" t="s">
        <v>1865</v>
      </c>
      <c r="C460" s="496" t="s">
        <v>631</v>
      </c>
      <c r="D460" s="497">
        <v>44298</v>
      </c>
      <c r="E460" s="498">
        <v>15675</v>
      </c>
      <c r="F460" s="496">
        <v>1007010009</v>
      </c>
      <c r="G460" s="496" t="s">
        <v>1806</v>
      </c>
    </row>
    <row r="461" spans="1:7">
      <c r="A461" s="496" t="s">
        <v>1813</v>
      </c>
      <c r="B461" s="496" t="s">
        <v>1866</v>
      </c>
      <c r="C461" s="496" t="s">
        <v>631</v>
      </c>
      <c r="D461" s="497">
        <v>44330</v>
      </c>
      <c r="E461" s="498">
        <v>17143</v>
      </c>
      <c r="F461" s="496">
        <v>1007010009</v>
      </c>
      <c r="G461" s="496" t="s">
        <v>1806</v>
      </c>
    </row>
    <row r="462" spans="1:7">
      <c r="A462" s="496" t="s">
        <v>1815</v>
      </c>
      <c r="B462" s="496" t="s">
        <v>1870</v>
      </c>
      <c r="C462" s="496" t="s">
        <v>631</v>
      </c>
      <c r="D462" s="497">
        <v>44364</v>
      </c>
      <c r="E462" s="498">
        <v>12126</v>
      </c>
      <c r="F462" s="496">
        <v>1007010009</v>
      </c>
      <c r="G462" s="496" t="s">
        <v>1806</v>
      </c>
    </row>
    <row r="463" spans="1:7">
      <c r="A463" s="496" t="s">
        <v>1817</v>
      </c>
      <c r="B463" s="496" t="s">
        <v>1871</v>
      </c>
      <c r="C463" s="496" t="s">
        <v>631</v>
      </c>
      <c r="D463" s="497">
        <v>44385</v>
      </c>
      <c r="E463" s="498">
        <v>14337</v>
      </c>
      <c r="F463" s="496">
        <v>1007010009</v>
      </c>
      <c r="G463" s="496" t="s">
        <v>1819</v>
      </c>
    </row>
    <row r="464" spans="1:7">
      <c r="A464" s="496" t="s">
        <v>1820</v>
      </c>
      <c r="B464" s="496" t="s">
        <v>1875</v>
      </c>
      <c r="C464" s="496" t="s">
        <v>631</v>
      </c>
      <c r="D464" s="497">
        <v>44420</v>
      </c>
      <c r="E464" s="498">
        <v>14290</v>
      </c>
      <c r="F464" s="496">
        <v>1007010009</v>
      </c>
      <c r="G464" s="496" t="s">
        <v>1806</v>
      </c>
    </row>
    <row r="465" spans="1:7">
      <c r="A465" s="496" t="s">
        <v>1822</v>
      </c>
      <c r="B465" s="496" t="s">
        <v>1876</v>
      </c>
      <c r="C465" s="496" t="s">
        <v>631</v>
      </c>
      <c r="D465" s="497">
        <v>44450</v>
      </c>
      <c r="E465" s="498">
        <v>18044</v>
      </c>
      <c r="F465" s="496">
        <v>1007010009</v>
      </c>
      <c r="G465" s="496" t="s">
        <v>1806</v>
      </c>
    </row>
    <row r="466" spans="1:7">
      <c r="A466" s="496" t="s">
        <v>1824</v>
      </c>
      <c r="B466" s="496" t="s">
        <v>1883</v>
      </c>
      <c r="C466" s="496" t="s">
        <v>631</v>
      </c>
      <c r="D466" s="497">
        <v>44490</v>
      </c>
      <c r="E466" s="498">
        <v>17071</v>
      </c>
      <c r="F466" s="496">
        <v>1007010009</v>
      </c>
      <c r="G466" s="496" t="s">
        <v>1806</v>
      </c>
    </row>
    <row r="467" spans="1:7">
      <c r="A467" s="496" t="s">
        <v>1826</v>
      </c>
      <c r="B467" s="496" t="s">
        <v>1884</v>
      </c>
      <c r="C467" s="496" t="s">
        <v>631</v>
      </c>
      <c r="D467" s="497">
        <v>44512</v>
      </c>
      <c r="E467" s="498">
        <v>16422</v>
      </c>
      <c r="F467" s="496">
        <v>1007010009</v>
      </c>
      <c r="G467" s="496" t="s">
        <v>1806</v>
      </c>
    </row>
    <row r="468" spans="1:7">
      <c r="A468" s="496" t="s">
        <v>1828</v>
      </c>
      <c r="B468" s="496" t="s">
        <v>1887</v>
      </c>
      <c r="C468" s="496" t="s">
        <v>631</v>
      </c>
      <c r="D468" s="497">
        <v>44541</v>
      </c>
      <c r="E468" s="498">
        <v>11233</v>
      </c>
      <c r="F468" s="496">
        <v>1007010009</v>
      </c>
      <c r="G468" s="496" t="s">
        <v>1806</v>
      </c>
    </row>
    <row r="469" spans="1:7">
      <c r="A469" s="496" t="s">
        <v>1836</v>
      </c>
      <c r="B469" s="496" t="s">
        <v>1837</v>
      </c>
      <c r="C469" s="496" t="s">
        <v>631</v>
      </c>
      <c r="D469" s="497">
        <v>43841</v>
      </c>
      <c r="E469" s="498">
        <v>33774</v>
      </c>
      <c r="F469" s="496">
        <v>1007010010</v>
      </c>
      <c r="G469" s="496" t="s">
        <v>1382</v>
      </c>
    </row>
    <row r="470" spans="1:7">
      <c r="A470" s="496" t="s">
        <v>1838</v>
      </c>
      <c r="B470" s="496" t="s">
        <v>1839</v>
      </c>
      <c r="C470" s="496" t="s">
        <v>631</v>
      </c>
      <c r="D470" s="497">
        <v>43871</v>
      </c>
      <c r="E470" s="498">
        <v>35055</v>
      </c>
      <c r="F470" s="496">
        <v>1007010010</v>
      </c>
      <c r="G470" s="496" t="s">
        <v>1382</v>
      </c>
    </row>
    <row r="471" spans="1:7">
      <c r="A471" s="496" t="s">
        <v>1840</v>
      </c>
      <c r="B471" s="496" t="s">
        <v>1841</v>
      </c>
      <c r="C471" s="496" t="s">
        <v>631</v>
      </c>
      <c r="D471" s="497">
        <v>43900</v>
      </c>
      <c r="E471" s="498">
        <v>22584</v>
      </c>
      <c r="F471" s="496">
        <v>1007010010</v>
      </c>
      <c r="G471" s="496" t="s">
        <v>1382</v>
      </c>
    </row>
    <row r="472" spans="1:7">
      <c r="A472" s="496" t="s">
        <v>1842</v>
      </c>
      <c r="B472" s="496" t="s">
        <v>1843</v>
      </c>
      <c r="C472" s="496" t="s">
        <v>631</v>
      </c>
      <c r="D472" s="497">
        <v>43934</v>
      </c>
      <c r="E472" s="498">
        <v>20346</v>
      </c>
      <c r="F472" s="496">
        <v>1007010010</v>
      </c>
      <c r="G472" s="496" t="s">
        <v>1382</v>
      </c>
    </row>
    <row r="473" spans="1:7">
      <c r="A473" s="496" t="s">
        <v>1844</v>
      </c>
      <c r="B473" s="496" t="s">
        <v>1845</v>
      </c>
      <c r="C473" s="496" t="s">
        <v>631</v>
      </c>
      <c r="D473" s="497">
        <v>43958</v>
      </c>
      <c r="E473" s="498">
        <v>18660</v>
      </c>
      <c r="F473" s="496">
        <v>1007010010</v>
      </c>
      <c r="G473" s="496" t="s">
        <v>1382</v>
      </c>
    </row>
    <row r="474" spans="1:7">
      <c r="A474" s="496" t="s">
        <v>1846</v>
      </c>
      <c r="B474" s="496" t="s">
        <v>1847</v>
      </c>
      <c r="C474" s="496" t="s">
        <v>631</v>
      </c>
      <c r="D474" s="497">
        <v>44001</v>
      </c>
      <c r="E474" s="498">
        <v>10218</v>
      </c>
      <c r="F474" s="496">
        <v>1007010010</v>
      </c>
      <c r="G474" s="496" t="s">
        <v>1382</v>
      </c>
    </row>
    <row r="475" spans="1:7">
      <c r="A475" s="496" t="s">
        <v>1848</v>
      </c>
      <c r="B475" s="496" t="s">
        <v>1849</v>
      </c>
      <c r="C475" s="496" t="s">
        <v>631</v>
      </c>
      <c r="D475" s="497">
        <v>44015</v>
      </c>
      <c r="E475" s="498">
        <v>9834</v>
      </c>
      <c r="F475" s="496">
        <v>1007010010</v>
      </c>
      <c r="G475" s="496" t="s">
        <v>1382</v>
      </c>
    </row>
    <row r="476" spans="1:7">
      <c r="A476" s="496" t="s">
        <v>1850</v>
      </c>
      <c r="B476" s="496" t="s">
        <v>1851</v>
      </c>
      <c r="C476" s="496" t="s">
        <v>631</v>
      </c>
      <c r="D476" s="497">
        <v>44055</v>
      </c>
      <c r="E476" s="498">
        <v>16741</v>
      </c>
      <c r="F476" s="496">
        <v>1007010010</v>
      </c>
      <c r="G476" s="496" t="s">
        <v>1382</v>
      </c>
    </row>
    <row r="477" spans="1:7">
      <c r="A477" s="496" t="s">
        <v>1852</v>
      </c>
      <c r="B477" s="496" t="s">
        <v>1853</v>
      </c>
      <c r="C477" s="496" t="s">
        <v>631</v>
      </c>
      <c r="D477" s="497">
        <v>44088</v>
      </c>
      <c r="E477" s="498">
        <v>20578</v>
      </c>
      <c r="F477" s="496">
        <v>1007010010</v>
      </c>
      <c r="G477" s="496" t="s">
        <v>1382</v>
      </c>
    </row>
    <row r="478" spans="1:7">
      <c r="A478" s="496" t="s">
        <v>1854</v>
      </c>
      <c r="B478" s="496" t="s">
        <v>1855</v>
      </c>
      <c r="C478" s="496" t="s">
        <v>631</v>
      </c>
      <c r="D478" s="497">
        <v>44118</v>
      </c>
      <c r="E478" s="498">
        <v>16358</v>
      </c>
      <c r="F478" s="496">
        <v>1007010010</v>
      </c>
      <c r="G478" s="496" t="s">
        <v>1382</v>
      </c>
    </row>
    <row r="479" spans="1:7">
      <c r="A479" s="496" t="s">
        <v>1856</v>
      </c>
      <c r="B479" s="496" t="s">
        <v>1857</v>
      </c>
      <c r="C479" s="496" t="s">
        <v>631</v>
      </c>
      <c r="D479" s="497">
        <v>44149</v>
      </c>
      <c r="E479" s="498">
        <v>19068</v>
      </c>
      <c r="F479" s="496">
        <v>1007010010</v>
      </c>
      <c r="G479" s="496" t="s">
        <v>1382</v>
      </c>
    </row>
    <row r="480" spans="1:7">
      <c r="A480" s="496" t="s">
        <v>1858</v>
      </c>
      <c r="B480" s="496" t="s">
        <v>1859</v>
      </c>
      <c r="C480" s="496" t="s">
        <v>631</v>
      </c>
      <c r="D480" s="497">
        <v>44174</v>
      </c>
      <c r="E480" s="498">
        <v>19826</v>
      </c>
      <c r="F480" s="496">
        <v>1007010010</v>
      </c>
      <c r="G480" s="496" t="s">
        <v>1382</v>
      </c>
    </row>
    <row r="481" spans="1:7">
      <c r="A481" s="496" t="s">
        <v>1804</v>
      </c>
      <c r="B481" s="496" t="s">
        <v>1912</v>
      </c>
      <c r="C481" s="496" t="s">
        <v>631</v>
      </c>
      <c r="D481" s="497">
        <v>44210</v>
      </c>
      <c r="E481" s="498">
        <v>17233</v>
      </c>
      <c r="F481" s="496">
        <v>1007010010</v>
      </c>
      <c r="G481" s="496" t="s">
        <v>1806</v>
      </c>
    </row>
    <row r="482" spans="1:7">
      <c r="A482" s="496" t="s">
        <v>1807</v>
      </c>
      <c r="B482" s="496" t="s">
        <v>1863</v>
      </c>
      <c r="C482" s="496" t="s">
        <v>631</v>
      </c>
      <c r="D482" s="497">
        <v>44242</v>
      </c>
      <c r="E482" s="498">
        <v>16552</v>
      </c>
      <c r="F482" s="496">
        <v>1007010010</v>
      </c>
      <c r="G482" s="496" t="s">
        <v>1806</v>
      </c>
    </row>
    <row r="483" spans="1:7">
      <c r="A483" s="496" t="s">
        <v>1809</v>
      </c>
      <c r="B483" s="496" t="s">
        <v>1864</v>
      </c>
      <c r="C483" s="496" t="s">
        <v>631</v>
      </c>
      <c r="D483" s="497">
        <v>44264</v>
      </c>
      <c r="E483" s="498">
        <v>14471</v>
      </c>
      <c r="F483" s="496">
        <v>1007010010</v>
      </c>
      <c r="G483" s="496" t="s">
        <v>1806</v>
      </c>
    </row>
    <row r="484" spans="1:7">
      <c r="A484" s="496" t="s">
        <v>1811</v>
      </c>
      <c r="B484" s="496" t="s">
        <v>1865</v>
      </c>
      <c r="C484" s="496" t="s">
        <v>631</v>
      </c>
      <c r="D484" s="497">
        <v>44298</v>
      </c>
      <c r="E484" s="498">
        <v>15675</v>
      </c>
      <c r="F484" s="496">
        <v>1007010010</v>
      </c>
      <c r="G484" s="496" t="s">
        <v>1806</v>
      </c>
    </row>
    <row r="485" spans="1:7">
      <c r="A485" s="496" t="s">
        <v>1813</v>
      </c>
      <c r="B485" s="496" t="s">
        <v>1866</v>
      </c>
      <c r="C485" s="496" t="s">
        <v>631</v>
      </c>
      <c r="D485" s="497">
        <v>44330</v>
      </c>
      <c r="E485" s="498">
        <v>17143</v>
      </c>
      <c r="F485" s="496">
        <v>1007010010</v>
      </c>
      <c r="G485" s="496" t="s">
        <v>1806</v>
      </c>
    </row>
    <row r="486" spans="1:7">
      <c r="A486" s="496" t="s">
        <v>1815</v>
      </c>
      <c r="B486" s="496" t="s">
        <v>1870</v>
      </c>
      <c r="C486" s="496" t="s">
        <v>631</v>
      </c>
      <c r="D486" s="497">
        <v>44364</v>
      </c>
      <c r="E486" s="498">
        <v>12126</v>
      </c>
      <c r="F486" s="496">
        <v>1007010010</v>
      </c>
      <c r="G486" s="496" t="s">
        <v>1806</v>
      </c>
    </row>
    <row r="487" spans="1:7">
      <c r="A487" s="496" t="s">
        <v>1817</v>
      </c>
      <c r="B487" s="496" t="s">
        <v>1871</v>
      </c>
      <c r="C487" s="496" t="s">
        <v>631</v>
      </c>
      <c r="D487" s="497">
        <v>44385</v>
      </c>
      <c r="E487" s="498">
        <v>14337</v>
      </c>
      <c r="F487" s="496">
        <v>1007010010</v>
      </c>
      <c r="G487" s="496" t="s">
        <v>1819</v>
      </c>
    </row>
    <row r="488" spans="1:7">
      <c r="A488" s="496" t="s">
        <v>1820</v>
      </c>
      <c r="B488" s="496" t="s">
        <v>1875</v>
      </c>
      <c r="C488" s="496" t="s">
        <v>631</v>
      </c>
      <c r="D488" s="497">
        <v>44420</v>
      </c>
      <c r="E488" s="498">
        <v>14290</v>
      </c>
      <c r="F488" s="496">
        <v>1007010010</v>
      </c>
      <c r="G488" s="496" t="s">
        <v>1806</v>
      </c>
    </row>
    <row r="489" spans="1:7">
      <c r="A489" s="496" t="s">
        <v>1822</v>
      </c>
      <c r="B489" s="496" t="s">
        <v>1876</v>
      </c>
      <c r="C489" s="496" t="s">
        <v>631</v>
      </c>
      <c r="D489" s="497">
        <v>44450</v>
      </c>
      <c r="E489" s="498">
        <v>18044</v>
      </c>
      <c r="F489" s="496">
        <v>1007010010</v>
      </c>
      <c r="G489" s="496" t="s">
        <v>1806</v>
      </c>
    </row>
    <row r="490" spans="1:7">
      <c r="A490" s="496" t="s">
        <v>1824</v>
      </c>
      <c r="B490" s="496" t="s">
        <v>1883</v>
      </c>
      <c r="C490" s="496" t="s">
        <v>631</v>
      </c>
      <c r="D490" s="497">
        <v>44490</v>
      </c>
      <c r="E490" s="498">
        <v>17071</v>
      </c>
      <c r="F490" s="496">
        <v>1007010010</v>
      </c>
      <c r="G490" s="496" t="s">
        <v>1806</v>
      </c>
    </row>
    <row r="491" spans="1:7">
      <c r="A491" s="496" t="s">
        <v>1826</v>
      </c>
      <c r="B491" s="496" t="s">
        <v>1884</v>
      </c>
      <c r="C491" s="496" t="s">
        <v>631</v>
      </c>
      <c r="D491" s="497">
        <v>44512</v>
      </c>
      <c r="E491" s="498">
        <v>16422</v>
      </c>
      <c r="F491" s="496">
        <v>1007010010</v>
      </c>
      <c r="G491" s="496" t="s">
        <v>1806</v>
      </c>
    </row>
    <row r="492" spans="1:7">
      <c r="A492" s="496" t="s">
        <v>1828</v>
      </c>
      <c r="B492" s="496" t="s">
        <v>1887</v>
      </c>
      <c r="C492" s="496" t="s">
        <v>631</v>
      </c>
      <c r="D492" s="497">
        <v>44541</v>
      </c>
      <c r="E492" s="498">
        <v>11233</v>
      </c>
      <c r="F492" s="496">
        <v>1007010010</v>
      </c>
      <c r="G492" s="496" t="s">
        <v>1806</v>
      </c>
    </row>
    <row r="493" spans="1:7">
      <c r="A493" s="496" t="s">
        <v>1836</v>
      </c>
      <c r="B493" s="496" t="s">
        <v>1837</v>
      </c>
      <c r="C493" s="496" t="s">
        <v>631</v>
      </c>
      <c r="D493" s="497">
        <v>43841</v>
      </c>
      <c r="E493" s="498">
        <v>33774</v>
      </c>
      <c r="F493" s="496">
        <v>1007010011</v>
      </c>
      <c r="G493" s="496" t="s">
        <v>1382</v>
      </c>
    </row>
    <row r="494" spans="1:7">
      <c r="A494" s="496" t="s">
        <v>1838</v>
      </c>
      <c r="B494" s="496" t="s">
        <v>1839</v>
      </c>
      <c r="C494" s="496" t="s">
        <v>631</v>
      </c>
      <c r="D494" s="497">
        <v>43871</v>
      </c>
      <c r="E494" s="498">
        <v>35055</v>
      </c>
      <c r="F494" s="496">
        <v>1007010011</v>
      </c>
      <c r="G494" s="496" t="s">
        <v>1382</v>
      </c>
    </row>
    <row r="495" spans="1:7">
      <c r="A495" s="496" t="s">
        <v>1840</v>
      </c>
      <c r="B495" s="496" t="s">
        <v>1841</v>
      </c>
      <c r="C495" s="496" t="s">
        <v>631</v>
      </c>
      <c r="D495" s="497">
        <v>43900</v>
      </c>
      <c r="E495" s="498">
        <v>22584</v>
      </c>
      <c r="F495" s="496">
        <v>1007010011</v>
      </c>
      <c r="G495" s="496" t="s">
        <v>1382</v>
      </c>
    </row>
    <row r="496" spans="1:7">
      <c r="A496" s="496" t="s">
        <v>1842</v>
      </c>
      <c r="B496" s="496" t="s">
        <v>1843</v>
      </c>
      <c r="C496" s="496" t="s">
        <v>631</v>
      </c>
      <c r="D496" s="497">
        <v>43934</v>
      </c>
      <c r="E496" s="498">
        <v>20346</v>
      </c>
      <c r="F496" s="496">
        <v>1007010011</v>
      </c>
      <c r="G496" s="496" t="s">
        <v>1382</v>
      </c>
    </row>
    <row r="497" spans="1:7">
      <c r="A497" s="496" t="s">
        <v>1844</v>
      </c>
      <c r="B497" s="496" t="s">
        <v>1845</v>
      </c>
      <c r="C497" s="496" t="s">
        <v>631</v>
      </c>
      <c r="D497" s="497">
        <v>43958</v>
      </c>
      <c r="E497" s="498">
        <v>18660</v>
      </c>
      <c r="F497" s="496">
        <v>1007010011</v>
      </c>
      <c r="G497" s="496" t="s">
        <v>1382</v>
      </c>
    </row>
    <row r="498" spans="1:7">
      <c r="A498" s="496" t="s">
        <v>1846</v>
      </c>
      <c r="B498" s="496" t="s">
        <v>1847</v>
      </c>
      <c r="C498" s="496" t="s">
        <v>631</v>
      </c>
      <c r="D498" s="497">
        <v>44001</v>
      </c>
      <c r="E498" s="498">
        <v>10218</v>
      </c>
      <c r="F498" s="496">
        <v>1007010011</v>
      </c>
      <c r="G498" s="496" t="s">
        <v>1382</v>
      </c>
    </row>
    <row r="499" spans="1:7">
      <c r="A499" s="496" t="s">
        <v>1848</v>
      </c>
      <c r="B499" s="496" t="s">
        <v>1849</v>
      </c>
      <c r="C499" s="496" t="s">
        <v>631</v>
      </c>
      <c r="D499" s="497">
        <v>44015</v>
      </c>
      <c r="E499" s="498">
        <v>9834</v>
      </c>
      <c r="F499" s="496">
        <v>1007010011</v>
      </c>
      <c r="G499" s="496" t="s">
        <v>1382</v>
      </c>
    </row>
    <row r="500" spans="1:7">
      <c r="A500" s="496" t="s">
        <v>1850</v>
      </c>
      <c r="B500" s="496" t="s">
        <v>1851</v>
      </c>
      <c r="C500" s="496" t="s">
        <v>631</v>
      </c>
      <c r="D500" s="497">
        <v>44055</v>
      </c>
      <c r="E500" s="498">
        <v>16741</v>
      </c>
      <c r="F500" s="496">
        <v>1007010011</v>
      </c>
      <c r="G500" s="496" t="s">
        <v>1382</v>
      </c>
    </row>
    <row r="501" spans="1:7">
      <c r="A501" s="496" t="s">
        <v>1852</v>
      </c>
      <c r="B501" s="496" t="s">
        <v>1853</v>
      </c>
      <c r="C501" s="496" t="s">
        <v>631</v>
      </c>
      <c r="D501" s="497">
        <v>44088</v>
      </c>
      <c r="E501" s="498">
        <v>20578</v>
      </c>
      <c r="F501" s="496">
        <v>1007010011</v>
      </c>
      <c r="G501" s="496" t="s">
        <v>1382</v>
      </c>
    </row>
    <row r="502" spans="1:7">
      <c r="A502" s="496" t="s">
        <v>1854</v>
      </c>
      <c r="B502" s="496" t="s">
        <v>1855</v>
      </c>
      <c r="C502" s="496" t="s">
        <v>631</v>
      </c>
      <c r="D502" s="497">
        <v>44118</v>
      </c>
      <c r="E502" s="498">
        <v>16358</v>
      </c>
      <c r="F502" s="496">
        <v>1007010011</v>
      </c>
      <c r="G502" s="496" t="s">
        <v>1382</v>
      </c>
    </row>
    <row r="503" spans="1:7">
      <c r="A503" s="496" t="s">
        <v>1856</v>
      </c>
      <c r="B503" s="496" t="s">
        <v>1857</v>
      </c>
      <c r="C503" s="496" t="s">
        <v>631</v>
      </c>
      <c r="D503" s="497">
        <v>44149</v>
      </c>
      <c r="E503" s="498">
        <v>19068</v>
      </c>
      <c r="F503" s="496">
        <v>1007010011</v>
      </c>
      <c r="G503" s="496" t="s">
        <v>1382</v>
      </c>
    </row>
    <row r="504" spans="1:7">
      <c r="A504" s="496" t="s">
        <v>1858</v>
      </c>
      <c r="B504" s="496" t="s">
        <v>1859</v>
      </c>
      <c r="C504" s="496" t="s">
        <v>631</v>
      </c>
      <c r="D504" s="497">
        <v>44174</v>
      </c>
      <c r="E504" s="498">
        <v>19826</v>
      </c>
      <c r="F504" s="496">
        <v>1007010011</v>
      </c>
      <c r="G504" s="496" t="s">
        <v>1382</v>
      </c>
    </row>
    <row r="505" spans="1:7">
      <c r="A505" s="496" t="s">
        <v>1804</v>
      </c>
      <c r="B505" s="496" t="s">
        <v>1912</v>
      </c>
      <c r="C505" s="496" t="s">
        <v>631</v>
      </c>
      <c r="D505" s="497">
        <v>44210</v>
      </c>
      <c r="E505" s="498">
        <v>17233</v>
      </c>
      <c r="F505" s="496">
        <v>1007010011</v>
      </c>
      <c r="G505" s="496" t="s">
        <v>1806</v>
      </c>
    </row>
    <row r="506" spans="1:7">
      <c r="A506" s="496" t="s">
        <v>1807</v>
      </c>
      <c r="B506" s="496" t="s">
        <v>1863</v>
      </c>
      <c r="C506" s="496" t="s">
        <v>631</v>
      </c>
      <c r="D506" s="497">
        <v>44242</v>
      </c>
      <c r="E506" s="498">
        <v>16552</v>
      </c>
      <c r="F506" s="496">
        <v>1007010011</v>
      </c>
      <c r="G506" s="496" t="s">
        <v>1806</v>
      </c>
    </row>
    <row r="507" spans="1:7">
      <c r="A507" s="496" t="s">
        <v>1809</v>
      </c>
      <c r="B507" s="496" t="s">
        <v>1864</v>
      </c>
      <c r="C507" s="496" t="s">
        <v>631</v>
      </c>
      <c r="D507" s="497">
        <v>44264</v>
      </c>
      <c r="E507" s="498">
        <v>14471</v>
      </c>
      <c r="F507" s="496">
        <v>1007010011</v>
      </c>
      <c r="G507" s="496" t="s">
        <v>1806</v>
      </c>
    </row>
    <row r="508" spans="1:7">
      <c r="A508" s="496" t="s">
        <v>1811</v>
      </c>
      <c r="B508" s="496" t="s">
        <v>1865</v>
      </c>
      <c r="C508" s="496" t="s">
        <v>631</v>
      </c>
      <c r="D508" s="497">
        <v>44298</v>
      </c>
      <c r="E508" s="498">
        <v>15675</v>
      </c>
      <c r="F508" s="496">
        <v>1007010011</v>
      </c>
      <c r="G508" s="496" t="s">
        <v>1806</v>
      </c>
    </row>
    <row r="509" spans="1:7">
      <c r="A509" s="496" t="s">
        <v>1813</v>
      </c>
      <c r="B509" s="496" t="s">
        <v>1866</v>
      </c>
      <c r="C509" s="496" t="s">
        <v>631</v>
      </c>
      <c r="D509" s="497">
        <v>44330</v>
      </c>
      <c r="E509" s="498">
        <v>17143</v>
      </c>
      <c r="F509" s="496">
        <v>1007010011</v>
      </c>
      <c r="G509" s="496" t="s">
        <v>1806</v>
      </c>
    </row>
    <row r="510" spans="1:7">
      <c r="A510" s="496" t="s">
        <v>1815</v>
      </c>
      <c r="B510" s="496" t="s">
        <v>1870</v>
      </c>
      <c r="C510" s="496" t="s">
        <v>631</v>
      </c>
      <c r="D510" s="497">
        <v>44364</v>
      </c>
      <c r="E510" s="498">
        <v>12126</v>
      </c>
      <c r="F510" s="496">
        <v>1007010011</v>
      </c>
      <c r="G510" s="496" t="s">
        <v>1806</v>
      </c>
    </row>
    <row r="511" spans="1:7">
      <c r="A511" s="496" t="s">
        <v>1817</v>
      </c>
      <c r="B511" s="496" t="s">
        <v>1871</v>
      </c>
      <c r="C511" s="496" t="s">
        <v>631</v>
      </c>
      <c r="D511" s="497">
        <v>44385</v>
      </c>
      <c r="E511" s="498">
        <v>14337</v>
      </c>
      <c r="F511" s="496">
        <v>1007010011</v>
      </c>
      <c r="G511" s="496" t="s">
        <v>1819</v>
      </c>
    </row>
    <row r="512" spans="1:7">
      <c r="A512" s="496" t="s">
        <v>1820</v>
      </c>
      <c r="B512" s="496" t="s">
        <v>1875</v>
      </c>
      <c r="C512" s="496" t="s">
        <v>631</v>
      </c>
      <c r="D512" s="497">
        <v>44420</v>
      </c>
      <c r="E512" s="498">
        <v>14290</v>
      </c>
      <c r="F512" s="496">
        <v>1007010011</v>
      </c>
      <c r="G512" s="496" t="s">
        <v>1806</v>
      </c>
    </row>
    <row r="513" spans="1:7">
      <c r="A513" s="496" t="s">
        <v>1822</v>
      </c>
      <c r="B513" s="496" t="s">
        <v>1876</v>
      </c>
      <c r="C513" s="496" t="s">
        <v>631</v>
      </c>
      <c r="D513" s="497">
        <v>44450</v>
      </c>
      <c r="E513" s="498">
        <v>18044</v>
      </c>
      <c r="F513" s="496">
        <v>1007010011</v>
      </c>
      <c r="G513" s="496" t="s">
        <v>1806</v>
      </c>
    </row>
    <row r="514" spans="1:7">
      <c r="A514" s="496" t="s">
        <v>1824</v>
      </c>
      <c r="B514" s="496" t="s">
        <v>1883</v>
      </c>
      <c r="C514" s="496" t="s">
        <v>631</v>
      </c>
      <c r="D514" s="497">
        <v>44490</v>
      </c>
      <c r="E514" s="498">
        <v>17071</v>
      </c>
      <c r="F514" s="496">
        <v>1007010011</v>
      </c>
      <c r="G514" s="496" t="s">
        <v>1806</v>
      </c>
    </row>
    <row r="515" spans="1:7">
      <c r="A515" s="496" t="s">
        <v>1826</v>
      </c>
      <c r="B515" s="496" t="s">
        <v>1884</v>
      </c>
      <c r="C515" s="496" t="s">
        <v>631</v>
      </c>
      <c r="D515" s="497">
        <v>44512</v>
      </c>
      <c r="E515" s="498">
        <v>16422</v>
      </c>
      <c r="F515" s="496">
        <v>1007010011</v>
      </c>
      <c r="G515" s="496" t="s">
        <v>1806</v>
      </c>
    </row>
    <row r="516" spans="1:7">
      <c r="A516" s="496" t="s">
        <v>1828</v>
      </c>
      <c r="B516" s="496" t="s">
        <v>1887</v>
      </c>
      <c r="C516" s="496" t="s">
        <v>631</v>
      </c>
      <c r="D516" s="497">
        <v>44541</v>
      </c>
      <c r="E516" s="498">
        <v>11233</v>
      </c>
      <c r="F516" s="496">
        <v>1007010011</v>
      </c>
      <c r="G516" s="496" t="s">
        <v>1806</v>
      </c>
    </row>
    <row r="517" spans="1:7">
      <c r="A517" s="496" t="s">
        <v>1836</v>
      </c>
      <c r="B517" s="496" t="s">
        <v>1837</v>
      </c>
      <c r="C517" s="496" t="s">
        <v>631</v>
      </c>
      <c r="D517" s="497">
        <v>43841</v>
      </c>
      <c r="E517" s="498">
        <v>33774</v>
      </c>
      <c r="F517" s="496">
        <v>1007010012</v>
      </c>
      <c r="G517" s="496" t="s">
        <v>1382</v>
      </c>
    </row>
    <row r="518" spans="1:7">
      <c r="A518" s="496" t="s">
        <v>1838</v>
      </c>
      <c r="B518" s="496" t="s">
        <v>1839</v>
      </c>
      <c r="C518" s="496" t="s">
        <v>631</v>
      </c>
      <c r="D518" s="497">
        <v>43871</v>
      </c>
      <c r="E518" s="498">
        <v>35055</v>
      </c>
      <c r="F518" s="496">
        <v>1007010012</v>
      </c>
      <c r="G518" s="496" t="s">
        <v>1382</v>
      </c>
    </row>
    <row r="519" spans="1:7">
      <c r="A519" s="496" t="s">
        <v>1840</v>
      </c>
      <c r="B519" s="496" t="s">
        <v>1841</v>
      </c>
      <c r="C519" s="496" t="s">
        <v>631</v>
      </c>
      <c r="D519" s="497">
        <v>43900</v>
      </c>
      <c r="E519" s="498">
        <v>22584</v>
      </c>
      <c r="F519" s="496">
        <v>1007010012</v>
      </c>
      <c r="G519" s="496" t="s">
        <v>1382</v>
      </c>
    </row>
    <row r="520" spans="1:7">
      <c r="A520" s="496" t="s">
        <v>1842</v>
      </c>
      <c r="B520" s="496" t="s">
        <v>1843</v>
      </c>
      <c r="C520" s="496" t="s">
        <v>631</v>
      </c>
      <c r="D520" s="497">
        <v>43934</v>
      </c>
      <c r="E520" s="498">
        <v>20346</v>
      </c>
      <c r="F520" s="496">
        <v>1007010012</v>
      </c>
      <c r="G520" s="496" t="s">
        <v>1382</v>
      </c>
    </row>
    <row r="521" spans="1:7">
      <c r="A521" s="496" t="s">
        <v>1844</v>
      </c>
      <c r="B521" s="496" t="s">
        <v>1845</v>
      </c>
      <c r="C521" s="496" t="s">
        <v>631</v>
      </c>
      <c r="D521" s="497">
        <v>43958</v>
      </c>
      <c r="E521" s="498">
        <v>18660</v>
      </c>
      <c r="F521" s="496">
        <v>1007010012</v>
      </c>
      <c r="G521" s="496" t="s">
        <v>1382</v>
      </c>
    </row>
    <row r="522" spans="1:7">
      <c r="A522" s="496" t="s">
        <v>1846</v>
      </c>
      <c r="B522" s="496" t="s">
        <v>1847</v>
      </c>
      <c r="C522" s="496" t="s">
        <v>631</v>
      </c>
      <c r="D522" s="497">
        <v>44001</v>
      </c>
      <c r="E522" s="498">
        <v>10218</v>
      </c>
      <c r="F522" s="496">
        <v>1007010012</v>
      </c>
      <c r="G522" s="496" t="s">
        <v>1382</v>
      </c>
    </row>
    <row r="523" spans="1:7">
      <c r="A523" s="496" t="s">
        <v>1848</v>
      </c>
      <c r="B523" s="496" t="s">
        <v>1849</v>
      </c>
      <c r="C523" s="496" t="s">
        <v>631</v>
      </c>
      <c r="D523" s="497">
        <v>44015</v>
      </c>
      <c r="E523" s="498">
        <v>9834</v>
      </c>
      <c r="F523" s="496">
        <v>1007010012</v>
      </c>
      <c r="G523" s="496" t="s">
        <v>1382</v>
      </c>
    </row>
    <row r="524" spans="1:7">
      <c r="A524" s="496" t="s">
        <v>1850</v>
      </c>
      <c r="B524" s="496" t="s">
        <v>1851</v>
      </c>
      <c r="C524" s="496" t="s">
        <v>631</v>
      </c>
      <c r="D524" s="497">
        <v>44055</v>
      </c>
      <c r="E524" s="498">
        <v>16741</v>
      </c>
      <c r="F524" s="496">
        <v>1007010012</v>
      </c>
      <c r="G524" s="496" t="s">
        <v>1382</v>
      </c>
    </row>
    <row r="525" spans="1:7">
      <c r="A525" s="496" t="s">
        <v>1852</v>
      </c>
      <c r="B525" s="496" t="s">
        <v>1853</v>
      </c>
      <c r="C525" s="496" t="s">
        <v>631</v>
      </c>
      <c r="D525" s="497">
        <v>44088</v>
      </c>
      <c r="E525" s="498">
        <v>20578</v>
      </c>
      <c r="F525" s="496">
        <v>1007010012</v>
      </c>
      <c r="G525" s="496" t="s">
        <v>1382</v>
      </c>
    </row>
    <row r="526" spans="1:7">
      <c r="A526" s="496" t="s">
        <v>1854</v>
      </c>
      <c r="B526" s="496" t="s">
        <v>1855</v>
      </c>
      <c r="C526" s="496" t="s">
        <v>631</v>
      </c>
      <c r="D526" s="497">
        <v>44118</v>
      </c>
      <c r="E526" s="498">
        <v>16358</v>
      </c>
      <c r="F526" s="496">
        <v>1007010012</v>
      </c>
      <c r="G526" s="496" t="s">
        <v>1382</v>
      </c>
    </row>
    <row r="527" spans="1:7">
      <c r="A527" s="496" t="s">
        <v>1856</v>
      </c>
      <c r="B527" s="496" t="s">
        <v>1857</v>
      </c>
      <c r="C527" s="496" t="s">
        <v>631</v>
      </c>
      <c r="D527" s="497">
        <v>44149</v>
      </c>
      <c r="E527" s="498">
        <v>19068</v>
      </c>
      <c r="F527" s="496">
        <v>1007010012</v>
      </c>
      <c r="G527" s="496" t="s">
        <v>1382</v>
      </c>
    </row>
    <row r="528" spans="1:7">
      <c r="A528" s="496" t="s">
        <v>1858</v>
      </c>
      <c r="B528" s="496" t="s">
        <v>1859</v>
      </c>
      <c r="C528" s="496" t="s">
        <v>631</v>
      </c>
      <c r="D528" s="497">
        <v>44174</v>
      </c>
      <c r="E528" s="498">
        <v>19826</v>
      </c>
      <c r="F528" s="496">
        <v>1007010012</v>
      </c>
      <c r="G528" s="496" t="s">
        <v>1382</v>
      </c>
    </row>
    <row r="529" spans="1:7">
      <c r="A529" s="496" t="s">
        <v>1804</v>
      </c>
      <c r="B529" s="496" t="s">
        <v>1912</v>
      </c>
      <c r="C529" s="496" t="s">
        <v>631</v>
      </c>
      <c r="D529" s="497">
        <v>44210</v>
      </c>
      <c r="E529" s="498">
        <v>17233</v>
      </c>
      <c r="F529" s="496">
        <v>1007010012</v>
      </c>
      <c r="G529" s="496" t="s">
        <v>1806</v>
      </c>
    </row>
    <row r="530" spans="1:7">
      <c r="A530" s="496" t="s">
        <v>1807</v>
      </c>
      <c r="B530" s="496" t="s">
        <v>1863</v>
      </c>
      <c r="C530" s="496" t="s">
        <v>631</v>
      </c>
      <c r="D530" s="497">
        <v>44242</v>
      </c>
      <c r="E530" s="498">
        <v>16552</v>
      </c>
      <c r="F530" s="496">
        <v>1007010012</v>
      </c>
      <c r="G530" s="496" t="s">
        <v>1806</v>
      </c>
    </row>
    <row r="531" spans="1:7">
      <c r="A531" s="496" t="s">
        <v>1809</v>
      </c>
      <c r="B531" s="496" t="s">
        <v>1864</v>
      </c>
      <c r="C531" s="496" t="s">
        <v>631</v>
      </c>
      <c r="D531" s="497">
        <v>44264</v>
      </c>
      <c r="E531" s="498">
        <v>14471</v>
      </c>
      <c r="F531" s="496">
        <v>1007010012</v>
      </c>
      <c r="G531" s="496" t="s">
        <v>1806</v>
      </c>
    </row>
    <row r="532" spans="1:7">
      <c r="A532" s="496" t="s">
        <v>1811</v>
      </c>
      <c r="B532" s="496" t="s">
        <v>1865</v>
      </c>
      <c r="C532" s="496" t="s">
        <v>631</v>
      </c>
      <c r="D532" s="497">
        <v>44298</v>
      </c>
      <c r="E532" s="498">
        <v>15675</v>
      </c>
      <c r="F532" s="496">
        <v>1007010012</v>
      </c>
      <c r="G532" s="496" t="s">
        <v>1806</v>
      </c>
    </row>
    <row r="533" spans="1:7">
      <c r="A533" s="496" t="s">
        <v>1813</v>
      </c>
      <c r="B533" s="496" t="s">
        <v>1866</v>
      </c>
      <c r="C533" s="496" t="s">
        <v>631</v>
      </c>
      <c r="D533" s="497">
        <v>44330</v>
      </c>
      <c r="E533" s="498">
        <v>17143</v>
      </c>
      <c r="F533" s="496">
        <v>1007010012</v>
      </c>
      <c r="G533" s="496" t="s">
        <v>1806</v>
      </c>
    </row>
    <row r="534" spans="1:7">
      <c r="A534" s="496" t="s">
        <v>1815</v>
      </c>
      <c r="B534" s="496" t="s">
        <v>1870</v>
      </c>
      <c r="C534" s="496" t="s">
        <v>631</v>
      </c>
      <c r="D534" s="497">
        <v>44364</v>
      </c>
      <c r="E534" s="498">
        <v>12126</v>
      </c>
      <c r="F534" s="496">
        <v>1007010012</v>
      </c>
      <c r="G534" s="496" t="s">
        <v>1806</v>
      </c>
    </row>
    <row r="535" spans="1:7">
      <c r="A535" s="496" t="s">
        <v>1817</v>
      </c>
      <c r="B535" s="496" t="s">
        <v>1871</v>
      </c>
      <c r="C535" s="496" t="s">
        <v>631</v>
      </c>
      <c r="D535" s="497">
        <v>44385</v>
      </c>
      <c r="E535" s="498">
        <v>14337</v>
      </c>
      <c r="F535" s="496">
        <v>1007010012</v>
      </c>
      <c r="G535" s="496" t="s">
        <v>1819</v>
      </c>
    </row>
    <row r="536" spans="1:7">
      <c r="A536" s="496" t="s">
        <v>1820</v>
      </c>
      <c r="B536" s="496" t="s">
        <v>1875</v>
      </c>
      <c r="C536" s="496" t="s">
        <v>631</v>
      </c>
      <c r="D536" s="497">
        <v>44420</v>
      </c>
      <c r="E536" s="498">
        <v>14290</v>
      </c>
      <c r="F536" s="496">
        <v>1007010012</v>
      </c>
      <c r="G536" s="496" t="s">
        <v>1806</v>
      </c>
    </row>
    <row r="537" spans="1:7">
      <c r="A537" s="496" t="s">
        <v>1822</v>
      </c>
      <c r="B537" s="496" t="s">
        <v>1876</v>
      </c>
      <c r="C537" s="496" t="s">
        <v>631</v>
      </c>
      <c r="D537" s="497">
        <v>44450</v>
      </c>
      <c r="E537" s="498">
        <v>18044</v>
      </c>
      <c r="F537" s="496">
        <v>1007010012</v>
      </c>
      <c r="G537" s="496" t="s">
        <v>1806</v>
      </c>
    </row>
    <row r="538" spans="1:7">
      <c r="A538" s="496" t="s">
        <v>1824</v>
      </c>
      <c r="B538" s="496" t="s">
        <v>1883</v>
      </c>
      <c r="C538" s="496" t="s">
        <v>631</v>
      </c>
      <c r="D538" s="497">
        <v>44490</v>
      </c>
      <c r="E538" s="498">
        <v>17071</v>
      </c>
      <c r="F538" s="496">
        <v>1007010012</v>
      </c>
      <c r="G538" s="496" t="s">
        <v>1806</v>
      </c>
    </row>
    <row r="539" spans="1:7">
      <c r="A539" s="496" t="s">
        <v>1826</v>
      </c>
      <c r="B539" s="496" t="s">
        <v>1884</v>
      </c>
      <c r="C539" s="496" t="s">
        <v>631</v>
      </c>
      <c r="D539" s="497">
        <v>44512</v>
      </c>
      <c r="E539" s="498">
        <v>16422</v>
      </c>
      <c r="F539" s="496">
        <v>1007010012</v>
      </c>
      <c r="G539" s="496" t="s">
        <v>1806</v>
      </c>
    </row>
    <row r="540" spans="1:7">
      <c r="A540" s="496" t="s">
        <v>1828</v>
      </c>
      <c r="B540" s="496" t="s">
        <v>1887</v>
      </c>
      <c r="C540" s="496" t="s">
        <v>631</v>
      </c>
      <c r="D540" s="497">
        <v>44541</v>
      </c>
      <c r="E540" s="498">
        <v>11233</v>
      </c>
      <c r="F540" s="496">
        <v>1007010012</v>
      </c>
      <c r="G540" s="496" t="s">
        <v>1806</v>
      </c>
    </row>
    <row r="541" spans="1:7">
      <c r="A541" s="496" t="s">
        <v>1804</v>
      </c>
      <c r="B541" s="496" t="s">
        <v>1805</v>
      </c>
      <c r="C541" s="496" t="s">
        <v>631</v>
      </c>
      <c r="D541" s="497">
        <v>44210</v>
      </c>
      <c r="E541" s="498">
        <v>17233</v>
      </c>
      <c r="F541" s="496">
        <v>1010010001</v>
      </c>
      <c r="G541" s="496" t="s">
        <v>1806</v>
      </c>
    </row>
    <row r="542" spans="1:7">
      <c r="A542" s="496" t="s">
        <v>1807</v>
      </c>
      <c r="B542" s="496" t="s">
        <v>1808</v>
      </c>
      <c r="C542" s="496" t="s">
        <v>631</v>
      </c>
      <c r="D542" s="497">
        <v>44242</v>
      </c>
      <c r="E542" s="498">
        <v>7991</v>
      </c>
      <c r="F542" s="496">
        <v>1010010001</v>
      </c>
      <c r="G542" s="496" t="s">
        <v>1806</v>
      </c>
    </row>
    <row r="543" spans="1:7">
      <c r="A543" s="496" t="s">
        <v>1809</v>
      </c>
      <c r="B543" s="496" t="s">
        <v>1810</v>
      </c>
      <c r="C543" s="496" t="s">
        <v>631</v>
      </c>
      <c r="D543" s="497">
        <v>44264</v>
      </c>
      <c r="E543" s="498">
        <v>6986</v>
      </c>
      <c r="F543" s="496">
        <v>1010010001</v>
      </c>
      <c r="G543" s="496" t="s">
        <v>1806</v>
      </c>
    </row>
    <row r="544" spans="1:7">
      <c r="A544" s="496" t="s">
        <v>1811</v>
      </c>
      <c r="B544" s="496" t="s">
        <v>1812</v>
      </c>
      <c r="C544" s="496" t="s">
        <v>631</v>
      </c>
      <c r="D544" s="497">
        <v>44298</v>
      </c>
      <c r="E544" s="498">
        <v>7567</v>
      </c>
      <c r="F544" s="496">
        <v>1010010001</v>
      </c>
      <c r="G544" s="496" t="s">
        <v>1806</v>
      </c>
    </row>
    <row r="545" spans="1:8">
      <c r="A545" s="496" t="s">
        <v>1813</v>
      </c>
      <c r="B545" s="496" t="s">
        <v>1814</v>
      </c>
      <c r="C545" s="496" t="s">
        <v>631</v>
      </c>
      <c r="D545" s="497">
        <v>44330</v>
      </c>
      <c r="E545" s="498">
        <v>8280</v>
      </c>
      <c r="F545" s="496">
        <v>1010010001</v>
      </c>
      <c r="G545" s="496" t="s">
        <v>1806</v>
      </c>
    </row>
    <row r="546" spans="1:8">
      <c r="D546" s="499" t="s">
        <v>1950</v>
      </c>
      <c r="E546" s="317">
        <f>SUBTOTAL(9,E8:E545)</f>
        <v>18305833</v>
      </c>
    </row>
    <row r="547" spans="1:8">
      <c r="D547" s="499"/>
      <c r="E547" s="317">
        <f>+E546*(1+F547)</f>
        <v>20703897.123</v>
      </c>
      <c r="F547" s="500">
        <v>0.13100000000000001</v>
      </c>
      <c r="G547" s="501" t="s">
        <v>149</v>
      </c>
    </row>
    <row r="548" spans="1:8">
      <c r="D548" s="499"/>
      <c r="E548" s="317"/>
      <c r="F548" s="500"/>
      <c r="G548" s="501"/>
      <c r="H548" s="317"/>
    </row>
    <row r="549" spans="1:8">
      <c r="D549" s="502" t="s">
        <v>1951</v>
      </c>
      <c r="E549" s="503">
        <f>+E547*(1+F549)</f>
        <v>23540331.028850999</v>
      </c>
      <c r="F549" s="500">
        <v>0.13700000000000001</v>
      </c>
      <c r="G549" s="501" t="s">
        <v>1952</v>
      </c>
    </row>
  </sheetData>
  <mergeCells count="5">
    <mergeCell ref="A4:G4"/>
    <mergeCell ref="I6:M6"/>
    <mergeCell ref="U8:AB11"/>
    <mergeCell ref="U12:AB13"/>
    <mergeCell ref="U14:AB17"/>
  </mergeCells>
  <phoneticPr fontId="30" type="noConversion"/>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A328"/>
  <sheetViews>
    <sheetView showGridLines="0" topLeftCell="I1" workbookViewId="0">
      <pane ySplit="6" topLeftCell="A7" activePane="bottomLeft" state="frozen"/>
      <selection pane="bottomLeft" activeCell="R4" sqref="R4"/>
    </sheetView>
  </sheetViews>
  <sheetFormatPr baseColWidth="10" defaultRowHeight="15"/>
  <cols>
    <col min="1" max="1" width="14.7109375" style="479" bestFit="1" customWidth="1"/>
    <col min="2" max="2" width="12.7109375" style="479" bestFit="1" customWidth="1"/>
    <col min="3" max="3" width="11.42578125" style="479"/>
    <col min="4" max="4" width="11.5703125" style="479" bestFit="1" customWidth="1"/>
    <col min="5" max="5" width="16.5703125" style="479" customWidth="1"/>
    <col min="6" max="6" width="14.28515625" style="479" bestFit="1" customWidth="1"/>
    <col min="7" max="7" width="58.28515625" style="479" bestFit="1" customWidth="1"/>
    <col min="8" max="8" width="11.5703125" style="479" customWidth="1"/>
    <col min="9" max="9" width="11.5703125" style="479" bestFit="1" customWidth="1"/>
    <col min="10" max="10" width="15" style="479" bestFit="1" customWidth="1"/>
    <col min="11" max="13" width="12.5703125" style="479" bestFit="1" customWidth="1"/>
    <col min="14" max="18" width="12.5703125" style="479" customWidth="1"/>
    <col min="19" max="16384" width="11.42578125" style="479"/>
  </cols>
  <sheetData>
    <row r="1" spans="1:27">
      <c r="J1" s="436" t="s">
        <v>436</v>
      </c>
      <c r="K1" s="436"/>
      <c r="L1" s="436"/>
      <c r="M1" s="436"/>
      <c r="N1" s="436"/>
      <c r="O1" s="436"/>
      <c r="P1" s="436"/>
      <c r="Q1" s="436"/>
      <c r="R1" s="436"/>
    </row>
    <row r="2" spans="1:27">
      <c r="J2" s="294">
        <v>2025</v>
      </c>
      <c r="K2" s="294">
        <v>2026</v>
      </c>
      <c r="L2" s="294">
        <v>2027</v>
      </c>
      <c r="M2" s="294">
        <v>2028</v>
      </c>
      <c r="N2" s="294">
        <v>2029</v>
      </c>
      <c r="O2" s="294">
        <v>2030</v>
      </c>
      <c r="P2" s="294">
        <v>2031</v>
      </c>
      <c r="Q2" s="294">
        <v>2032</v>
      </c>
      <c r="R2" s="294">
        <v>2033</v>
      </c>
    </row>
    <row r="3" spans="1:27">
      <c r="J3" s="481">
        <f>+'IPC - CAFÉ'!E24</f>
        <v>0.06</v>
      </c>
      <c r="K3" s="481">
        <f>+'IPC - CAFÉ'!F24</f>
        <v>4.5975144331782153E-2</v>
      </c>
      <c r="L3" s="481">
        <f>+'IPC - CAFÉ'!G24</f>
        <v>4.7225144331782154E-2</v>
      </c>
      <c r="M3" s="481">
        <f>+'IPC - CAFÉ'!H24</f>
        <v>4.8475144331782155E-2</v>
      </c>
      <c r="N3" s="481">
        <f>+'IPC - CAFÉ'!I24</f>
        <v>4.9725144331782156E-2</v>
      </c>
      <c r="O3" s="481">
        <f>+'IPC - CAFÉ'!J24</f>
        <v>5.0975144331782157E-2</v>
      </c>
      <c r="P3" s="481">
        <f>+'IPC - CAFÉ'!K24</f>
        <v>5.2225144331782158E-2</v>
      </c>
      <c r="Q3" s="481">
        <f>+'IPC - CAFÉ'!L24</f>
        <v>5.347514433178216E-2</v>
      </c>
      <c r="R3" s="481">
        <f>+'IPC - CAFÉ'!M24</f>
        <v>5.4725144331782161E-2</v>
      </c>
    </row>
    <row r="4" spans="1:27" ht="18.75">
      <c r="A4" s="994" t="s">
        <v>1954</v>
      </c>
      <c r="B4" s="994"/>
      <c r="C4" s="994"/>
      <c r="D4" s="994"/>
      <c r="E4" s="994"/>
      <c r="F4" s="994"/>
      <c r="G4" s="994"/>
      <c r="I4" s="504"/>
      <c r="J4" s="504"/>
      <c r="K4" s="504"/>
      <c r="L4" s="504"/>
      <c r="M4" s="504"/>
      <c r="N4" s="504"/>
      <c r="O4" s="504"/>
      <c r="P4" s="504"/>
      <c r="Q4" s="504"/>
      <c r="R4" s="504"/>
    </row>
    <row r="5" spans="1:27">
      <c r="I5" s="991" t="s">
        <v>2412</v>
      </c>
      <c r="J5" s="991"/>
      <c r="K5" s="991"/>
      <c r="L5" s="991"/>
      <c r="M5" s="991"/>
      <c r="N5" s="748"/>
      <c r="O5" s="748"/>
      <c r="P5" s="748"/>
      <c r="Q5" s="748"/>
      <c r="R5" s="748"/>
    </row>
    <row r="6" spans="1:27" ht="30">
      <c r="A6" s="505" t="s">
        <v>624</v>
      </c>
      <c r="B6" s="505" t="s">
        <v>625</v>
      </c>
      <c r="C6" s="506" t="s">
        <v>626</v>
      </c>
      <c r="D6" s="505" t="s">
        <v>1955</v>
      </c>
      <c r="E6" s="506" t="s">
        <v>628</v>
      </c>
      <c r="F6" s="505" t="s">
        <v>629</v>
      </c>
      <c r="G6" s="505" t="s">
        <v>630</v>
      </c>
      <c r="I6" s="505" t="s">
        <v>226</v>
      </c>
      <c r="J6" s="505" t="s">
        <v>227</v>
      </c>
      <c r="K6" s="505" t="s">
        <v>228</v>
      </c>
      <c r="L6" s="505" t="s">
        <v>229</v>
      </c>
      <c r="M6" s="505" t="s">
        <v>230</v>
      </c>
      <c r="N6" s="505" t="s">
        <v>231</v>
      </c>
      <c r="O6" s="505" t="s">
        <v>232</v>
      </c>
      <c r="P6" s="505" t="s">
        <v>233</v>
      </c>
      <c r="Q6" s="505" t="s">
        <v>3010</v>
      </c>
      <c r="R6" s="505" t="s">
        <v>3011</v>
      </c>
      <c r="T6" s="376" t="s">
        <v>439</v>
      </c>
      <c r="U6" s="149"/>
      <c r="V6" s="149"/>
      <c r="W6" s="149"/>
      <c r="X6" s="149"/>
      <c r="Y6" s="149"/>
      <c r="Z6" s="149"/>
      <c r="AA6" s="149"/>
    </row>
    <row r="7" spans="1:27">
      <c r="A7" s="486">
        <v>1129645018</v>
      </c>
      <c r="B7" s="486">
        <v>4100010720</v>
      </c>
      <c r="C7" s="487" t="s">
        <v>1956</v>
      </c>
      <c r="D7" s="488">
        <v>43862</v>
      </c>
      <c r="E7" s="489">
        <v>355841</v>
      </c>
      <c r="F7" s="487">
        <v>1001010001</v>
      </c>
      <c r="G7" s="487" t="s">
        <v>1957</v>
      </c>
      <c r="I7" s="507">
        <f>E328</f>
        <v>159651401.531427</v>
      </c>
      <c r="J7" s="508">
        <f>+I7*(1+J3)</f>
        <v>169230485.62331262</v>
      </c>
      <c r="K7" s="508">
        <f t="shared" ref="K7:M7" si="0">+J7*(1+K3)</f>
        <v>177010881.625182</v>
      </c>
      <c r="L7" s="508">
        <f t="shared" si="0"/>
        <v>185370246.05822724</v>
      </c>
      <c r="M7" s="508">
        <f t="shared" si="0"/>
        <v>194356095.49071777</v>
      </c>
      <c r="N7" s="508">
        <f t="shared" ref="N7" si="1">+M7*(1+N3)</f>
        <v>204020480.39075533</v>
      </c>
      <c r="O7" s="508">
        <f t="shared" ref="O7" si="2">+N7*(1+O3)</f>
        <v>214420453.8253136</v>
      </c>
      <c r="P7" s="508">
        <f t="shared" ref="P7" si="3">+O7*(1+P3)</f>
        <v>225618592.9740268</v>
      </c>
      <c r="Q7" s="508">
        <f t="shared" ref="Q7" si="4">+P7*(1+Q3)</f>
        <v>237683579.79724652</v>
      </c>
      <c r="R7" s="508">
        <f t="shared" ref="R7" si="5">+Q7*(1+R3)</f>
        <v>250690848.00694552</v>
      </c>
      <c r="T7" s="962" t="s">
        <v>646</v>
      </c>
      <c r="U7" s="963"/>
      <c r="V7" s="963"/>
      <c r="W7" s="963"/>
      <c r="X7" s="963"/>
      <c r="Y7" s="963"/>
      <c r="Z7" s="963"/>
      <c r="AA7" s="964"/>
    </row>
    <row r="8" spans="1:27">
      <c r="A8" s="486">
        <v>1129645216</v>
      </c>
      <c r="B8" s="486">
        <v>4100010717</v>
      </c>
      <c r="C8" s="487" t="s">
        <v>1956</v>
      </c>
      <c r="D8" s="488">
        <v>43862</v>
      </c>
      <c r="E8" s="489">
        <v>344439</v>
      </c>
      <c r="F8" s="487">
        <v>1001010001</v>
      </c>
      <c r="G8" s="487" t="s">
        <v>1957</v>
      </c>
      <c r="T8" s="965"/>
      <c r="U8" s="966"/>
      <c r="V8" s="966"/>
      <c r="W8" s="966"/>
      <c r="X8" s="966"/>
      <c r="Y8" s="966"/>
      <c r="Z8" s="966"/>
      <c r="AA8" s="967"/>
    </row>
    <row r="9" spans="1:27">
      <c r="A9" s="486">
        <v>1138413192</v>
      </c>
      <c r="B9" s="486">
        <v>4100030233</v>
      </c>
      <c r="C9" s="487" t="s">
        <v>1956</v>
      </c>
      <c r="D9" s="488">
        <v>43922</v>
      </c>
      <c r="E9" s="489">
        <v>283164</v>
      </c>
      <c r="F9" s="487">
        <v>1001010001</v>
      </c>
      <c r="G9" s="487" t="s">
        <v>1958</v>
      </c>
      <c r="T9" s="965"/>
      <c r="U9" s="966"/>
      <c r="V9" s="966"/>
      <c r="W9" s="966"/>
      <c r="X9" s="966"/>
      <c r="Y9" s="966"/>
      <c r="Z9" s="966"/>
      <c r="AA9" s="967"/>
    </row>
    <row r="10" spans="1:27">
      <c r="A10" s="486">
        <v>1138413291</v>
      </c>
      <c r="B10" s="486">
        <v>4100030226</v>
      </c>
      <c r="C10" s="487" t="s">
        <v>1956</v>
      </c>
      <c r="D10" s="488">
        <v>43922</v>
      </c>
      <c r="E10" s="489">
        <v>50124</v>
      </c>
      <c r="F10" s="487">
        <v>1001010001</v>
      </c>
      <c r="G10" s="487" t="s">
        <v>1958</v>
      </c>
      <c r="T10" s="965"/>
      <c r="U10" s="966"/>
      <c r="V10" s="966"/>
      <c r="W10" s="966"/>
      <c r="X10" s="966"/>
      <c r="Y10" s="966"/>
      <c r="Z10" s="966"/>
      <c r="AA10" s="967"/>
    </row>
    <row r="11" spans="1:27">
      <c r="A11" s="486">
        <v>1142697972</v>
      </c>
      <c r="B11" s="486">
        <v>4100042726</v>
      </c>
      <c r="C11" s="487" t="s">
        <v>1956</v>
      </c>
      <c r="D11" s="488">
        <v>43962</v>
      </c>
      <c r="E11" s="489">
        <v>183645</v>
      </c>
      <c r="F11" s="487">
        <v>1001010001</v>
      </c>
      <c r="G11" s="487" t="s">
        <v>1959</v>
      </c>
      <c r="T11" s="965"/>
      <c r="U11" s="966"/>
      <c r="V11" s="966"/>
      <c r="W11" s="966"/>
      <c r="X11" s="966"/>
      <c r="Y11" s="966"/>
      <c r="Z11" s="966"/>
      <c r="AA11" s="967"/>
    </row>
    <row r="12" spans="1:27">
      <c r="A12" s="486">
        <v>1142698366</v>
      </c>
      <c r="B12" s="486">
        <v>4100042731</v>
      </c>
      <c r="C12" s="487" t="s">
        <v>1956</v>
      </c>
      <c r="D12" s="488">
        <v>43962</v>
      </c>
      <c r="E12" s="489">
        <v>342877</v>
      </c>
      <c r="F12" s="487">
        <v>1001010001</v>
      </c>
      <c r="G12" s="487" t="s">
        <v>1960</v>
      </c>
      <c r="T12" s="965"/>
      <c r="U12" s="966"/>
      <c r="V12" s="966"/>
      <c r="W12" s="966"/>
      <c r="X12" s="966"/>
      <c r="Y12" s="966"/>
      <c r="Z12" s="966"/>
      <c r="AA12" s="967"/>
    </row>
    <row r="13" spans="1:27">
      <c r="A13" s="486">
        <v>1147736301</v>
      </c>
      <c r="B13" s="486">
        <v>4100050430</v>
      </c>
      <c r="C13" s="487" t="s">
        <v>1956</v>
      </c>
      <c r="D13" s="488">
        <v>43983</v>
      </c>
      <c r="E13" s="489">
        <v>331213</v>
      </c>
      <c r="F13" s="487">
        <v>1001010001</v>
      </c>
      <c r="G13" s="487" t="s">
        <v>1961</v>
      </c>
      <c r="T13" s="965"/>
      <c r="U13" s="966"/>
      <c r="V13" s="966"/>
      <c r="W13" s="966"/>
      <c r="X13" s="966"/>
      <c r="Y13" s="966"/>
      <c r="Z13" s="966"/>
      <c r="AA13" s="967"/>
    </row>
    <row r="14" spans="1:27">
      <c r="A14" s="486">
        <v>1147737983</v>
      </c>
      <c r="B14" s="486">
        <v>4100050431</v>
      </c>
      <c r="C14" s="487" t="s">
        <v>1956</v>
      </c>
      <c r="D14" s="488">
        <v>43983</v>
      </c>
      <c r="E14" s="489">
        <v>342637</v>
      </c>
      <c r="F14" s="487">
        <v>1001010001</v>
      </c>
      <c r="G14" s="487" t="s">
        <v>1962</v>
      </c>
      <c r="T14" s="965"/>
      <c r="U14" s="966"/>
      <c r="V14" s="966"/>
      <c r="W14" s="966"/>
      <c r="X14" s="966"/>
      <c r="Y14" s="966"/>
      <c r="Z14" s="966"/>
      <c r="AA14" s="967"/>
    </row>
    <row r="15" spans="1:27">
      <c r="A15" s="486">
        <v>1153806593</v>
      </c>
      <c r="B15" s="486">
        <v>4100059100</v>
      </c>
      <c r="C15" s="487" t="s">
        <v>1956</v>
      </c>
      <c r="D15" s="488">
        <v>44019</v>
      </c>
      <c r="E15" s="489">
        <v>368571</v>
      </c>
      <c r="F15" s="487">
        <v>1001010001</v>
      </c>
      <c r="G15" s="487" t="s">
        <v>1963</v>
      </c>
      <c r="T15" s="965"/>
      <c r="U15" s="966"/>
      <c r="V15" s="966"/>
      <c r="W15" s="966"/>
      <c r="X15" s="966"/>
      <c r="Y15" s="966"/>
      <c r="Z15" s="966"/>
      <c r="AA15" s="967"/>
    </row>
    <row r="16" spans="1:27">
      <c r="A16" s="486">
        <v>1153807714</v>
      </c>
      <c r="B16" s="486">
        <v>4100059104</v>
      </c>
      <c r="C16" s="487" t="s">
        <v>1956</v>
      </c>
      <c r="D16" s="488">
        <v>44019</v>
      </c>
      <c r="E16" s="489">
        <v>129453</v>
      </c>
      <c r="F16" s="487">
        <v>1001010001</v>
      </c>
      <c r="G16" s="487" t="s">
        <v>1963</v>
      </c>
      <c r="T16" s="968"/>
      <c r="U16" s="969"/>
      <c r="V16" s="969"/>
      <c r="W16" s="969"/>
      <c r="X16" s="969"/>
      <c r="Y16" s="969"/>
      <c r="Z16" s="969"/>
      <c r="AA16" s="970"/>
    </row>
    <row r="17" spans="1:7">
      <c r="A17" s="486">
        <v>1168005209</v>
      </c>
      <c r="B17" s="486">
        <v>4100074557</v>
      </c>
      <c r="C17" s="487" t="s">
        <v>1956</v>
      </c>
      <c r="D17" s="488">
        <v>44080</v>
      </c>
      <c r="E17" s="489">
        <v>379067</v>
      </c>
      <c r="F17" s="487">
        <v>1001010001</v>
      </c>
      <c r="G17" s="487" t="s">
        <v>1964</v>
      </c>
    </row>
    <row r="18" spans="1:7">
      <c r="A18" s="486">
        <v>1168005790</v>
      </c>
      <c r="B18" s="486">
        <v>4100074560</v>
      </c>
      <c r="C18" s="487" t="s">
        <v>1956</v>
      </c>
      <c r="D18" s="488">
        <v>44080</v>
      </c>
      <c r="E18" s="489">
        <v>456502</v>
      </c>
      <c r="F18" s="487">
        <v>1001010001</v>
      </c>
      <c r="G18" s="487" t="s">
        <v>1964</v>
      </c>
    </row>
    <row r="19" spans="1:7">
      <c r="A19" s="486">
        <v>1179223108</v>
      </c>
      <c r="B19" s="486">
        <v>4100107111</v>
      </c>
      <c r="C19" s="487" t="s">
        <v>1956</v>
      </c>
      <c r="D19" s="488">
        <v>44136</v>
      </c>
      <c r="E19" s="489">
        <v>403114</v>
      </c>
      <c r="F19" s="487">
        <v>1001010001</v>
      </c>
      <c r="G19" s="487" t="s">
        <v>1958</v>
      </c>
    </row>
    <row r="20" spans="1:7">
      <c r="A20" s="486">
        <v>1179223681</v>
      </c>
      <c r="B20" s="486">
        <v>4100107113</v>
      </c>
      <c r="C20" s="487" t="s">
        <v>1956</v>
      </c>
      <c r="D20" s="488">
        <v>44136</v>
      </c>
      <c r="E20" s="489">
        <v>469519</v>
      </c>
      <c r="F20" s="487">
        <v>1001010001</v>
      </c>
      <c r="G20" s="487" t="s">
        <v>1958</v>
      </c>
    </row>
    <row r="21" spans="1:7">
      <c r="A21" s="486">
        <v>1185146556</v>
      </c>
      <c r="B21" s="486">
        <v>4100123936</v>
      </c>
      <c r="C21" s="487" t="s">
        <v>1956</v>
      </c>
      <c r="D21" s="488">
        <v>44171</v>
      </c>
      <c r="E21" s="489">
        <v>595156</v>
      </c>
      <c r="F21" s="487">
        <v>1001010001</v>
      </c>
      <c r="G21" s="487" t="s">
        <v>1964</v>
      </c>
    </row>
    <row r="22" spans="1:7">
      <c r="A22" s="486">
        <v>1185147065</v>
      </c>
      <c r="B22" s="486">
        <v>4100123924</v>
      </c>
      <c r="C22" s="487" t="s">
        <v>1956</v>
      </c>
      <c r="D22" s="488">
        <v>44171</v>
      </c>
      <c r="E22" s="489">
        <v>452781</v>
      </c>
      <c r="F22" s="487">
        <v>1001010001</v>
      </c>
      <c r="G22" s="487" t="s">
        <v>1964</v>
      </c>
    </row>
    <row r="23" spans="1:7">
      <c r="A23" s="486">
        <v>1189776493</v>
      </c>
      <c r="B23" s="486">
        <v>4100002367</v>
      </c>
      <c r="C23" s="487" t="s">
        <v>1956</v>
      </c>
      <c r="D23" s="488">
        <v>44204</v>
      </c>
      <c r="E23" s="489">
        <v>607415</v>
      </c>
      <c r="F23" s="487">
        <v>1001010001</v>
      </c>
      <c r="G23" s="487" t="s">
        <v>1964</v>
      </c>
    </row>
    <row r="24" spans="1:7">
      <c r="A24" s="486">
        <v>1189776563</v>
      </c>
      <c r="B24" s="486">
        <v>4100002354</v>
      </c>
      <c r="C24" s="487" t="s">
        <v>1956</v>
      </c>
      <c r="D24" s="488">
        <v>44204</v>
      </c>
      <c r="E24" s="489">
        <v>447775</v>
      </c>
      <c r="F24" s="487">
        <v>1001010001</v>
      </c>
      <c r="G24" s="487" t="s">
        <v>1964</v>
      </c>
    </row>
    <row r="25" spans="1:7">
      <c r="A25" s="486">
        <v>1199884439</v>
      </c>
      <c r="B25" s="486">
        <v>4100022657</v>
      </c>
      <c r="C25" s="487" t="s">
        <v>1956</v>
      </c>
      <c r="D25" s="488">
        <v>44256</v>
      </c>
      <c r="E25" s="489">
        <v>436580</v>
      </c>
      <c r="F25" s="487">
        <v>1001010001</v>
      </c>
      <c r="G25" s="487" t="s">
        <v>1962</v>
      </c>
    </row>
    <row r="26" spans="1:7">
      <c r="A26" s="486">
        <v>1215253229</v>
      </c>
      <c r="B26" s="486">
        <v>4100039601</v>
      </c>
      <c r="C26" s="487" t="s">
        <v>1956</v>
      </c>
      <c r="D26" s="488">
        <v>44351</v>
      </c>
      <c r="E26" s="489">
        <v>351235</v>
      </c>
      <c r="F26" s="487">
        <v>1001010001</v>
      </c>
      <c r="G26" s="487" t="s">
        <v>1957</v>
      </c>
    </row>
    <row r="27" spans="1:7">
      <c r="A27" s="486">
        <v>1215253475</v>
      </c>
      <c r="B27" s="486">
        <v>4100039584</v>
      </c>
      <c r="C27" s="487" t="s">
        <v>1956</v>
      </c>
      <c r="D27" s="488">
        <v>44351</v>
      </c>
      <c r="E27" s="489">
        <v>265046</v>
      </c>
      <c r="F27" s="487">
        <v>1001010001</v>
      </c>
      <c r="G27" s="487" t="s">
        <v>1957</v>
      </c>
    </row>
    <row r="28" spans="1:7">
      <c r="A28" s="486">
        <v>1215253475</v>
      </c>
      <c r="B28" s="486">
        <v>4900000699</v>
      </c>
      <c r="C28" s="487" t="s">
        <v>1965</v>
      </c>
      <c r="D28" s="488">
        <v>44351</v>
      </c>
      <c r="E28" s="489">
        <v>265046</v>
      </c>
      <c r="F28" s="487">
        <v>1001010001</v>
      </c>
      <c r="G28" s="487" t="s">
        <v>1957</v>
      </c>
    </row>
    <row r="29" spans="1:7">
      <c r="A29" s="486">
        <v>1240973088</v>
      </c>
      <c r="B29" s="486">
        <v>4100073705</v>
      </c>
      <c r="C29" s="487" t="s">
        <v>1956</v>
      </c>
      <c r="D29" s="488">
        <v>44505</v>
      </c>
      <c r="E29" s="489">
        <v>188197</v>
      </c>
      <c r="F29" s="487">
        <v>1001010001</v>
      </c>
      <c r="G29" s="487" t="s">
        <v>1964</v>
      </c>
    </row>
    <row r="30" spans="1:7">
      <c r="A30" s="486">
        <v>1246159339</v>
      </c>
      <c r="B30" s="486">
        <v>4100084894</v>
      </c>
      <c r="C30" s="487" t="s">
        <v>1956</v>
      </c>
      <c r="D30" s="488">
        <v>44534</v>
      </c>
      <c r="E30" s="489">
        <v>297386</v>
      </c>
      <c r="F30" s="487">
        <v>1001010001</v>
      </c>
      <c r="G30" s="487" t="s">
        <v>1964</v>
      </c>
    </row>
    <row r="31" spans="1:7">
      <c r="A31" s="486">
        <v>11199886279</v>
      </c>
      <c r="B31" s="486">
        <v>4100022655</v>
      </c>
      <c r="C31" s="487" t="s">
        <v>1956</v>
      </c>
      <c r="D31" s="488">
        <v>44256</v>
      </c>
      <c r="E31" s="489">
        <v>398772</v>
      </c>
      <c r="F31" s="487">
        <v>1001010001</v>
      </c>
      <c r="G31" s="487" t="s">
        <v>1962</v>
      </c>
    </row>
    <row r="32" spans="1:7">
      <c r="A32" s="486">
        <v>77577377993</v>
      </c>
      <c r="B32" s="486">
        <v>4100065976</v>
      </c>
      <c r="C32" s="487" t="s">
        <v>1956</v>
      </c>
      <c r="D32" s="488">
        <v>44049</v>
      </c>
      <c r="E32" s="489">
        <v>527450</v>
      </c>
      <c r="F32" s="487">
        <v>1001010001</v>
      </c>
      <c r="G32" s="487" t="s">
        <v>1966</v>
      </c>
    </row>
    <row r="33" spans="1:7">
      <c r="A33" s="486">
        <v>77577379656</v>
      </c>
      <c r="B33" s="486">
        <v>4100065990</v>
      </c>
      <c r="C33" s="487" t="s">
        <v>1956</v>
      </c>
      <c r="D33" s="488">
        <v>44049</v>
      </c>
      <c r="E33" s="489">
        <v>347950</v>
      </c>
      <c r="F33" s="487">
        <v>1001010001</v>
      </c>
      <c r="G33" s="487" t="s">
        <v>1966</v>
      </c>
    </row>
    <row r="34" spans="1:7">
      <c r="A34" s="486">
        <v>81622118106</v>
      </c>
      <c r="B34" s="486">
        <v>4100028011</v>
      </c>
      <c r="C34" s="487" t="s">
        <v>1956</v>
      </c>
      <c r="D34" s="488">
        <v>44294</v>
      </c>
      <c r="E34" s="489">
        <v>323023</v>
      </c>
      <c r="F34" s="487">
        <v>1001010001</v>
      </c>
      <c r="G34" s="487" t="s">
        <v>1967</v>
      </c>
    </row>
    <row r="35" spans="1:7">
      <c r="A35" s="486">
        <v>81622119866</v>
      </c>
      <c r="B35" s="486">
        <v>4100027979</v>
      </c>
      <c r="C35" s="487" t="s">
        <v>1956</v>
      </c>
      <c r="D35" s="488">
        <v>44294</v>
      </c>
      <c r="E35" s="489">
        <v>384816</v>
      </c>
      <c r="F35" s="487">
        <v>1001010001</v>
      </c>
      <c r="G35" s="487" t="s">
        <v>1967</v>
      </c>
    </row>
    <row r="36" spans="1:7">
      <c r="A36" s="486" t="s">
        <v>1968</v>
      </c>
      <c r="B36" s="486">
        <v>4100000767</v>
      </c>
      <c r="C36" s="487" t="s">
        <v>1956</v>
      </c>
      <c r="D36" s="488">
        <v>43832</v>
      </c>
      <c r="E36" s="489">
        <v>635983</v>
      </c>
      <c r="F36" s="487">
        <v>1001010001</v>
      </c>
      <c r="G36" s="487" t="s">
        <v>1969</v>
      </c>
    </row>
    <row r="37" spans="1:7">
      <c r="A37" s="486" t="s">
        <v>1970</v>
      </c>
      <c r="B37" s="486">
        <v>4100000759</v>
      </c>
      <c r="C37" s="487" t="s">
        <v>1956</v>
      </c>
      <c r="D37" s="488">
        <v>43832</v>
      </c>
      <c r="E37" s="489">
        <v>743556</v>
      </c>
      <c r="F37" s="487">
        <v>1001010001</v>
      </c>
      <c r="G37" s="487" t="s">
        <v>1969</v>
      </c>
    </row>
    <row r="38" spans="1:7">
      <c r="A38" s="486" t="s">
        <v>1971</v>
      </c>
      <c r="B38" s="486">
        <v>4100018989</v>
      </c>
      <c r="C38" s="487" t="s">
        <v>1956</v>
      </c>
      <c r="D38" s="488">
        <v>43892</v>
      </c>
      <c r="E38" s="489">
        <v>321477</v>
      </c>
      <c r="F38" s="487">
        <v>1001010001</v>
      </c>
      <c r="G38" s="487" t="s">
        <v>1972</v>
      </c>
    </row>
    <row r="39" spans="1:7">
      <c r="A39" s="486" t="s">
        <v>1973</v>
      </c>
      <c r="B39" s="486">
        <v>4100018990</v>
      </c>
      <c r="C39" s="487" t="s">
        <v>1956</v>
      </c>
      <c r="D39" s="488">
        <v>43892</v>
      </c>
      <c r="E39" s="489">
        <v>296485</v>
      </c>
      <c r="F39" s="487">
        <v>1001010001</v>
      </c>
      <c r="G39" s="487" t="s">
        <v>1972</v>
      </c>
    </row>
    <row r="40" spans="1:7">
      <c r="A40" s="486" t="s">
        <v>1974</v>
      </c>
      <c r="B40" s="486">
        <v>4100085800</v>
      </c>
      <c r="C40" s="487" t="s">
        <v>1956</v>
      </c>
      <c r="D40" s="488">
        <v>44107</v>
      </c>
      <c r="E40" s="489">
        <v>442666</v>
      </c>
      <c r="F40" s="487">
        <v>1001010001</v>
      </c>
      <c r="G40" s="487" t="s">
        <v>1975</v>
      </c>
    </row>
    <row r="41" spans="1:7">
      <c r="A41" s="486" t="s">
        <v>1976</v>
      </c>
      <c r="B41" s="486">
        <v>4100085798</v>
      </c>
      <c r="C41" s="487" t="s">
        <v>1956</v>
      </c>
      <c r="D41" s="488">
        <v>44106</v>
      </c>
      <c r="E41" s="489">
        <v>387249</v>
      </c>
      <c r="F41" s="487">
        <v>1001010001</v>
      </c>
      <c r="G41" s="487" t="s">
        <v>1975</v>
      </c>
    </row>
    <row r="42" spans="1:7">
      <c r="A42" s="486" t="s">
        <v>1977</v>
      </c>
      <c r="B42" s="486">
        <v>4100013040</v>
      </c>
      <c r="C42" s="487" t="s">
        <v>1956</v>
      </c>
      <c r="D42" s="488">
        <v>44231</v>
      </c>
      <c r="E42" s="489">
        <v>619276</v>
      </c>
      <c r="F42" s="487">
        <v>1001010001</v>
      </c>
      <c r="G42" s="487" t="s">
        <v>1978</v>
      </c>
    </row>
    <row r="43" spans="1:7">
      <c r="A43" s="486" t="s">
        <v>1979</v>
      </c>
      <c r="B43" s="486">
        <v>4100013036</v>
      </c>
      <c r="C43" s="487" t="s">
        <v>1956</v>
      </c>
      <c r="D43" s="488">
        <v>44231</v>
      </c>
      <c r="E43" s="489">
        <v>468019</v>
      </c>
      <c r="F43" s="487">
        <v>1001010001</v>
      </c>
      <c r="G43" s="487" t="s">
        <v>1978</v>
      </c>
    </row>
    <row r="44" spans="1:7">
      <c r="A44" s="486" t="s">
        <v>1980</v>
      </c>
      <c r="B44" s="486">
        <v>4100033768</v>
      </c>
      <c r="C44" s="487" t="s">
        <v>1956</v>
      </c>
      <c r="D44" s="488">
        <v>44322</v>
      </c>
      <c r="E44" s="489">
        <v>287406</v>
      </c>
      <c r="F44" s="487">
        <v>1001010001</v>
      </c>
      <c r="G44" s="487" t="s">
        <v>1981</v>
      </c>
    </row>
    <row r="45" spans="1:7">
      <c r="A45" s="486" t="s">
        <v>1982</v>
      </c>
      <c r="B45" s="486">
        <v>4100033764</v>
      </c>
      <c r="C45" s="487" t="s">
        <v>1956</v>
      </c>
      <c r="D45" s="488">
        <v>44322</v>
      </c>
      <c r="E45" s="489">
        <v>387082</v>
      </c>
      <c r="F45" s="487">
        <v>1001010001</v>
      </c>
      <c r="G45" s="487" t="s">
        <v>1981</v>
      </c>
    </row>
    <row r="46" spans="1:7">
      <c r="A46" s="486" t="s">
        <v>1983</v>
      </c>
      <c r="B46" s="486">
        <v>4100044154</v>
      </c>
      <c r="C46" s="487" t="s">
        <v>1956</v>
      </c>
      <c r="D46" s="488">
        <v>44384</v>
      </c>
      <c r="E46" s="489">
        <v>309082</v>
      </c>
      <c r="F46" s="487">
        <v>1001010001</v>
      </c>
      <c r="G46" s="487" t="s">
        <v>1984</v>
      </c>
    </row>
    <row r="47" spans="1:7">
      <c r="A47" s="486" t="s">
        <v>1985</v>
      </c>
      <c r="B47" s="486">
        <v>4100048947</v>
      </c>
      <c r="C47" s="487" t="s">
        <v>1956</v>
      </c>
      <c r="D47" s="488">
        <v>44413</v>
      </c>
      <c r="E47" s="489">
        <v>300951</v>
      </c>
      <c r="F47" s="487">
        <v>1001010001</v>
      </c>
      <c r="G47" s="487" t="s">
        <v>1986</v>
      </c>
    </row>
    <row r="48" spans="1:7">
      <c r="A48" s="486" t="s">
        <v>1987</v>
      </c>
      <c r="B48" s="486">
        <v>4100055199</v>
      </c>
      <c r="C48" s="487" t="s">
        <v>1956</v>
      </c>
      <c r="D48" s="488">
        <v>44444</v>
      </c>
      <c r="E48" s="489">
        <v>323922</v>
      </c>
      <c r="F48" s="487">
        <v>1001010001</v>
      </c>
      <c r="G48" s="487" t="s">
        <v>1988</v>
      </c>
    </row>
    <row r="49" spans="1:7">
      <c r="A49" s="486" t="s">
        <v>1989</v>
      </c>
      <c r="B49" s="486">
        <v>4100063497</v>
      </c>
      <c r="C49" s="487" t="s">
        <v>1956</v>
      </c>
      <c r="D49" s="488">
        <v>44474</v>
      </c>
      <c r="E49" s="489">
        <v>350694</v>
      </c>
      <c r="F49" s="487">
        <v>1001010001</v>
      </c>
      <c r="G49" s="487" t="s">
        <v>1990</v>
      </c>
    </row>
    <row r="50" spans="1:7">
      <c r="A50" s="486" t="s">
        <v>1991</v>
      </c>
      <c r="B50" s="486">
        <v>4100033977</v>
      </c>
      <c r="C50" s="487" t="s">
        <v>1956</v>
      </c>
      <c r="D50" s="488">
        <v>43938</v>
      </c>
      <c r="E50" s="489">
        <v>773182</v>
      </c>
      <c r="F50" s="487">
        <v>1001010002</v>
      </c>
      <c r="G50" s="487" t="s">
        <v>1992</v>
      </c>
    </row>
    <row r="51" spans="1:7">
      <c r="A51" s="486" t="s">
        <v>1993</v>
      </c>
      <c r="B51" s="486">
        <v>4100068667</v>
      </c>
      <c r="C51" s="487" t="s">
        <v>1956</v>
      </c>
      <c r="D51" s="488">
        <v>44092</v>
      </c>
      <c r="E51" s="489">
        <v>663609</v>
      </c>
      <c r="F51" s="487">
        <v>1001010002</v>
      </c>
      <c r="G51" s="487" t="s">
        <v>1994</v>
      </c>
    </row>
    <row r="52" spans="1:7">
      <c r="A52" s="486" t="s">
        <v>1995</v>
      </c>
      <c r="B52" s="486">
        <v>4100112172</v>
      </c>
      <c r="C52" s="487" t="s">
        <v>1956</v>
      </c>
      <c r="D52" s="488">
        <v>44136</v>
      </c>
      <c r="E52" s="489">
        <v>745104</v>
      </c>
      <c r="F52" s="487">
        <v>1001010002</v>
      </c>
      <c r="G52" s="487" t="s">
        <v>1996</v>
      </c>
    </row>
    <row r="53" spans="1:7">
      <c r="A53" s="486" t="s">
        <v>1997</v>
      </c>
      <c r="B53" s="486">
        <v>4100005066</v>
      </c>
      <c r="C53" s="487" t="s">
        <v>1956</v>
      </c>
      <c r="D53" s="488">
        <v>44197</v>
      </c>
      <c r="E53" s="489">
        <v>706184</v>
      </c>
      <c r="F53" s="487">
        <v>1001010002</v>
      </c>
      <c r="G53" s="487" t="s">
        <v>1998</v>
      </c>
    </row>
    <row r="54" spans="1:7">
      <c r="A54" s="486" t="s">
        <v>1999</v>
      </c>
      <c r="B54" s="486">
        <v>4100089334</v>
      </c>
      <c r="C54" s="487" t="s">
        <v>1956</v>
      </c>
      <c r="D54" s="488">
        <v>44548</v>
      </c>
      <c r="E54" s="489">
        <v>624910</v>
      </c>
      <c r="F54" s="487">
        <v>1001010002</v>
      </c>
      <c r="G54" s="487" t="s">
        <v>2000</v>
      </c>
    </row>
    <row r="55" spans="1:7">
      <c r="A55" s="486">
        <v>1132865031</v>
      </c>
      <c r="B55" s="486">
        <v>4100015945</v>
      </c>
      <c r="C55" s="487" t="s">
        <v>1956</v>
      </c>
      <c r="D55" s="488">
        <v>43883</v>
      </c>
      <c r="E55" s="489">
        <v>390378</v>
      </c>
      <c r="F55" s="487">
        <v>1001010003</v>
      </c>
      <c r="G55" s="487" t="s">
        <v>2001</v>
      </c>
    </row>
    <row r="56" spans="1:7">
      <c r="A56" s="486">
        <v>1132865031</v>
      </c>
      <c r="B56" s="486">
        <v>4100015291</v>
      </c>
      <c r="C56" s="487" t="s">
        <v>1956</v>
      </c>
      <c r="D56" s="488">
        <v>43881</v>
      </c>
      <c r="E56" s="489">
        <v>390378</v>
      </c>
      <c r="F56" s="487">
        <v>1001010003</v>
      </c>
      <c r="G56" s="487" t="s">
        <v>2001</v>
      </c>
    </row>
    <row r="57" spans="1:7">
      <c r="A57" s="486">
        <v>1203475379</v>
      </c>
      <c r="B57" s="486">
        <v>4100024336</v>
      </c>
      <c r="C57" s="487" t="s">
        <v>1956</v>
      </c>
      <c r="D57" s="488">
        <v>44256</v>
      </c>
      <c r="E57" s="489">
        <v>432303</v>
      </c>
      <c r="F57" s="487">
        <v>1001010003</v>
      </c>
      <c r="G57" s="487" t="s">
        <v>2002</v>
      </c>
    </row>
    <row r="58" spans="1:7">
      <c r="A58" s="486">
        <v>1250462882</v>
      </c>
      <c r="B58" s="486">
        <v>4100090325</v>
      </c>
      <c r="C58" s="487" t="s">
        <v>1956</v>
      </c>
      <c r="D58" s="488">
        <v>44550</v>
      </c>
      <c r="E58" s="489">
        <v>456757</v>
      </c>
      <c r="F58" s="487">
        <v>1001010003</v>
      </c>
      <c r="G58" s="487" t="s">
        <v>2001</v>
      </c>
    </row>
    <row r="59" spans="1:7">
      <c r="A59" s="486" t="s">
        <v>2003</v>
      </c>
      <c r="B59" s="486">
        <v>4100031043</v>
      </c>
      <c r="C59" s="487" t="s">
        <v>1956</v>
      </c>
      <c r="D59" s="488">
        <v>44309</v>
      </c>
      <c r="E59" s="489">
        <v>434533</v>
      </c>
      <c r="F59" s="487">
        <v>1001010003</v>
      </c>
      <c r="G59" s="487" t="s">
        <v>2004</v>
      </c>
    </row>
    <row r="60" spans="1:7">
      <c r="A60" s="486" t="s">
        <v>2005</v>
      </c>
      <c r="B60" s="486">
        <v>4100047402</v>
      </c>
      <c r="C60" s="487" t="s">
        <v>1956</v>
      </c>
      <c r="D60" s="488">
        <v>44403</v>
      </c>
      <c r="E60" s="489">
        <v>403936</v>
      </c>
      <c r="F60" s="487">
        <v>1001010003</v>
      </c>
      <c r="G60" s="487" t="s">
        <v>2006</v>
      </c>
    </row>
    <row r="61" spans="1:7">
      <c r="A61" s="486" t="s">
        <v>2007</v>
      </c>
      <c r="B61" s="486">
        <v>4100052347</v>
      </c>
      <c r="C61" s="487" t="s">
        <v>1956</v>
      </c>
      <c r="D61" s="488">
        <v>44432</v>
      </c>
      <c r="E61" s="489">
        <v>406001</v>
      </c>
      <c r="F61" s="487">
        <v>1001010003</v>
      </c>
      <c r="G61" s="487" t="s">
        <v>2008</v>
      </c>
    </row>
    <row r="62" spans="1:7">
      <c r="A62" s="486" t="s">
        <v>2009</v>
      </c>
      <c r="B62" s="486">
        <v>4100068611</v>
      </c>
      <c r="C62" s="487" t="s">
        <v>1956</v>
      </c>
      <c r="D62" s="488">
        <v>44491</v>
      </c>
      <c r="E62" s="489">
        <v>450831</v>
      </c>
      <c r="F62" s="487">
        <v>1001010003</v>
      </c>
      <c r="G62" s="487" t="s">
        <v>2006</v>
      </c>
    </row>
    <row r="63" spans="1:7">
      <c r="A63" s="486" t="s">
        <v>2010</v>
      </c>
      <c r="B63" s="486">
        <v>4100081335</v>
      </c>
      <c r="C63" s="487" t="s">
        <v>1956</v>
      </c>
      <c r="D63" s="488">
        <v>44525</v>
      </c>
      <c r="E63" s="489">
        <v>427602</v>
      </c>
      <c r="F63" s="487">
        <v>1001010003</v>
      </c>
      <c r="G63" s="487" t="s">
        <v>2011</v>
      </c>
    </row>
    <row r="64" spans="1:7">
      <c r="A64" s="486">
        <v>411379</v>
      </c>
      <c r="B64" s="486">
        <v>4100128334</v>
      </c>
      <c r="C64" s="487" t="s">
        <v>1956</v>
      </c>
      <c r="D64" s="488">
        <v>44179</v>
      </c>
      <c r="E64" s="489">
        <v>411379</v>
      </c>
      <c r="F64" s="487">
        <v>1001010004</v>
      </c>
      <c r="G64" s="487" t="s">
        <v>2012</v>
      </c>
    </row>
    <row r="65" spans="1:7">
      <c r="A65" s="486">
        <v>789745450</v>
      </c>
      <c r="B65" s="486">
        <v>4100094314</v>
      </c>
      <c r="C65" s="487" t="s">
        <v>1956</v>
      </c>
      <c r="D65" s="488">
        <v>44123</v>
      </c>
      <c r="E65" s="489">
        <v>411254</v>
      </c>
      <c r="F65" s="487">
        <v>1001010004</v>
      </c>
      <c r="G65" s="487" t="s">
        <v>2013</v>
      </c>
    </row>
    <row r="66" spans="1:7">
      <c r="A66" s="486">
        <v>804652982</v>
      </c>
      <c r="B66" s="486">
        <v>4100008384</v>
      </c>
      <c r="C66" s="487" t="s">
        <v>1956</v>
      </c>
      <c r="D66" s="488">
        <v>44218</v>
      </c>
      <c r="E66" s="489">
        <v>487383</v>
      </c>
      <c r="F66" s="487">
        <v>1001010004</v>
      </c>
      <c r="G66" s="487" t="s">
        <v>2013</v>
      </c>
    </row>
    <row r="67" spans="1:7">
      <c r="A67" s="486">
        <v>804652982</v>
      </c>
      <c r="B67" s="486">
        <v>4100010071</v>
      </c>
      <c r="C67" s="487" t="s">
        <v>1956</v>
      </c>
      <c r="D67" s="488">
        <v>44221</v>
      </c>
      <c r="E67" s="489">
        <v>487383</v>
      </c>
      <c r="F67" s="487">
        <v>1001010004</v>
      </c>
      <c r="G67" s="487" t="s">
        <v>2013</v>
      </c>
    </row>
    <row r="68" spans="1:7">
      <c r="A68" s="486">
        <v>804652982</v>
      </c>
      <c r="B68" s="486">
        <v>4900000169</v>
      </c>
      <c r="C68" s="487" t="s">
        <v>1965</v>
      </c>
      <c r="D68" s="488">
        <v>44218</v>
      </c>
      <c r="E68" s="489">
        <v>487383</v>
      </c>
      <c r="F68" s="487">
        <v>1001010004</v>
      </c>
      <c r="G68" s="487" t="s">
        <v>2013</v>
      </c>
    </row>
    <row r="69" spans="1:7">
      <c r="A69" s="486">
        <v>809571286</v>
      </c>
      <c r="B69" s="486">
        <v>4100016688</v>
      </c>
      <c r="C69" s="487" t="s">
        <v>1956</v>
      </c>
      <c r="D69" s="488">
        <v>44243</v>
      </c>
      <c r="E69" s="489">
        <v>429638</v>
      </c>
      <c r="F69" s="487">
        <v>1001010004</v>
      </c>
      <c r="G69" s="487" t="s">
        <v>2013</v>
      </c>
    </row>
    <row r="70" spans="1:7">
      <c r="A70" s="486">
        <v>819723922</v>
      </c>
      <c r="B70" s="486">
        <v>4100029197</v>
      </c>
      <c r="C70" s="487" t="s">
        <v>1956</v>
      </c>
      <c r="D70" s="488">
        <v>44287</v>
      </c>
      <c r="E70" s="489">
        <v>397936</v>
      </c>
      <c r="F70" s="487">
        <v>1001010004</v>
      </c>
      <c r="G70" s="487" t="s">
        <v>2014</v>
      </c>
    </row>
    <row r="71" spans="1:7">
      <c r="A71" s="486">
        <v>839949750</v>
      </c>
      <c r="B71" s="486">
        <v>4100050761</v>
      </c>
      <c r="C71" s="487" t="s">
        <v>1956</v>
      </c>
      <c r="D71" s="488">
        <v>44423</v>
      </c>
      <c r="E71" s="489">
        <v>361884</v>
      </c>
      <c r="F71" s="487">
        <v>1001010004</v>
      </c>
      <c r="G71" s="487" t="s">
        <v>2013</v>
      </c>
    </row>
    <row r="72" spans="1:7">
      <c r="A72" s="486">
        <v>7886506015</v>
      </c>
      <c r="B72" s="486">
        <v>4100069487</v>
      </c>
      <c r="C72" s="487" t="s">
        <v>1956</v>
      </c>
      <c r="D72" s="488">
        <v>44045</v>
      </c>
      <c r="E72" s="489">
        <v>367908</v>
      </c>
      <c r="F72" s="487">
        <v>1001010004</v>
      </c>
      <c r="G72" s="487" t="s">
        <v>2014</v>
      </c>
    </row>
    <row r="73" spans="1:7">
      <c r="A73" s="486">
        <v>8552879245</v>
      </c>
      <c r="B73" s="486">
        <v>4100077320</v>
      </c>
      <c r="C73" s="487" t="s">
        <v>1956</v>
      </c>
      <c r="D73" s="488">
        <v>44514</v>
      </c>
      <c r="E73" s="489">
        <v>352664</v>
      </c>
      <c r="F73" s="487">
        <v>1001010004</v>
      </c>
      <c r="G73" s="487" t="s">
        <v>2014</v>
      </c>
    </row>
    <row r="74" spans="1:7">
      <c r="A74" s="486">
        <v>75336508700</v>
      </c>
      <c r="B74" s="486">
        <v>4100014082</v>
      </c>
      <c r="C74" s="487" t="s">
        <v>1956</v>
      </c>
      <c r="D74" s="488">
        <v>43876</v>
      </c>
      <c r="E74" s="489">
        <v>477622</v>
      </c>
      <c r="F74" s="487">
        <v>1001010004</v>
      </c>
      <c r="G74" s="487" t="s">
        <v>2013</v>
      </c>
    </row>
    <row r="75" spans="1:7">
      <c r="A75" s="486">
        <v>75726240638</v>
      </c>
      <c r="B75" s="486">
        <v>4100022858</v>
      </c>
      <c r="C75" s="487" t="s">
        <v>1956</v>
      </c>
      <c r="D75" s="488">
        <v>43904</v>
      </c>
      <c r="E75" s="489">
        <v>461545</v>
      </c>
      <c r="F75" s="487">
        <v>1001010004</v>
      </c>
      <c r="G75" s="487" t="s">
        <v>2013</v>
      </c>
    </row>
    <row r="76" spans="1:7">
      <c r="A76" s="486">
        <v>76176729414</v>
      </c>
      <c r="B76" s="486">
        <v>4100033871</v>
      </c>
      <c r="C76" s="487" t="s">
        <v>1956</v>
      </c>
      <c r="D76" s="488">
        <v>43938</v>
      </c>
      <c r="E76" s="489">
        <v>495075</v>
      </c>
      <c r="F76" s="487">
        <v>1001010004</v>
      </c>
      <c r="G76" s="487" t="s">
        <v>2013</v>
      </c>
    </row>
    <row r="77" spans="1:7">
      <c r="A77" s="486">
        <v>77431771795</v>
      </c>
      <c r="B77" s="486">
        <v>4100062006</v>
      </c>
      <c r="C77" s="487" t="s">
        <v>1956</v>
      </c>
      <c r="D77" s="488">
        <v>44030</v>
      </c>
      <c r="E77" s="489">
        <v>363985</v>
      </c>
      <c r="F77" s="487">
        <v>1001010004</v>
      </c>
      <c r="G77" s="487" t="s">
        <v>2013</v>
      </c>
    </row>
    <row r="78" spans="1:7">
      <c r="A78" s="486">
        <v>78462110163</v>
      </c>
      <c r="B78" s="486">
        <v>4100078809</v>
      </c>
      <c r="C78" s="487" t="s">
        <v>1956</v>
      </c>
      <c r="D78" s="488">
        <v>44092</v>
      </c>
      <c r="E78" s="489">
        <v>346583</v>
      </c>
      <c r="F78" s="487">
        <v>1001010004</v>
      </c>
      <c r="G78" s="487" t="s">
        <v>2013</v>
      </c>
    </row>
    <row r="79" spans="1:7">
      <c r="A79" s="486">
        <v>83481098689</v>
      </c>
      <c r="B79" s="486">
        <v>4100045120</v>
      </c>
      <c r="C79" s="487" t="s">
        <v>1956</v>
      </c>
      <c r="D79" s="488">
        <v>44378</v>
      </c>
      <c r="E79" s="489">
        <v>345900</v>
      </c>
      <c r="F79" s="487">
        <v>1001010004</v>
      </c>
      <c r="G79" s="487" t="s">
        <v>2014</v>
      </c>
    </row>
    <row r="80" spans="1:7">
      <c r="A80" s="486">
        <v>86059568393</v>
      </c>
      <c r="B80" s="486">
        <v>4100088238</v>
      </c>
      <c r="C80" s="487" t="s">
        <v>1956</v>
      </c>
      <c r="D80" s="488">
        <v>44545</v>
      </c>
      <c r="E80" s="489">
        <v>380458</v>
      </c>
      <c r="F80" s="487">
        <v>1001010004</v>
      </c>
      <c r="G80" s="487" t="s">
        <v>2013</v>
      </c>
    </row>
    <row r="81" spans="1:7">
      <c r="A81" s="486" t="s">
        <v>2015</v>
      </c>
      <c r="B81" s="486">
        <v>4100004002</v>
      </c>
      <c r="C81" s="487" t="s">
        <v>1956</v>
      </c>
      <c r="D81" s="488">
        <v>43842</v>
      </c>
      <c r="E81" s="489">
        <v>512449</v>
      </c>
      <c r="F81" s="487">
        <v>1001010004</v>
      </c>
      <c r="G81" s="487" t="s">
        <v>2016</v>
      </c>
    </row>
    <row r="82" spans="1:7">
      <c r="A82" s="486" t="s">
        <v>2017</v>
      </c>
      <c r="B82" s="486">
        <v>4100045264</v>
      </c>
      <c r="C82" s="487" t="s">
        <v>1956</v>
      </c>
      <c r="D82" s="488">
        <v>43969</v>
      </c>
      <c r="E82" s="489">
        <v>434482</v>
      </c>
      <c r="F82" s="487">
        <v>1001010004</v>
      </c>
      <c r="G82" s="487" t="s">
        <v>2016</v>
      </c>
    </row>
    <row r="83" spans="1:7">
      <c r="A83" s="486" t="s">
        <v>2018</v>
      </c>
      <c r="B83" s="486">
        <v>4100054916</v>
      </c>
      <c r="C83" s="487" t="s">
        <v>1956</v>
      </c>
      <c r="D83" s="488">
        <v>44001</v>
      </c>
      <c r="E83" s="489">
        <v>364139</v>
      </c>
      <c r="F83" s="487">
        <v>1001010004</v>
      </c>
      <c r="G83" s="487" t="s">
        <v>2019</v>
      </c>
    </row>
    <row r="84" spans="1:7">
      <c r="A84" s="486" t="s">
        <v>2020</v>
      </c>
      <c r="B84" s="486">
        <v>4100110506</v>
      </c>
      <c r="C84" s="487" t="s">
        <v>1956</v>
      </c>
      <c r="D84" s="488">
        <v>44150</v>
      </c>
      <c r="E84" s="489">
        <v>391932</v>
      </c>
      <c r="F84" s="487">
        <v>1001010004</v>
      </c>
      <c r="G84" s="487" t="s">
        <v>2021</v>
      </c>
    </row>
    <row r="85" spans="1:7">
      <c r="A85" s="486" t="s">
        <v>2022</v>
      </c>
      <c r="B85" s="486">
        <v>4100024154</v>
      </c>
      <c r="C85" s="487" t="s">
        <v>1956</v>
      </c>
      <c r="D85" s="488">
        <v>44273</v>
      </c>
      <c r="E85" s="489">
        <v>418034</v>
      </c>
      <c r="F85" s="487">
        <v>1001010004</v>
      </c>
      <c r="G85" s="487" t="s">
        <v>2021</v>
      </c>
    </row>
    <row r="86" spans="1:7">
      <c r="A86" s="486" t="s">
        <v>2023</v>
      </c>
      <c r="B86" s="486">
        <v>4100035333</v>
      </c>
      <c r="C86" s="487" t="s">
        <v>1956</v>
      </c>
      <c r="D86" s="488">
        <v>44330</v>
      </c>
      <c r="E86" s="489">
        <v>363814</v>
      </c>
      <c r="F86" s="487">
        <v>1001010004</v>
      </c>
      <c r="G86" s="487" t="s">
        <v>2012</v>
      </c>
    </row>
    <row r="87" spans="1:7">
      <c r="A87" s="486" t="s">
        <v>2024</v>
      </c>
      <c r="B87" s="486">
        <v>4100040641</v>
      </c>
      <c r="C87" s="487" t="s">
        <v>1956</v>
      </c>
      <c r="D87" s="488">
        <v>44331</v>
      </c>
      <c r="E87" s="489">
        <v>341267</v>
      </c>
      <c r="F87" s="487">
        <v>1001010004</v>
      </c>
      <c r="G87" s="487" t="s">
        <v>2025</v>
      </c>
    </row>
    <row r="88" spans="1:7">
      <c r="A88" s="486" t="s">
        <v>2026</v>
      </c>
      <c r="B88" s="486">
        <v>4100056669</v>
      </c>
      <c r="C88" s="487" t="s">
        <v>1956</v>
      </c>
      <c r="D88" s="488">
        <v>44450</v>
      </c>
      <c r="E88" s="489">
        <v>358085</v>
      </c>
      <c r="F88" s="487">
        <v>1001010004</v>
      </c>
      <c r="G88" s="487" t="s">
        <v>2021</v>
      </c>
    </row>
    <row r="89" spans="1:7">
      <c r="A89" s="486" t="s">
        <v>2027</v>
      </c>
      <c r="B89" s="486">
        <v>4100066011</v>
      </c>
      <c r="C89" s="487" t="s">
        <v>1956</v>
      </c>
      <c r="D89" s="488">
        <v>44483</v>
      </c>
      <c r="E89" s="489">
        <v>372480</v>
      </c>
      <c r="F89" s="487">
        <v>1001010004</v>
      </c>
      <c r="G89" s="487" t="s">
        <v>2012</v>
      </c>
    </row>
    <row r="90" spans="1:7">
      <c r="A90" s="486">
        <v>518</v>
      </c>
      <c r="B90" s="486">
        <v>4100003889</v>
      </c>
      <c r="C90" s="487" t="s">
        <v>1956</v>
      </c>
      <c r="D90" s="488">
        <v>44208</v>
      </c>
      <c r="E90" s="489">
        <v>4654</v>
      </c>
      <c r="F90" s="487">
        <v>1001010005</v>
      </c>
      <c r="G90" s="487" t="s">
        <v>2028</v>
      </c>
    </row>
    <row r="91" spans="1:7">
      <c r="A91" s="486">
        <v>746</v>
      </c>
      <c r="B91" s="486">
        <v>4100003886</v>
      </c>
      <c r="C91" s="487" t="s">
        <v>1956</v>
      </c>
      <c r="D91" s="488">
        <v>44208</v>
      </c>
      <c r="E91" s="489">
        <v>10633</v>
      </c>
      <c r="F91" s="487">
        <v>1001010005</v>
      </c>
      <c r="G91" s="487" t="s">
        <v>2028</v>
      </c>
    </row>
    <row r="92" spans="1:7">
      <c r="A92" s="486">
        <v>3470</v>
      </c>
      <c r="B92" s="486">
        <v>4100064674</v>
      </c>
      <c r="C92" s="487" t="s">
        <v>1956</v>
      </c>
      <c r="D92" s="488">
        <v>44478</v>
      </c>
      <c r="E92" s="489">
        <v>277760</v>
      </c>
      <c r="F92" s="487">
        <v>1001010005</v>
      </c>
      <c r="G92" s="487" t="s">
        <v>2028</v>
      </c>
    </row>
    <row r="93" spans="1:7">
      <c r="A93" s="486">
        <v>4842</v>
      </c>
      <c r="B93" s="486">
        <v>4100033904</v>
      </c>
      <c r="C93" s="487" t="s">
        <v>1956</v>
      </c>
      <c r="D93" s="488">
        <v>44317</v>
      </c>
      <c r="E93" s="489">
        <v>219908</v>
      </c>
      <c r="F93" s="487">
        <v>1001010005</v>
      </c>
      <c r="G93" s="487" t="s">
        <v>2029</v>
      </c>
    </row>
    <row r="94" spans="1:7">
      <c r="A94" s="486">
        <v>6254</v>
      </c>
      <c r="B94" s="486">
        <v>4100033900</v>
      </c>
      <c r="C94" s="487" t="s">
        <v>1956</v>
      </c>
      <c r="D94" s="488">
        <v>44317</v>
      </c>
      <c r="E94" s="489">
        <v>10296</v>
      </c>
      <c r="F94" s="487">
        <v>1001010005</v>
      </c>
      <c r="G94" s="487" t="s">
        <v>2029</v>
      </c>
    </row>
    <row r="95" spans="1:7">
      <c r="A95" s="486">
        <v>6769</v>
      </c>
      <c r="B95" s="486">
        <v>4100033903</v>
      </c>
      <c r="C95" s="487" t="s">
        <v>1956</v>
      </c>
      <c r="D95" s="488">
        <v>44317</v>
      </c>
      <c r="E95" s="489">
        <v>4499</v>
      </c>
      <c r="F95" s="487">
        <v>1001010005</v>
      </c>
      <c r="G95" s="487" t="s">
        <v>2029</v>
      </c>
    </row>
    <row r="96" spans="1:7">
      <c r="A96" s="486">
        <v>8551</v>
      </c>
      <c r="B96" s="486">
        <v>4100027235</v>
      </c>
      <c r="C96" s="487" t="s">
        <v>1956</v>
      </c>
      <c r="D96" s="488">
        <v>44197</v>
      </c>
      <c r="E96" s="489">
        <v>10315</v>
      </c>
      <c r="F96" s="487">
        <v>1001010005</v>
      </c>
      <c r="G96" s="487" t="s">
        <v>2030</v>
      </c>
    </row>
    <row r="97" spans="1:7">
      <c r="A97" s="486">
        <v>9170</v>
      </c>
      <c r="B97" s="486">
        <v>4100027232</v>
      </c>
      <c r="C97" s="487" t="s">
        <v>1956</v>
      </c>
      <c r="D97" s="488">
        <v>44287</v>
      </c>
      <c r="E97" s="489">
        <v>5069</v>
      </c>
      <c r="F97" s="487">
        <v>1001010005</v>
      </c>
      <c r="G97" s="487" t="s">
        <v>2030</v>
      </c>
    </row>
    <row r="98" spans="1:7">
      <c r="A98" s="486">
        <v>9173</v>
      </c>
      <c r="B98" s="486">
        <v>4100078078</v>
      </c>
      <c r="C98" s="487" t="s">
        <v>1956</v>
      </c>
      <c r="D98" s="488">
        <v>44516</v>
      </c>
      <c r="E98" s="489">
        <v>287068</v>
      </c>
      <c r="F98" s="487">
        <v>1001010005</v>
      </c>
      <c r="G98" s="487" t="s">
        <v>2030</v>
      </c>
    </row>
    <row r="99" spans="1:7">
      <c r="A99" s="486">
        <v>9183</v>
      </c>
      <c r="B99" s="486">
        <v>4100014001</v>
      </c>
      <c r="C99" s="487" t="s">
        <v>1956</v>
      </c>
      <c r="D99" s="488">
        <v>44233</v>
      </c>
      <c r="E99" s="489">
        <v>9948</v>
      </c>
      <c r="F99" s="487">
        <v>1001010005</v>
      </c>
      <c r="G99" s="487" t="s">
        <v>2028</v>
      </c>
    </row>
    <row r="100" spans="1:7">
      <c r="A100" s="486">
        <v>9446</v>
      </c>
      <c r="B100" s="486">
        <v>4100014004</v>
      </c>
      <c r="C100" s="487" t="s">
        <v>1956</v>
      </c>
      <c r="D100" s="488">
        <v>44233</v>
      </c>
      <c r="E100" s="489">
        <v>4082</v>
      </c>
      <c r="F100" s="487">
        <v>1001010005</v>
      </c>
      <c r="G100" s="487" t="s">
        <v>2028</v>
      </c>
    </row>
    <row r="101" spans="1:7">
      <c r="A101" s="486">
        <v>202321</v>
      </c>
      <c r="B101" s="486">
        <v>4100049212</v>
      </c>
      <c r="C101" s="487" t="s">
        <v>1956</v>
      </c>
      <c r="D101" s="488">
        <v>44414</v>
      </c>
      <c r="E101" s="489">
        <v>202321</v>
      </c>
      <c r="F101" s="487">
        <v>1001010005</v>
      </c>
      <c r="G101" s="487" t="s">
        <v>2030</v>
      </c>
    </row>
    <row r="102" spans="1:7">
      <c r="A102" s="486">
        <v>1129032576</v>
      </c>
      <c r="B102" s="486">
        <v>4100008648</v>
      </c>
      <c r="C102" s="487" t="s">
        <v>1956</v>
      </c>
      <c r="D102" s="488">
        <v>43856</v>
      </c>
      <c r="E102" s="489">
        <v>315873</v>
      </c>
      <c r="F102" s="487">
        <v>1001010005</v>
      </c>
      <c r="G102" s="487" t="s">
        <v>2031</v>
      </c>
    </row>
    <row r="103" spans="1:7">
      <c r="A103" s="486">
        <v>1133312066</v>
      </c>
      <c r="B103" s="486">
        <v>4100016837</v>
      </c>
      <c r="C103" s="487" t="s">
        <v>1956</v>
      </c>
      <c r="D103" s="488">
        <v>43862</v>
      </c>
      <c r="E103" s="489">
        <v>276660</v>
      </c>
      <c r="F103" s="487">
        <v>1001010005</v>
      </c>
      <c r="G103" s="487" t="s">
        <v>2032</v>
      </c>
    </row>
    <row r="104" spans="1:7">
      <c r="A104" s="486">
        <v>1137663601</v>
      </c>
      <c r="B104" s="486">
        <v>4100028205</v>
      </c>
      <c r="C104" s="487" t="s">
        <v>1956</v>
      </c>
      <c r="D104" s="488">
        <v>43917</v>
      </c>
      <c r="E104" s="489">
        <v>295758</v>
      </c>
      <c r="F104" s="487">
        <v>1001010005</v>
      </c>
      <c r="G104" s="487" t="s">
        <v>2033</v>
      </c>
    </row>
    <row r="105" spans="1:7">
      <c r="A105" s="486">
        <v>1142171442</v>
      </c>
      <c r="B105" s="486">
        <v>4100037751</v>
      </c>
      <c r="C105" s="487" t="s">
        <v>1956</v>
      </c>
      <c r="D105" s="488">
        <v>43948</v>
      </c>
      <c r="E105" s="489">
        <v>289359</v>
      </c>
      <c r="F105" s="487">
        <v>1001010005</v>
      </c>
      <c r="G105" s="487" t="s">
        <v>2028</v>
      </c>
    </row>
    <row r="106" spans="1:7">
      <c r="A106" s="486">
        <v>1146706220</v>
      </c>
      <c r="B106" s="486">
        <v>4100048171</v>
      </c>
      <c r="C106" s="487" t="s">
        <v>1956</v>
      </c>
      <c r="D106" s="488">
        <v>43978</v>
      </c>
      <c r="E106" s="489">
        <v>244161</v>
      </c>
      <c r="F106" s="487">
        <v>1001010005</v>
      </c>
      <c r="G106" s="487" t="s">
        <v>2034</v>
      </c>
    </row>
    <row r="107" spans="1:7">
      <c r="A107" s="486">
        <v>1153090619</v>
      </c>
      <c r="B107" s="486">
        <v>4100056321</v>
      </c>
      <c r="C107" s="487" t="s">
        <v>1956</v>
      </c>
      <c r="D107" s="488">
        <v>44007</v>
      </c>
      <c r="E107" s="489">
        <v>240052</v>
      </c>
      <c r="F107" s="487">
        <v>1001010005</v>
      </c>
      <c r="G107" s="487" t="s">
        <v>2028</v>
      </c>
    </row>
    <row r="108" spans="1:7">
      <c r="A108" s="486">
        <v>1172679954</v>
      </c>
      <c r="B108" s="486">
        <v>4100082784</v>
      </c>
      <c r="C108" s="487" t="s">
        <v>1956</v>
      </c>
      <c r="D108" s="488">
        <v>44101</v>
      </c>
      <c r="E108" s="489">
        <v>307850</v>
      </c>
      <c r="F108" s="487">
        <v>1001010005</v>
      </c>
      <c r="G108" s="487" t="s">
        <v>2028</v>
      </c>
    </row>
    <row r="109" spans="1:7">
      <c r="A109" s="486">
        <v>1184126352</v>
      </c>
      <c r="B109" s="486">
        <v>4100124399</v>
      </c>
      <c r="C109" s="487" t="s">
        <v>1956</v>
      </c>
      <c r="D109" s="488">
        <v>44172</v>
      </c>
      <c r="E109" s="489">
        <v>388660</v>
      </c>
      <c r="F109" s="487">
        <v>1001010005</v>
      </c>
      <c r="G109" s="487" t="s">
        <v>2028</v>
      </c>
    </row>
    <row r="110" spans="1:7">
      <c r="A110" s="486">
        <v>1199303676</v>
      </c>
      <c r="B110" s="486">
        <v>4100025621</v>
      </c>
      <c r="C110" s="487" t="s">
        <v>1956</v>
      </c>
      <c r="D110" s="488">
        <v>44256</v>
      </c>
      <c r="E110" s="489">
        <v>5222</v>
      </c>
      <c r="F110" s="487">
        <v>1001010005</v>
      </c>
      <c r="G110" s="487" t="s">
        <v>2030</v>
      </c>
    </row>
    <row r="111" spans="1:7">
      <c r="A111" s="486">
        <v>1199316873</v>
      </c>
      <c r="B111" s="486">
        <v>4100025620</v>
      </c>
      <c r="C111" s="487" t="s">
        <v>1956</v>
      </c>
      <c r="D111" s="488">
        <v>44268</v>
      </c>
      <c r="E111" s="489">
        <v>9954</v>
      </c>
      <c r="F111" s="487">
        <v>1001010005</v>
      </c>
      <c r="G111" s="487" t="s">
        <v>2030</v>
      </c>
    </row>
    <row r="112" spans="1:7">
      <c r="A112" s="486">
        <v>1219904637</v>
      </c>
      <c r="B112" s="486">
        <v>4100044545</v>
      </c>
      <c r="C112" s="487" t="s">
        <v>1956</v>
      </c>
      <c r="D112" s="488">
        <v>44378</v>
      </c>
      <c r="E112" s="489">
        <v>238130</v>
      </c>
      <c r="F112" s="487">
        <v>1001010005</v>
      </c>
      <c r="G112" s="487" t="s">
        <v>2029</v>
      </c>
    </row>
    <row r="113" spans="1:7">
      <c r="A113" s="486">
        <v>77962292162</v>
      </c>
      <c r="B113" s="486">
        <v>4100070325</v>
      </c>
      <c r="C113" s="487" t="s">
        <v>1956</v>
      </c>
      <c r="D113" s="488">
        <v>44067</v>
      </c>
      <c r="E113" s="489">
        <v>317438</v>
      </c>
      <c r="F113" s="487">
        <v>1001010005</v>
      </c>
      <c r="G113" s="487" t="s">
        <v>2035</v>
      </c>
    </row>
    <row r="114" spans="1:7">
      <c r="A114" s="486" t="s">
        <v>2036</v>
      </c>
      <c r="B114" s="486">
        <v>4100062845</v>
      </c>
      <c r="C114" s="487" t="s">
        <v>1956</v>
      </c>
      <c r="D114" s="488">
        <v>44013</v>
      </c>
      <c r="E114" s="489">
        <v>298947</v>
      </c>
      <c r="F114" s="487">
        <v>1001010005</v>
      </c>
      <c r="G114" s="487" t="s">
        <v>2037</v>
      </c>
    </row>
    <row r="115" spans="1:7">
      <c r="A115" s="486" t="s">
        <v>2038</v>
      </c>
      <c r="B115" s="486">
        <v>4100098292</v>
      </c>
      <c r="C115" s="487" t="s">
        <v>1956</v>
      </c>
      <c r="D115" s="488">
        <v>44130</v>
      </c>
      <c r="E115" s="489">
        <v>333874</v>
      </c>
      <c r="F115" s="487">
        <v>1001010005</v>
      </c>
      <c r="G115" s="487" t="s">
        <v>2039</v>
      </c>
    </row>
    <row r="116" spans="1:7">
      <c r="A116" s="486" t="s">
        <v>2040</v>
      </c>
      <c r="B116" s="486">
        <v>4100041079</v>
      </c>
      <c r="C116" s="487" t="s">
        <v>1956</v>
      </c>
      <c r="D116" s="488">
        <v>44365</v>
      </c>
      <c r="E116" s="489">
        <v>235221</v>
      </c>
      <c r="F116" s="487">
        <v>1001010005</v>
      </c>
      <c r="G116" s="487" t="s">
        <v>2041</v>
      </c>
    </row>
    <row r="117" spans="1:7">
      <c r="A117" s="486" t="s">
        <v>2042</v>
      </c>
      <c r="B117" s="486">
        <v>4100055429</v>
      </c>
      <c r="C117" s="487" t="s">
        <v>1956</v>
      </c>
      <c r="D117" s="488">
        <v>44445</v>
      </c>
      <c r="E117" s="489">
        <v>264340</v>
      </c>
      <c r="F117" s="487">
        <v>1001010005</v>
      </c>
      <c r="G117" s="487" t="s">
        <v>2034</v>
      </c>
    </row>
    <row r="118" spans="1:7">
      <c r="A118" s="486" t="s">
        <v>2043</v>
      </c>
      <c r="B118" s="486">
        <v>4100087464</v>
      </c>
      <c r="C118" s="487" t="s">
        <v>1956</v>
      </c>
      <c r="D118" s="488">
        <v>44541</v>
      </c>
      <c r="E118" s="489">
        <v>323277</v>
      </c>
      <c r="F118" s="487">
        <v>1001010005</v>
      </c>
      <c r="G118" s="487" t="s">
        <v>2044</v>
      </c>
    </row>
    <row r="119" spans="1:7">
      <c r="A119" s="486">
        <v>1133908075</v>
      </c>
      <c r="B119" s="486">
        <v>4100019008</v>
      </c>
      <c r="C119" s="487" t="s">
        <v>1956</v>
      </c>
      <c r="D119" s="488">
        <v>43891</v>
      </c>
      <c r="E119" s="489">
        <v>1814898</v>
      </c>
      <c r="F119" s="487">
        <v>1001010006</v>
      </c>
      <c r="G119" s="487" t="s">
        <v>2045</v>
      </c>
    </row>
    <row r="120" spans="1:7">
      <c r="A120" s="486">
        <v>1138418195</v>
      </c>
      <c r="B120" s="486">
        <v>4100029397</v>
      </c>
      <c r="C120" s="487" t="s">
        <v>1956</v>
      </c>
      <c r="D120" s="488">
        <v>43922</v>
      </c>
      <c r="E120" s="489">
        <v>1599684</v>
      </c>
      <c r="F120" s="487">
        <v>1001010006</v>
      </c>
      <c r="G120" s="487" t="s">
        <v>2046</v>
      </c>
    </row>
    <row r="121" spans="1:7">
      <c r="A121" s="486">
        <v>1142703248</v>
      </c>
      <c r="B121" s="486">
        <v>4100040726</v>
      </c>
      <c r="C121" s="487" t="s">
        <v>1956</v>
      </c>
      <c r="D121" s="488">
        <v>43955</v>
      </c>
      <c r="E121" s="489">
        <v>1992669</v>
      </c>
      <c r="F121" s="487">
        <v>1001010006</v>
      </c>
      <c r="G121" s="487" t="s">
        <v>2047</v>
      </c>
    </row>
    <row r="122" spans="1:7">
      <c r="A122" s="486">
        <v>1199891325</v>
      </c>
      <c r="B122" s="486">
        <v>4100022723</v>
      </c>
      <c r="C122" s="487" t="s">
        <v>1956</v>
      </c>
      <c r="D122" s="488">
        <v>44266</v>
      </c>
      <c r="E122" s="489">
        <v>1947483</v>
      </c>
      <c r="F122" s="487">
        <v>1001010006</v>
      </c>
      <c r="G122" s="487" t="s">
        <v>2048</v>
      </c>
    </row>
    <row r="123" spans="1:7">
      <c r="A123" s="486">
        <v>1204628052</v>
      </c>
      <c r="B123" s="486">
        <v>4100027980</v>
      </c>
      <c r="C123" s="487" t="s">
        <v>1956</v>
      </c>
      <c r="D123" s="488">
        <v>44287</v>
      </c>
      <c r="E123" s="489">
        <v>1892637</v>
      </c>
      <c r="F123" s="487">
        <v>1001010006</v>
      </c>
      <c r="G123" s="487" t="s">
        <v>2049</v>
      </c>
    </row>
    <row r="124" spans="1:7">
      <c r="A124" s="486">
        <v>1220630660</v>
      </c>
      <c r="B124" s="486">
        <v>4100044088</v>
      </c>
      <c r="C124" s="487" t="s">
        <v>1956</v>
      </c>
      <c r="D124" s="488">
        <v>44378</v>
      </c>
      <c r="E124" s="489">
        <v>1529207</v>
      </c>
      <c r="F124" s="487">
        <v>1001010006</v>
      </c>
      <c r="G124" s="487" t="s">
        <v>2050</v>
      </c>
    </row>
    <row r="125" spans="1:7">
      <c r="A125" s="486">
        <v>1240978259</v>
      </c>
      <c r="B125" s="486">
        <v>4100073727</v>
      </c>
      <c r="C125" s="487" t="s">
        <v>1956</v>
      </c>
      <c r="D125" s="488">
        <v>44505</v>
      </c>
      <c r="E125" s="489">
        <v>1567595</v>
      </c>
      <c r="F125" s="487">
        <v>1001010006</v>
      </c>
      <c r="G125" s="487" t="s">
        <v>2048</v>
      </c>
    </row>
    <row r="126" spans="1:7">
      <c r="A126" s="486">
        <v>4700497084</v>
      </c>
      <c r="B126" s="486">
        <v>4100107121</v>
      </c>
      <c r="C126" s="487" t="s">
        <v>1956</v>
      </c>
      <c r="D126" s="488">
        <v>44136</v>
      </c>
      <c r="E126" s="489">
        <v>1750020</v>
      </c>
      <c r="F126" s="487">
        <v>1001010006</v>
      </c>
      <c r="G126" s="487" t="s">
        <v>2051</v>
      </c>
    </row>
    <row r="127" spans="1:7">
      <c r="A127" s="486" t="s">
        <v>2052</v>
      </c>
      <c r="B127" s="486">
        <v>4100000764</v>
      </c>
      <c r="C127" s="487" t="s">
        <v>1956</v>
      </c>
      <c r="D127" s="488">
        <v>43832</v>
      </c>
      <c r="E127" s="489">
        <v>2096932</v>
      </c>
      <c r="F127" s="487">
        <v>1001010006</v>
      </c>
      <c r="G127" s="487" t="s">
        <v>2053</v>
      </c>
    </row>
    <row r="128" spans="1:7">
      <c r="A128" s="486" t="s">
        <v>2054</v>
      </c>
      <c r="B128" s="486">
        <v>4100010957</v>
      </c>
      <c r="C128" s="487" t="s">
        <v>1956</v>
      </c>
      <c r="D128" s="488">
        <v>43861</v>
      </c>
      <c r="E128" s="489">
        <v>1912939</v>
      </c>
      <c r="F128" s="487">
        <v>1001010006</v>
      </c>
      <c r="G128" s="487" t="s">
        <v>2055</v>
      </c>
    </row>
    <row r="129" spans="1:7">
      <c r="A129" s="486" t="s">
        <v>2056</v>
      </c>
      <c r="B129" s="486">
        <v>4100050795</v>
      </c>
      <c r="C129" s="487" t="s">
        <v>1956</v>
      </c>
      <c r="D129" s="488">
        <v>43987</v>
      </c>
      <c r="E129" s="489">
        <v>945635</v>
      </c>
      <c r="F129" s="487">
        <v>1001010006</v>
      </c>
      <c r="G129" s="487" t="s">
        <v>2057</v>
      </c>
    </row>
    <row r="130" spans="1:7">
      <c r="A130" s="486" t="s">
        <v>2058</v>
      </c>
      <c r="B130" s="486">
        <v>4100014003</v>
      </c>
      <c r="C130" s="487" t="s">
        <v>1956</v>
      </c>
      <c r="D130" s="488">
        <v>44233</v>
      </c>
      <c r="E130" s="489">
        <v>1974098</v>
      </c>
      <c r="F130" s="487">
        <v>1001010006</v>
      </c>
      <c r="G130" s="487" t="s">
        <v>2059</v>
      </c>
    </row>
    <row r="131" spans="1:7">
      <c r="A131" s="486" t="s">
        <v>2060</v>
      </c>
      <c r="B131" s="486">
        <v>4100048792</v>
      </c>
      <c r="C131" s="487" t="s">
        <v>1956</v>
      </c>
      <c r="D131" s="488">
        <v>44412</v>
      </c>
      <c r="E131" s="489">
        <v>1574552</v>
      </c>
      <c r="F131" s="487">
        <v>1001010006</v>
      </c>
      <c r="G131" s="487" t="s">
        <v>2061</v>
      </c>
    </row>
    <row r="132" spans="1:7">
      <c r="A132" s="486">
        <v>1126955372</v>
      </c>
      <c r="B132" s="486">
        <v>4100005914</v>
      </c>
      <c r="C132" s="487" t="s">
        <v>1956</v>
      </c>
      <c r="D132" s="488">
        <v>43848</v>
      </c>
      <c r="E132" s="489">
        <v>273733</v>
      </c>
      <c r="F132" s="487">
        <v>1001010007</v>
      </c>
      <c r="G132" s="487" t="s">
        <v>2062</v>
      </c>
    </row>
    <row r="133" spans="1:7">
      <c r="A133" s="486">
        <v>1131488122</v>
      </c>
      <c r="B133" s="486">
        <v>4100013256</v>
      </c>
      <c r="C133" s="487" t="s">
        <v>1956</v>
      </c>
      <c r="D133" s="488">
        <v>43862</v>
      </c>
      <c r="E133" s="489">
        <v>216186</v>
      </c>
      <c r="F133" s="487">
        <v>1001010007</v>
      </c>
      <c r="G133" s="487" t="s">
        <v>2063</v>
      </c>
    </row>
    <row r="134" spans="1:7">
      <c r="A134" s="486">
        <v>1135797429</v>
      </c>
      <c r="B134" s="486">
        <v>4100021005</v>
      </c>
      <c r="C134" s="487" t="s">
        <v>1956</v>
      </c>
      <c r="D134" s="488">
        <v>43898</v>
      </c>
      <c r="E134" s="489">
        <v>198909</v>
      </c>
      <c r="F134" s="487">
        <v>1001010007</v>
      </c>
      <c r="G134" s="487" t="s">
        <v>2062</v>
      </c>
    </row>
    <row r="135" spans="1:7">
      <c r="A135" s="486">
        <v>1140633400</v>
      </c>
      <c r="B135" s="486">
        <v>4100033487</v>
      </c>
      <c r="C135" s="487" t="s">
        <v>1956</v>
      </c>
      <c r="D135" s="488">
        <v>43937</v>
      </c>
      <c r="E135" s="489">
        <v>199823</v>
      </c>
      <c r="F135" s="487">
        <v>1001010007</v>
      </c>
      <c r="G135" s="487" t="s">
        <v>2062</v>
      </c>
    </row>
    <row r="136" spans="1:7">
      <c r="A136" s="486">
        <v>1144842305</v>
      </c>
      <c r="B136" s="486">
        <v>4100045621</v>
      </c>
      <c r="C136" s="487" t="s">
        <v>1956</v>
      </c>
      <c r="D136" s="488">
        <v>43970</v>
      </c>
      <c r="E136" s="489">
        <v>150363</v>
      </c>
      <c r="F136" s="487">
        <v>1001010007</v>
      </c>
      <c r="G136" s="487" t="s">
        <v>2062</v>
      </c>
    </row>
    <row r="137" spans="1:7">
      <c r="A137" s="486">
        <v>1170033291</v>
      </c>
      <c r="B137" s="486">
        <v>4100078866</v>
      </c>
      <c r="C137" s="487" t="s">
        <v>1956</v>
      </c>
      <c r="D137" s="488">
        <v>44091</v>
      </c>
      <c r="E137" s="489">
        <v>201946</v>
      </c>
      <c r="F137" s="487">
        <v>1001010007</v>
      </c>
      <c r="G137" s="487" t="s">
        <v>2064</v>
      </c>
    </row>
    <row r="138" spans="1:7">
      <c r="A138" s="486">
        <v>1176128436</v>
      </c>
      <c r="B138" s="486">
        <v>4100094306</v>
      </c>
      <c r="C138" s="487" t="s">
        <v>1956</v>
      </c>
      <c r="D138" s="488">
        <v>44123</v>
      </c>
      <c r="E138" s="489">
        <v>203324</v>
      </c>
      <c r="F138" s="487">
        <v>1001010007</v>
      </c>
      <c r="G138" s="487" t="s">
        <v>2062</v>
      </c>
    </row>
    <row r="139" spans="1:7">
      <c r="A139" s="486">
        <v>1182250473</v>
      </c>
      <c r="B139" s="486">
        <v>4100115580</v>
      </c>
      <c r="C139" s="487" t="s">
        <v>1956</v>
      </c>
      <c r="D139" s="488">
        <v>44158</v>
      </c>
      <c r="E139" s="489">
        <v>219366</v>
      </c>
      <c r="F139" s="487">
        <v>1001010007</v>
      </c>
      <c r="G139" s="487" t="s">
        <v>2062</v>
      </c>
    </row>
    <row r="140" spans="1:7">
      <c r="A140" s="486">
        <v>1192513136</v>
      </c>
      <c r="B140" s="486">
        <v>4100008063</v>
      </c>
      <c r="C140" s="487" t="s">
        <v>1956</v>
      </c>
      <c r="D140" s="488">
        <v>44197</v>
      </c>
      <c r="E140" s="489">
        <v>473273</v>
      </c>
      <c r="F140" s="487">
        <v>1001010007</v>
      </c>
      <c r="G140" s="487" t="s">
        <v>2063</v>
      </c>
    </row>
    <row r="141" spans="1:7">
      <c r="A141" s="486">
        <v>1201846139</v>
      </c>
      <c r="B141" s="486">
        <v>4100024179</v>
      </c>
      <c r="C141" s="487" t="s">
        <v>1956</v>
      </c>
      <c r="D141" s="488">
        <v>44273</v>
      </c>
      <c r="E141" s="489">
        <v>234710</v>
      </c>
      <c r="F141" s="487">
        <v>1001010007</v>
      </c>
      <c r="G141" s="487" t="s">
        <v>2062</v>
      </c>
    </row>
    <row r="142" spans="1:7">
      <c r="A142" s="486">
        <v>1242945988</v>
      </c>
      <c r="B142" s="486">
        <v>4100078435</v>
      </c>
      <c r="C142" s="487" t="s">
        <v>1956</v>
      </c>
      <c r="D142" s="488">
        <v>44518</v>
      </c>
      <c r="E142" s="489">
        <v>195055</v>
      </c>
      <c r="F142" s="487">
        <v>1001010007</v>
      </c>
      <c r="G142" s="487" t="s">
        <v>2063</v>
      </c>
    </row>
    <row r="143" spans="1:7">
      <c r="A143" s="486">
        <v>1248928761</v>
      </c>
      <c r="B143" s="486">
        <v>4100087748</v>
      </c>
      <c r="C143" s="487" t="s">
        <v>1956</v>
      </c>
      <c r="D143" s="488">
        <v>44542</v>
      </c>
      <c r="E143" s="489">
        <v>198165</v>
      </c>
      <c r="F143" s="487">
        <v>1001010007</v>
      </c>
      <c r="G143" s="487" t="s">
        <v>2062</v>
      </c>
    </row>
    <row r="144" spans="1:7">
      <c r="A144" s="486" t="s">
        <v>2065</v>
      </c>
      <c r="B144" s="486">
        <v>4100054387</v>
      </c>
      <c r="C144" s="487" t="s">
        <v>1956</v>
      </c>
      <c r="D144" s="488">
        <v>44000</v>
      </c>
      <c r="E144" s="489">
        <v>178126</v>
      </c>
      <c r="F144" s="487">
        <v>1001010007</v>
      </c>
      <c r="G144" s="487" t="s">
        <v>2066</v>
      </c>
    </row>
    <row r="145" spans="1:7">
      <c r="A145" s="486" t="s">
        <v>2067</v>
      </c>
      <c r="B145" s="486">
        <v>4100060631</v>
      </c>
      <c r="C145" s="487" t="s">
        <v>1956</v>
      </c>
      <c r="D145" s="488">
        <v>44026</v>
      </c>
      <c r="E145" s="489">
        <v>194275</v>
      </c>
      <c r="F145" s="487">
        <v>1001010007</v>
      </c>
      <c r="G145" s="487" t="s">
        <v>2068</v>
      </c>
    </row>
    <row r="146" spans="1:7">
      <c r="A146" s="486" t="s">
        <v>2069</v>
      </c>
      <c r="B146" s="486">
        <v>4100070274</v>
      </c>
      <c r="C146" s="487" t="s">
        <v>1956</v>
      </c>
      <c r="D146" s="488">
        <v>44067</v>
      </c>
      <c r="E146" s="489">
        <v>195428</v>
      </c>
      <c r="F146" s="487">
        <v>1001010007</v>
      </c>
      <c r="G146" s="487" t="s">
        <v>2070</v>
      </c>
    </row>
    <row r="147" spans="1:7">
      <c r="A147" s="486" t="s">
        <v>2071</v>
      </c>
      <c r="B147" s="486">
        <v>4100016356</v>
      </c>
      <c r="C147" s="487" t="s">
        <v>1956</v>
      </c>
      <c r="D147" s="488">
        <v>44228</v>
      </c>
      <c r="E147" s="489">
        <v>204880</v>
      </c>
      <c r="F147" s="487">
        <v>1001010007</v>
      </c>
      <c r="G147" s="487" t="s">
        <v>2072</v>
      </c>
    </row>
    <row r="148" spans="1:7">
      <c r="A148" s="486" t="s">
        <v>2073</v>
      </c>
      <c r="B148" s="486">
        <v>4100030340</v>
      </c>
      <c r="C148" s="487" t="s">
        <v>1956</v>
      </c>
      <c r="D148" s="488">
        <v>44301</v>
      </c>
      <c r="E148" s="489">
        <v>229013</v>
      </c>
      <c r="F148" s="487">
        <v>1001010007</v>
      </c>
      <c r="G148" s="487" t="s">
        <v>2074</v>
      </c>
    </row>
    <row r="149" spans="1:7">
      <c r="A149" s="486" t="s">
        <v>2075</v>
      </c>
      <c r="B149" s="486">
        <v>4100036419</v>
      </c>
      <c r="C149" s="487" t="s">
        <v>1956</v>
      </c>
      <c r="D149" s="488">
        <v>44336</v>
      </c>
      <c r="E149" s="489">
        <v>198148</v>
      </c>
      <c r="F149" s="487">
        <v>1001010007</v>
      </c>
      <c r="G149" s="487" t="s">
        <v>2076</v>
      </c>
    </row>
    <row r="150" spans="1:7">
      <c r="A150" s="486" t="s">
        <v>2077</v>
      </c>
      <c r="B150" s="486">
        <v>4100040660</v>
      </c>
      <c r="C150" s="487" t="s">
        <v>1956</v>
      </c>
      <c r="D150" s="488">
        <v>44362</v>
      </c>
      <c r="E150" s="489">
        <v>186794</v>
      </c>
      <c r="F150" s="487">
        <v>1001010007</v>
      </c>
      <c r="G150" s="487" t="s">
        <v>2078</v>
      </c>
    </row>
    <row r="151" spans="1:7">
      <c r="A151" s="486" t="s">
        <v>2079</v>
      </c>
      <c r="B151" s="486">
        <v>4100046013</v>
      </c>
      <c r="C151" s="487" t="s">
        <v>1956</v>
      </c>
      <c r="D151" s="488">
        <v>44396</v>
      </c>
      <c r="E151" s="489">
        <v>188969</v>
      </c>
      <c r="F151" s="487">
        <v>1001010007</v>
      </c>
      <c r="G151" s="487" t="s">
        <v>2080</v>
      </c>
    </row>
    <row r="152" spans="1:7">
      <c r="A152" s="486" t="s">
        <v>2081</v>
      </c>
      <c r="B152" s="486">
        <v>4100051086</v>
      </c>
      <c r="C152" s="487" t="s">
        <v>1956</v>
      </c>
      <c r="D152" s="488">
        <v>44425</v>
      </c>
      <c r="E152" s="489">
        <v>199293</v>
      </c>
      <c r="F152" s="487">
        <v>1001010007</v>
      </c>
      <c r="G152" s="487" t="s">
        <v>2070</v>
      </c>
    </row>
    <row r="153" spans="1:7">
      <c r="A153" s="486" t="s">
        <v>2082</v>
      </c>
      <c r="B153" s="486">
        <v>4100057240</v>
      </c>
      <c r="C153" s="487" t="s">
        <v>1956</v>
      </c>
      <c r="D153" s="488">
        <v>44453</v>
      </c>
      <c r="E153" s="489">
        <v>190503</v>
      </c>
      <c r="F153" s="487">
        <v>1001010007</v>
      </c>
      <c r="G153" s="487" t="s">
        <v>2074</v>
      </c>
    </row>
    <row r="154" spans="1:7">
      <c r="A154" s="486" t="s">
        <v>2083</v>
      </c>
      <c r="B154" s="486">
        <v>4100068308</v>
      </c>
      <c r="C154" s="487" t="s">
        <v>1956</v>
      </c>
      <c r="D154" s="488">
        <v>44490</v>
      </c>
      <c r="E154" s="489">
        <v>199959</v>
      </c>
      <c r="F154" s="487">
        <v>1001010007</v>
      </c>
      <c r="G154" s="487" t="s">
        <v>2080</v>
      </c>
    </row>
    <row r="155" spans="1:7">
      <c r="A155" s="486">
        <v>1126956616</v>
      </c>
      <c r="B155" s="486">
        <v>4100005871</v>
      </c>
      <c r="C155" s="487" t="s">
        <v>1956</v>
      </c>
      <c r="D155" s="488">
        <v>43848</v>
      </c>
      <c r="E155" s="489">
        <v>176994</v>
      </c>
      <c r="F155" s="487">
        <v>1001010008</v>
      </c>
      <c r="G155" s="487" t="s">
        <v>2084</v>
      </c>
    </row>
    <row r="156" spans="1:7">
      <c r="A156" s="486">
        <v>1131489288</v>
      </c>
      <c r="B156" s="486">
        <v>4100013257</v>
      </c>
      <c r="C156" s="487" t="s">
        <v>1956</v>
      </c>
      <c r="D156" s="488">
        <v>43862</v>
      </c>
      <c r="E156" s="489">
        <v>151955</v>
      </c>
      <c r="F156" s="487">
        <v>1001010008</v>
      </c>
      <c r="G156" s="487" t="s">
        <v>2085</v>
      </c>
    </row>
    <row r="157" spans="1:7">
      <c r="A157" s="486">
        <v>1135798697</v>
      </c>
      <c r="B157" s="486">
        <v>4100021002</v>
      </c>
      <c r="C157" s="487" t="s">
        <v>1956</v>
      </c>
      <c r="D157" s="488">
        <v>43898</v>
      </c>
      <c r="E157" s="489">
        <v>146721</v>
      </c>
      <c r="F157" s="487">
        <v>1001010008</v>
      </c>
      <c r="G157" s="487" t="s">
        <v>2084</v>
      </c>
    </row>
    <row r="158" spans="1:7">
      <c r="A158" s="486">
        <v>1140634407</v>
      </c>
      <c r="B158" s="486">
        <v>4100033488</v>
      </c>
      <c r="C158" s="487" t="s">
        <v>1956</v>
      </c>
      <c r="D158" s="488">
        <v>43937</v>
      </c>
      <c r="E158" s="489">
        <v>173799</v>
      </c>
      <c r="F158" s="487">
        <v>1001010008</v>
      </c>
      <c r="G158" s="487" t="s">
        <v>2084</v>
      </c>
    </row>
    <row r="159" spans="1:7">
      <c r="A159" s="486">
        <v>1150687073</v>
      </c>
      <c r="B159" s="486">
        <v>4100053815</v>
      </c>
      <c r="C159" s="487" t="s">
        <v>1956</v>
      </c>
      <c r="D159" s="488">
        <v>43996</v>
      </c>
      <c r="E159" s="489">
        <v>172647</v>
      </c>
      <c r="F159" s="487">
        <v>1001010008</v>
      </c>
      <c r="G159" s="487" t="s">
        <v>2084</v>
      </c>
    </row>
    <row r="160" spans="1:7">
      <c r="A160" s="486">
        <v>1170034917</v>
      </c>
      <c r="B160" s="486">
        <v>4100079047</v>
      </c>
      <c r="C160" s="487" t="s">
        <v>1956</v>
      </c>
      <c r="D160" s="488">
        <v>44075</v>
      </c>
      <c r="E160" s="489">
        <v>165649</v>
      </c>
      <c r="F160" s="487">
        <v>1001010008</v>
      </c>
      <c r="G160" s="487" t="s">
        <v>2085</v>
      </c>
    </row>
    <row r="161" spans="1:7">
      <c r="A161" s="486">
        <v>1176129555</v>
      </c>
      <c r="B161" s="486">
        <v>4100094303</v>
      </c>
      <c r="C161" s="487" t="s">
        <v>1956</v>
      </c>
      <c r="D161" s="488">
        <v>44123</v>
      </c>
      <c r="E161" s="489">
        <v>179355</v>
      </c>
      <c r="F161" s="487">
        <v>1001010008</v>
      </c>
      <c r="G161" s="487" t="s">
        <v>2084</v>
      </c>
    </row>
    <row r="162" spans="1:7">
      <c r="A162" s="486">
        <v>1182251850</v>
      </c>
      <c r="B162" s="486">
        <v>4100115594</v>
      </c>
      <c r="C162" s="487" t="s">
        <v>1956</v>
      </c>
      <c r="D162" s="488">
        <v>44158</v>
      </c>
      <c r="E162" s="489">
        <v>178276</v>
      </c>
      <c r="F162" s="487">
        <v>1001010008</v>
      </c>
      <c r="G162" s="487" t="s">
        <v>2084</v>
      </c>
    </row>
    <row r="163" spans="1:7">
      <c r="A163" s="486">
        <v>1192514882</v>
      </c>
      <c r="B163" s="486">
        <v>4100008064</v>
      </c>
      <c r="C163" s="487" t="s">
        <v>1956</v>
      </c>
      <c r="D163" s="488">
        <v>44197</v>
      </c>
      <c r="E163" s="489">
        <v>382819</v>
      </c>
      <c r="F163" s="487">
        <v>1001010008</v>
      </c>
      <c r="G163" s="487" t="s">
        <v>2085</v>
      </c>
    </row>
    <row r="164" spans="1:7">
      <c r="A164" s="486">
        <v>1201847359</v>
      </c>
      <c r="B164" s="486">
        <v>4100024168</v>
      </c>
      <c r="C164" s="487" t="s">
        <v>1956</v>
      </c>
      <c r="D164" s="488">
        <v>44273</v>
      </c>
      <c r="E164" s="489">
        <v>207203</v>
      </c>
      <c r="F164" s="487">
        <v>1001010008</v>
      </c>
      <c r="G164" s="487" t="s">
        <v>2084</v>
      </c>
    </row>
    <row r="165" spans="1:7">
      <c r="A165" s="486">
        <v>1248930108</v>
      </c>
      <c r="B165" s="486">
        <v>4100087754</v>
      </c>
      <c r="C165" s="487" t="s">
        <v>1956</v>
      </c>
      <c r="D165" s="488">
        <v>44542</v>
      </c>
      <c r="E165" s="489">
        <v>201080</v>
      </c>
      <c r="F165" s="487">
        <v>1001010008</v>
      </c>
      <c r="G165" s="487" t="s">
        <v>2084</v>
      </c>
    </row>
    <row r="166" spans="1:7">
      <c r="A166" s="486" t="s">
        <v>2086</v>
      </c>
      <c r="B166" s="486">
        <v>4100045305</v>
      </c>
      <c r="C166" s="487" t="s">
        <v>1956</v>
      </c>
      <c r="D166" s="488">
        <v>43969</v>
      </c>
      <c r="E166" s="489">
        <v>158581</v>
      </c>
      <c r="F166" s="487">
        <v>1001010008</v>
      </c>
      <c r="G166" s="487" t="s">
        <v>2087</v>
      </c>
    </row>
    <row r="167" spans="1:7">
      <c r="A167" s="486" t="s">
        <v>2088</v>
      </c>
      <c r="B167" s="486">
        <v>4100060629</v>
      </c>
      <c r="C167" s="487" t="s">
        <v>1956</v>
      </c>
      <c r="D167" s="488">
        <v>44026</v>
      </c>
      <c r="E167" s="489">
        <v>173730</v>
      </c>
      <c r="F167" s="487">
        <v>1001010008</v>
      </c>
      <c r="G167" s="487" t="s">
        <v>2089</v>
      </c>
    </row>
    <row r="168" spans="1:7">
      <c r="A168" s="486" t="s">
        <v>2090</v>
      </c>
      <c r="B168" s="486">
        <v>4100070269</v>
      </c>
      <c r="C168" s="487" t="s">
        <v>1956</v>
      </c>
      <c r="D168" s="488">
        <v>44067</v>
      </c>
      <c r="E168" s="489">
        <v>169405</v>
      </c>
      <c r="F168" s="487">
        <v>1001010008</v>
      </c>
      <c r="G168" s="487" t="s">
        <v>2091</v>
      </c>
    </row>
    <row r="169" spans="1:7">
      <c r="A169" s="486" t="s">
        <v>2092</v>
      </c>
      <c r="B169" s="486">
        <v>4100016363</v>
      </c>
      <c r="C169" s="487" t="s">
        <v>1956</v>
      </c>
      <c r="D169" s="488">
        <v>44228</v>
      </c>
      <c r="E169" s="489">
        <v>186696</v>
      </c>
      <c r="F169" s="487">
        <v>1001010008</v>
      </c>
      <c r="G169" s="487" t="s">
        <v>2093</v>
      </c>
    </row>
    <row r="170" spans="1:7">
      <c r="A170" s="486" t="s">
        <v>2094</v>
      </c>
      <c r="B170" s="486">
        <v>4100030343</v>
      </c>
      <c r="C170" s="487" t="s">
        <v>1956</v>
      </c>
      <c r="D170" s="488">
        <v>44301</v>
      </c>
      <c r="E170" s="489">
        <v>174362</v>
      </c>
      <c r="F170" s="487">
        <v>1001010008</v>
      </c>
      <c r="G170" s="487" t="s">
        <v>2087</v>
      </c>
    </row>
    <row r="171" spans="1:7">
      <c r="A171" s="486" t="s">
        <v>2095</v>
      </c>
      <c r="B171" s="486">
        <v>4100036412</v>
      </c>
      <c r="C171" s="487" t="s">
        <v>1956</v>
      </c>
      <c r="D171" s="488">
        <v>44336</v>
      </c>
      <c r="E171" s="489">
        <v>151521</v>
      </c>
      <c r="F171" s="487">
        <v>1001010008</v>
      </c>
      <c r="G171" s="487" t="s">
        <v>2096</v>
      </c>
    </row>
    <row r="172" spans="1:7">
      <c r="A172" s="486" t="s">
        <v>2097</v>
      </c>
      <c r="B172" s="486">
        <v>4100040655</v>
      </c>
      <c r="C172" s="487" t="s">
        <v>1956</v>
      </c>
      <c r="D172" s="488">
        <v>44365</v>
      </c>
      <c r="E172" s="489">
        <v>151059</v>
      </c>
      <c r="F172" s="487">
        <v>1001010008</v>
      </c>
      <c r="G172" s="487" t="s">
        <v>2098</v>
      </c>
    </row>
    <row r="173" spans="1:7">
      <c r="A173" s="486">
        <v>19259</v>
      </c>
      <c r="B173" s="486">
        <v>4100051277</v>
      </c>
      <c r="C173" s="487" t="s">
        <v>1956</v>
      </c>
      <c r="D173" s="488">
        <v>44409</v>
      </c>
      <c r="E173" s="489">
        <v>19259</v>
      </c>
      <c r="F173" s="487">
        <v>1001010009</v>
      </c>
      <c r="G173" s="487" t="s">
        <v>2099</v>
      </c>
    </row>
    <row r="174" spans="1:7">
      <c r="A174" s="486">
        <v>19797</v>
      </c>
      <c r="B174" s="486">
        <v>4100128886</v>
      </c>
      <c r="C174" s="487" t="s">
        <v>1956</v>
      </c>
      <c r="D174" s="488">
        <v>44166</v>
      </c>
      <c r="E174" s="489">
        <v>19797</v>
      </c>
      <c r="F174" s="487">
        <v>1001010009</v>
      </c>
      <c r="G174" s="487" t="s">
        <v>2099</v>
      </c>
    </row>
    <row r="175" spans="1:7">
      <c r="A175" s="486">
        <v>34658</v>
      </c>
      <c r="B175" s="486">
        <v>4100128891</v>
      </c>
      <c r="C175" s="487" t="s">
        <v>1956</v>
      </c>
      <c r="D175" s="488">
        <v>44166</v>
      </c>
      <c r="E175" s="489">
        <v>34658</v>
      </c>
      <c r="F175" s="487">
        <v>1001010009</v>
      </c>
      <c r="G175" s="487" t="s">
        <v>2099</v>
      </c>
    </row>
    <row r="176" spans="1:7">
      <c r="A176" s="486">
        <v>34679</v>
      </c>
      <c r="B176" s="486">
        <v>4100046362</v>
      </c>
      <c r="C176" s="487" t="s">
        <v>1956</v>
      </c>
      <c r="D176" s="488">
        <v>44378</v>
      </c>
      <c r="E176" s="489">
        <v>34679</v>
      </c>
      <c r="F176" s="487">
        <v>1001010009</v>
      </c>
      <c r="G176" s="487" t="s">
        <v>2099</v>
      </c>
    </row>
    <row r="177" spans="1:7">
      <c r="A177" s="486">
        <v>578424</v>
      </c>
      <c r="B177" s="486">
        <v>4100031034</v>
      </c>
      <c r="C177" s="487" t="s">
        <v>1956</v>
      </c>
      <c r="D177" s="488">
        <v>44308</v>
      </c>
      <c r="E177" s="489">
        <v>20519</v>
      </c>
      <c r="F177" s="487">
        <v>1001010009</v>
      </c>
      <c r="G177" s="487" t="s">
        <v>2100</v>
      </c>
    </row>
    <row r="178" spans="1:7">
      <c r="A178" s="486">
        <v>8265411</v>
      </c>
      <c r="B178" s="486">
        <v>4100079063</v>
      </c>
      <c r="C178" s="487" t="s">
        <v>1956</v>
      </c>
      <c r="D178" s="488">
        <v>44075</v>
      </c>
      <c r="E178" s="489">
        <v>32325</v>
      </c>
      <c r="F178" s="487">
        <v>1001010009</v>
      </c>
      <c r="G178" s="487" t="s">
        <v>2101</v>
      </c>
    </row>
    <row r="179" spans="1:7">
      <c r="A179" s="486">
        <v>1126959167</v>
      </c>
      <c r="B179" s="486">
        <v>4100005858</v>
      </c>
      <c r="C179" s="487" t="s">
        <v>1956</v>
      </c>
      <c r="D179" s="488">
        <v>43848</v>
      </c>
      <c r="E179" s="489">
        <v>31651</v>
      </c>
      <c r="F179" s="487">
        <v>1001010009</v>
      </c>
      <c r="G179" s="487" t="s">
        <v>2102</v>
      </c>
    </row>
    <row r="180" spans="1:7">
      <c r="A180" s="486">
        <v>1126974441</v>
      </c>
      <c r="B180" s="486">
        <v>4100005865</v>
      </c>
      <c r="C180" s="487" t="s">
        <v>1956</v>
      </c>
      <c r="D180" s="488">
        <v>43848</v>
      </c>
      <c r="E180" s="489">
        <v>18278</v>
      </c>
      <c r="F180" s="487">
        <v>1001010009</v>
      </c>
      <c r="G180" s="487" t="s">
        <v>2102</v>
      </c>
    </row>
    <row r="181" spans="1:7">
      <c r="A181" s="486">
        <v>1131491186</v>
      </c>
      <c r="B181" s="486">
        <v>4100013478</v>
      </c>
      <c r="C181" s="487" t="s">
        <v>1956</v>
      </c>
      <c r="D181" s="488">
        <v>43875</v>
      </c>
      <c r="E181" s="489">
        <v>32499</v>
      </c>
      <c r="F181" s="487">
        <v>1001010009</v>
      </c>
      <c r="G181" s="487" t="s">
        <v>2102</v>
      </c>
    </row>
    <row r="182" spans="1:7">
      <c r="A182" s="486">
        <v>1131505681</v>
      </c>
      <c r="B182" s="486">
        <v>4100013475</v>
      </c>
      <c r="C182" s="487" t="s">
        <v>1956</v>
      </c>
      <c r="D182" s="488">
        <v>43875</v>
      </c>
      <c r="E182" s="489">
        <v>18661</v>
      </c>
      <c r="F182" s="487">
        <v>1001010009</v>
      </c>
      <c r="G182" s="487" t="s">
        <v>2102</v>
      </c>
    </row>
    <row r="183" spans="1:7">
      <c r="A183" s="486">
        <v>1135816564</v>
      </c>
      <c r="B183" s="486">
        <v>4100022242</v>
      </c>
      <c r="C183" s="487" t="s">
        <v>1956</v>
      </c>
      <c r="D183" s="488">
        <v>43903</v>
      </c>
      <c r="E183" s="489">
        <v>18896</v>
      </c>
      <c r="F183" s="487">
        <v>1001010009</v>
      </c>
      <c r="G183" s="487" t="s">
        <v>2103</v>
      </c>
    </row>
    <row r="184" spans="1:7">
      <c r="A184" s="486">
        <v>1140652260</v>
      </c>
      <c r="B184" s="486">
        <v>4100033978</v>
      </c>
      <c r="C184" s="487" t="s">
        <v>1956</v>
      </c>
      <c r="D184" s="488">
        <v>43938</v>
      </c>
      <c r="E184" s="489">
        <v>34996</v>
      </c>
      <c r="F184" s="487">
        <v>1001010009</v>
      </c>
      <c r="G184" s="487" t="s">
        <v>2104</v>
      </c>
    </row>
    <row r="185" spans="1:7">
      <c r="A185" s="486">
        <v>1140652264</v>
      </c>
      <c r="B185" s="486">
        <v>4100033982</v>
      </c>
      <c r="C185" s="487" t="s">
        <v>1956</v>
      </c>
      <c r="D185" s="488">
        <v>43938</v>
      </c>
      <c r="E185" s="489">
        <v>20106</v>
      </c>
      <c r="F185" s="487">
        <v>1001010009</v>
      </c>
      <c r="G185" s="487" t="s">
        <v>2104</v>
      </c>
    </row>
    <row r="186" spans="1:7">
      <c r="A186" s="486">
        <v>1150688852</v>
      </c>
      <c r="B186" s="486">
        <v>4100054873</v>
      </c>
      <c r="C186" s="487" t="s">
        <v>1956</v>
      </c>
      <c r="D186" s="488">
        <v>44000</v>
      </c>
      <c r="E186" s="489">
        <v>19628</v>
      </c>
      <c r="F186" s="487">
        <v>1001010009</v>
      </c>
      <c r="G186" s="487" t="s">
        <v>2105</v>
      </c>
    </row>
    <row r="187" spans="1:7">
      <c r="A187" s="486">
        <v>1150688873</v>
      </c>
      <c r="B187" s="486">
        <v>4100054877</v>
      </c>
      <c r="C187" s="487" t="s">
        <v>1956</v>
      </c>
      <c r="D187" s="488">
        <v>43909</v>
      </c>
      <c r="E187" s="489">
        <v>33839</v>
      </c>
      <c r="F187" s="487">
        <v>1001010009</v>
      </c>
      <c r="G187" s="487" t="s">
        <v>2105</v>
      </c>
    </row>
    <row r="188" spans="1:7">
      <c r="A188" s="486">
        <v>1171728155</v>
      </c>
      <c r="B188" s="486">
        <v>4100078855</v>
      </c>
      <c r="C188" s="487" t="s">
        <v>1956</v>
      </c>
      <c r="D188" s="488">
        <v>44091</v>
      </c>
      <c r="E188" s="489">
        <v>18906</v>
      </c>
      <c r="F188" s="487">
        <v>1001010009</v>
      </c>
      <c r="G188" s="487" t="s">
        <v>2106</v>
      </c>
    </row>
    <row r="189" spans="1:7">
      <c r="A189" s="486">
        <v>1176151000</v>
      </c>
      <c r="B189" s="486">
        <v>4100094298</v>
      </c>
      <c r="C189" s="487" t="s">
        <v>1956</v>
      </c>
      <c r="D189" s="488">
        <v>44123</v>
      </c>
      <c r="E189" s="489">
        <v>33019</v>
      </c>
      <c r="F189" s="487">
        <v>1001010009</v>
      </c>
      <c r="G189" s="487" t="s">
        <v>2102</v>
      </c>
    </row>
    <row r="190" spans="1:7">
      <c r="A190" s="486">
        <v>1176151001</v>
      </c>
      <c r="B190" s="486">
        <v>4100094300</v>
      </c>
      <c r="C190" s="487" t="s">
        <v>1956</v>
      </c>
      <c r="D190" s="488">
        <v>44123</v>
      </c>
      <c r="E190" s="489">
        <v>19194</v>
      </c>
      <c r="F190" s="487">
        <v>1001010009</v>
      </c>
      <c r="G190" s="487" t="s">
        <v>2102</v>
      </c>
    </row>
    <row r="191" spans="1:7">
      <c r="A191" s="486">
        <v>1182253978</v>
      </c>
      <c r="B191" s="486">
        <v>4100115591</v>
      </c>
      <c r="C191" s="487" t="s">
        <v>1956</v>
      </c>
      <c r="D191" s="488">
        <v>44158</v>
      </c>
      <c r="E191" s="489">
        <v>243335</v>
      </c>
      <c r="F191" s="487">
        <v>1001010009</v>
      </c>
      <c r="G191" s="487" t="s">
        <v>2102</v>
      </c>
    </row>
    <row r="192" spans="1:7">
      <c r="A192" s="486">
        <v>1182254640</v>
      </c>
      <c r="B192" s="486">
        <v>4100115597</v>
      </c>
      <c r="C192" s="487" t="s">
        <v>1956</v>
      </c>
      <c r="D192" s="488">
        <v>44158</v>
      </c>
      <c r="E192" s="489">
        <v>34852</v>
      </c>
      <c r="F192" s="487">
        <v>1001010009</v>
      </c>
      <c r="G192" s="487" t="s">
        <v>2102</v>
      </c>
    </row>
    <row r="193" spans="1:7">
      <c r="A193" s="486">
        <v>1182271767</v>
      </c>
      <c r="B193" s="486">
        <v>4100115592</v>
      </c>
      <c r="C193" s="487" t="s">
        <v>1956</v>
      </c>
      <c r="D193" s="488">
        <v>44158</v>
      </c>
      <c r="E193" s="489">
        <v>19604</v>
      </c>
      <c r="F193" s="487">
        <v>1001010009</v>
      </c>
      <c r="G193" s="487" t="s">
        <v>2102</v>
      </c>
    </row>
    <row r="194" spans="1:7">
      <c r="A194" s="486">
        <v>1192534861</v>
      </c>
      <c r="B194" s="486">
        <v>4100008055</v>
      </c>
      <c r="C194" s="487" t="s">
        <v>1956</v>
      </c>
      <c r="D194" s="488">
        <v>44197</v>
      </c>
      <c r="E194" s="489">
        <v>19838</v>
      </c>
      <c r="F194" s="487">
        <v>1001010009</v>
      </c>
      <c r="G194" s="487" t="s">
        <v>2099</v>
      </c>
    </row>
    <row r="195" spans="1:7">
      <c r="A195" s="486">
        <v>1201867313</v>
      </c>
      <c r="B195" s="486">
        <v>4100022650</v>
      </c>
      <c r="C195" s="487" t="s">
        <v>1956</v>
      </c>
      <c r="D195" s="488">
        <v>44256</v>
      </c>
      <c r="E195" s="489">
        <v>35537</v>
      </c>
      <c r="F195" s="487">
        <v>1001010009</v>
      </c>
      <c r="G195" s="487" t="s">
        <v>2099</v>
      </c>
    </row>
    <row r="196" spans="1:7">
      <c r="A196" s="486">
        <v>1201867318</v>
      </c>
      <c r="B196" s="486">
        <v>4100022649</v>
      </c>
      <c r="C196" s="487" t="s">
        <v>1956</v>
      </c>
      <c r="D196" s="488">
        <v>44256</v>
      </c>
      <c r="E196" s="489">
        <v>20382</v>
      </c>
      <c r="F196" s="487">
        <v>1001010009</v>
      </c>
      <c r="G196" s="487" t="s">
        <v>2107</v>
      </c>
    </row>
    <row r="197" spans="1:7">
      <c r="A197" s="486">
        <v>1212318375</v>
      </c>
      <c r="B197" s="486">
        <v>4100036684</v>
      </c>
      <c r="C197" s="487" t="s">
        <v>1956</v>
      </c>
      <c r="D197" s="488">
        <v>44317</v>
      </c>
      <c r="E197" s="489">
        <v>180749</v>
      </c>
      <c r="F197" s="487">
        <v>1001010009</v>
      </c>
      <c r="G197" s="487" t="s">
        <v>2099</v>
      </c>
    </row>
    <row r="198" spans="1:7">
      <c r="A198" s="486">
        <v>1222770552</v>
      </c>
      <c r="B198" s="486">
        <v>4100045691</v>
      </c>
      <c r="C198" s="487" t="s">
        <v>1956</v>
      </c>
      <c r="D198" s="488">
        <v>44378</v>
      </c>
      <c r="E198" s="489">
        <v>19757</v>
      </c>
      <c r="F198" s="487">
        <v>1001010009</v>
      </c>
      <c r="G198" s="487" t="s">
        <v>2099</v>
      </c>
    </row>
    <row r="199" spans="1:7">
      <c r="A199" s="486">
        <v>1248953626</v>
      </c>
      <c r="B199" s="486">
        <v>4100088233</v>
      </c>
      <c r="C199" s="487" t="s">
        <v>1956</v>
      </c>
      <c r="D199" s="488">
        <v>44545</v>
      </c>
      <c r="E199" s="489">
        <v>36139</v>
      </c>
      <c r="F199" s="487">
        <v>1001010009</v>
      </c>
      <c r="G199" s="487" t="s">
        <v>2102</v>
      </c>
    </row>
    <row r="200" spans="1:7">
      <c r="A200" s="486">
        <v>1248953635</v>
      </c>
      <c r="B200" s="486">
        <v>4100088232</v>
      </c>
      <c r="C200" s="487" t="s">
        <v>1956</v>
      </c>
      <c r="D200" s="488">
        <v>44545</v>
      </c>
      <c r="E200" s="489">
        <v>20915</v>
      </c>
      <c r="F200" s="487">
        <v>1001010009</v>
      </c>
      <c r="G200" s="487" t="s">
        <v>2102</v>
      </c>
    </row>
    <row r="201" spans="1:7">
      <c r="A201" s="486">
        <v>4700528698</v>
      </c>
      <c r="B201" s="486">
        <v>4100008058</v>
      </c>
      <c r="C201" s="487" t="s">
        <v>1956</v>
      </c>
      <c r="D201" s="488">
        <v>44197</v>
      </c>
      <c r="E201" s="489">
        <v>34389</v>
      </c>
      <c r="F201" s="487">
        <v>1001010009</v>
      </c>
      <c r="G201" s="487" t="s">
        <v>2099</v>
      </c>
    </row>
    <row r="202" spans="1:7">
      <c r="A202" s="486">
        <v>11358000242</v>
      </c>
      <c r="B202" s="486">
        <v>4100022240</v>
      </c>
      <c r="C202" s="487" t="s">
        <v>1956</v>
      </c>
      <c r="D202" s="488">
        <v>43903</v>
      </c>
      <c r="E202" s="489">
        <v>32510</v>
      </c>
      <c r="F202" s="487">
        <v>1001010009</v>
      </c>
      <c r="G202" s="487" t="s">
        <v>2103</v>
      </c>
    </row>
    <row r="203" spans="1:7">
      <c r="A203" s="486" t="s">
        <v>633</v>
      </c>
      <c r="B203" s="486">
        <v>4100051276</v>
      </c>
      <c r="C203" s="487" t="s">
        <v>1956</v>
      </c>
      <c r="D203" s="488">
        <v>44409</v>
      </c>
      <c r="E203" s="489">
        <v>32607</v>
      </c>
      <c r="F203" s="487">
        <v>1001010009</v>
      </c>
      <c r="G203" s="487" t="s">
        <v>2099</v>
      </c>
    </row>
    <row r="204" spans="1:7">
      <c r="A204" s="486" t="s">
        <v>2108</v>
      </c>
      <c r="B204" s="486">
        <v>4100045308</v>
      </c>
      <c r="C204" s="487" t="s">
        <v>1956</v>
      </c>
      <c r="D204" s="488">
        <v>43969</v>
      </c>
      <c r="E204" s="489">
        <v>34160</v>
      </c>
      <c r="F204" s="487">
        <v>1001010009</v>
      </c>
      <c r="G204" s="487" t="s">
        <v>2104</v>
      </c>
    </row>
    <row r="205" spans="1:7">
      <c r="A205" s="486" t="s">
        <v>2109</v>
      </c>
      <c r="B205" s="486">
        <v>4100045306</v>
      </c>
      <c r="C205" s="487" t="s">
        <v>1956</v>
      </c>
      <c r="D205" s="488">
        <v>43969</v>
      </c>
      <c r="E205" s="489">
        <v>19753</v>
      </c>
      <c r="F205" s="487">
        <v>1001010009</v>
      </c>
      <c r="G205" s="487" t="s">
        <v>2104</v>
      </c>
    </row>
    <row r="206" spans="1:7">
      <c r="A206" s="486" t="s">
        <v>2110</v>
      </c>
      <c r="B206" s="486">
        <v>4100060616</v>
      </c>
      <c r="C206" s="487" t="s">
        <v>1956</v>
      </c>
      <c r="D206" s="488">
        <v>44026</v>
      </c>
      <c r="E206" s="489">
        <v>32189</v>
      </c>
      <c r="F206" s="487">
        <v>1001010009</v>
      </c>
      <c r="G206" s="487" t="s">
        <v>2111</v>
      </c>
    </row>
    <row r="207" spans="1:7">
      <c r="A207" s="486" t="s">
        <v>2112</v>
      </c>
      <c r="B207" s="486">
        <v>4100060620</v>
      </c>
      <c r="C207" s="487" t="s">
        <v>1956</v>
      </c>
      <c r="D207" s="488">
        <v>44026</v>
      </c>
      <c r="E207" s="489">
        <v>18915</v>
      </c>
      <c r="F207" s="487">
        <v>1001010009</v>
      </c>
      <c r="G207" s="487" t="s">
        <v>2111</v>
      </c>
    </row>
    <row r="208" spans="1:7">
      <c r="A208" s="486" t="s">
        <v>2113</v>
      </c>
      <c r="B208" s="486">
        <v>4100070268</v>
      </c>
      <c r="C208" s="487" t="s">
        <v>1956</v>
      </c>
      <c r="D208" s="488">
        <v>44067</v>
      </c>
      <c r="E208" s="489">
        <v>31573</v>
      </c>
      <c r="F208" s="487">
        <v>1001010009</v>
      </c>
      <c r="G208" s="487" t="s">
        <v>2114</v>
      </c>
    </row>
    <row r="209" spans="1:7">
      <c r="A209" s="486" t="s">
        <v>2115</v>
      </c>
      <c r="B209" s="486">
        <v>4100070265</v>
      </c>
      <c r="C209" s="487" t="s">
        <v>1956</v>
      </c>
      <c r="D209" s="488">
        <v>44067</v>
      </c>
      <c r="E209" s="489">
        <v>15337</v>
      </c>
      <c r="F209" s="487">
        <v>1001010009</v>
      </c>
      <c r="G209" s="487" t="s">
        <v>2114</v>
      </c>
    </row>
    <row r="210" spans="1:7">
      <c r="A210" s="486" t="s">
        <v>2116</v>
      </c>
      <c r="B210" s="486">
        <v>4100016389</v>
      </c>
      <c r="C210" s="487" t="s">
        <v>1956</v>
      </c>
      <c r="D210" s="488">
        <v>44228</v>
      </c>
      <c r="E210" s="489">
        <v>34800</v>
      </c>
      <c r="F210" s="487">
        <v>1001010009</v>
      </c>
      <c r="G210" s="487" t="s">
        <v>2117</v>
      </c>
    </row>
    <row r="211" spans="1:7">
      <c r="A211" s="486" t="s">
        <v>2118</v>
      </c>
      <c r="B211" s="486">
        <v>4100016386</v>
      </c>
      <c r="C211" s="487" t="s">
        <v>1956</v>
      </c>
      <c r="D211" s="488">
        <v>44228</v>
      </c>
      <c r="E211" s="489">
        <v>19892</v>
      </c>
      <c r="F211" s="487">
        <v>1001010009</v>
      </c>
      <c r="G211" s="487" t="s">
        <v>2117</v>
      </c>
    </row>
    <row r="212" spans="1:7">
      <c r="A212" s="486" t="s">
        <v>2119</v>
      </c>
      <c r="B212" s="486">
        <v>4100031036</v>
      </c>
      <c r="C212" s="487" t="s">
        <v>1956</v>
      </c>
      <c r="D212" s="488">
        <v>44308</v>
      </c>
      <c r="E212" s="489">
        <v>35640</v>
      </c>
      <c r="F212" s="487">
        <v>1001010009</v>
      </c>
      <c r="G212" s="487" t="s">
        <v>2100</v>
      </c>
    </row>
    <row r="213" spans="1:7">
      <c r="A213" s="486" t="s">
        <v>2120</v>
      </c>
      <c r="B213" s="486">
        <v>4100036406</v>
      </c>
      <c r="C213" s="487" t="s">
        <v>1956</v>
      </c>
      <c r="D213" s="488">
        <v>44336</v>
      </c>
      <c r="E213" s="489">
        <v>35389</v>
      </c>
      <c r="F213" s="487">
        <v>1001010009</v>
      </c>
      <c r="G213" s="487" t="s">
        <v>2121</v>
      </c>
    </row>
    <row r="214" spans="1:7">
      <c r="A214" s="486" t="s">
        <v>2122</v>
      </c>
      <c r="B214" s="486">
        <v>4100036414</v>
      </c>
      <c r="C214" s="487" t="s">
        <v>1956</v>
      </c>
      <c r="D214" s="488">
        <v>44336</v>
      </c>
      <c r="E214" s="489">
        <v>20520</v>
      </c>
      <c r="F214" s="487">
        <v>1001010009</v>
      </c>
      <c r="G214" s="487" t="s">
        <v>2121</v>
      </c>
    </row>
    <row r="215" spans="1:7">
      <c r="A215" s="486" t="s">
        <v>2123</v>
      </c>
      <c r="B215" s="486">
        <v>4100041497</v>
      </c>
      <c r="C215" s="487" t="s">
        <v>1956</v>
      </c>
      <c r="D215" s="488">
        <v>44367</v>
      </c>
      <c r="E215" s="489">
        <v>34887</v>
      </c>
      <c r="F215" s="487">
        <v>1001010009</v>
      </c>
      <c r="G215" s="487" t="s">
        <v>2124</v>
      </c>
    </row>
    <row r="216" spans="1:7">
      <c r="A216" s="486" t="s">
        <v>2125</v>
      </c>
      <c r="B216" s="486">
        <v>4100041723</v>
      </c>
      <c r="C216" s="487" t="s">
        <v>1956</v>
      </c>
      <c r="D216" s="488">
        <v>44368</v>
      </c>
      <c r="E216" s="489">
        <v>20331</v>
      </c>
      <c r="F216" s="487">
        <v>1001010009</v>
      </c>
      <c r="G216" s="487" t="s">
        <v>2124</v>
      </c>
    </row>
    <row r="217" spans="1:7">
      <c r="A217" s="486" t="s">
        <v>2126</v>
      </c>
      <c r="B217" s="486">
        <v>4100040659</v>
      </c>
      <c r="C217" s="487" t="s">
        <v>1956</v>
      </c>
      <c r="D217" s="488">
        <v>44365</v>
      </c>
      <c r="E217" s="489">
        <v>174881</v>
      </c>
      <c r="F217" s="487">
        <v>1001010009</v>
      </c>
      <c r="G217" s="487" t="s">
        <v>2127</v>
      </c>
    </row>
    <row r="218" spans="1:7">
      <c r="A218" s="486" t="s">
        <v>2128</v>
      </c>
      <c r="B218" s="486">
        <v>4100046036</v>
      </c>
      <c r="C218" s="487" t="s">
        <v>1956</v>
      </c>
      <c r="D218" s="488">
        <v>44396</v>
      </c>
      <c r="E218" s="489">
        <v>184743</v>
      </c>
      <c r="F218" s="487">
        <v>1001010009</v>
      </c>
      <c r="G218" s="487" t="s">
        <v>2129</v>
      </c>
    </row>
    <row r="219" spans="1:7">
      <c r="A219" s="486" t="s">
        <v>2130</v>
      </c>
      <c r="B219" s="486">
        <v>4100057251</v>
      </c>
      <c r="C219" s="487" t="s">
        <v>1956</v>
      </c>
      <c r="D219" s="488">
        <v>44453</v>
      </c>
      <c r="E219" s="489">
        <v>35385</v>
      </c>
      <c r="F219" s="487">
        <v>1001010009</v>
      </c>
      <c r="G219" s="487" t="s">
        <v>2131</v>
      </c>
    </row>
    <row r="220" spans="1:7">
      <c r="A220" s="486" t="s">
        <v>2132</v>
      </c>
      <c r="B220" s="486">
        <v>4100057250</v>
      </c>
      <c r="C220" s="487" t="s">
        <v>1956</v>
      </c>
      <c r="D220" s="488">
        <v>44453</v>
      </c>
      <c r="E220" s="489">
        <v>20516</v>
      </c>
      <c r="F220" s="487">
        <v>1001010009</v>
      </c>
      <c r="G220" s="487" t="s">
        <v>2131</v>
      </c>
    </row>
    <row r="221" spans="1:7">
      <c r="A221" s="486" t="s">
        <v>2133</v>
      </c>
      <c r="B221" s="486">
        <v>4100065737</v>
      </c>
      <c r="C221" s="487" t="s">
        <v>1956</v>
      </c>
      <c r="D221" s="488">
        <v>44482</v>
      </c>
      <c r="E221" s="489">
        <v>35351</v>
      </c>
      <c r="F221" s="487">
        <v>1001010009</v>
      </c>
      <c r="G221" s="487" t="s">
        <v>2131</v>
      </c>
    </row>
    <row r="222" spans="1:7">
      <c r="A222" s="486" t="s">
        <v>2134</v>
      </c>
      <c r="B222" s="486">
        <v>4100065736</v>
      </c>
      <c r="C222" s="487" t="s">
        <v>1956</v>
      </c>
      <c r="D222" s="488">
        <v>44482</v>
      </c>
      <c r="E222" s="489">
        <v>20519</v>
      </c>
      <c r="F222" s="487">
        <v>1001010009</v>
      </c>
      <c r="G222" s="487" t="s">
        <v>2131</v>
      </c>
    </row>
    <row r="223" spans="1:7">
      <c r="A223" s="486" t="s">
        <v>2135</v>
      </c>
      <c r="B223" s="486">
        <v>4100078645</v>
      </c>
      <c r="C223" s="487" t="s">
        <v>1956</v>
      </c>
      <c r="D223" s="488">
        <v>44518</v>
      </c>
      <c r="E223" s="489">
        <v>35577</v>
      </c>
      <c r="F223" s="487">
        <v>1001010009</v>
      </c>
      <c r="G223" s="487" t="s">
        <v>2104</v>
      </c>
    </row>
    <row r="224" spans="1:7">
      <c r="A224" s="486" t="s">
        <v>2136</v>
      </c>
      <c r="B224" s="486">
        <v>4100078659</v>
      </c>
      <c r="C224" s="487" t="s">
        <v>1956</v>
      </c>
      <c r="D224" s="488">
        <v>44518</v>
      </c>
      <c r="E224" s="489">
        <v>20623</v>
      </c>
      <c r="F224" s="487">
        <v>1001010009</v>
      </c>
      <c r="G224" s="487" t="s">
        <v>2104</v>
      </c>
    </row>
    <row r="225" spans="1:7">
      <c r="A225" s="486">
        <v>8315337</v>
      </c>
      <c r="B225" s="486">
        <v>4100092231</v>
      </c>
      <c r="C225" s="487" t="s">
        <v>1956</v>
      </c>
      <c r="D225" s="488">
        <v>44557</v>
      </c>
      <c r="E225" s="489">
        <v>185730</v>
      </c>
      <c r="F225" s="487">
        <v>1001010010</v>
      </c>
      <c r="G225" s="487" t="s">
        <v>2137</v>
      </c>
    </row>
    <row r="226" spans="1:7">
      <c r="A226" s="486" t="s">
        <v>2138</v>
      </c>
      <c r="B226" s="486">
        <v>4100075260</v>
      </c>
      <c r="C226" s="487" t="s">
        <v>1956</v>
      </c>
      <c r="D226" s="488">
        <v>44508</v>
      </c>
      <c r="E226" s="489">
        <v>90099</v>
      </c>
      <c r="F226" s="487">
        <v>1001010010</v>
      </c>
      <c r="G226" s="487" t="s">
        <v>2139</v>
      </c>
    </row>
    <row r="227" spans="1:7">
      <c r="A227" s="486">
        <v>1126957619</v>
      </c>
      <c r="B227" s="486">
        <v>4100005850</v>
      </c>
      <c r="C227" s="487" t="s">
        <v>1956</v>
      </c>
      <c r="D227" s="488">
        <v>43848</v>
      </c>
      <c r="E227" s="489">
        <v>108895</v>
      </c>
      <c r="F227" s="487">
        <v>1001010013</v>
      </c>
      <c r="G227" s="487" t="s">
        <v>2140</v>
      </c>
    </row>
    <row r="228" spans="1:7">
      <c r="A228" s="486">
        <v>1126974353</v>
      </c>
      <c r="B228" s="486">
        <v>4100005852</v>
      </c>
      <c r="C228" s="487" t="s">
        <v>1956</v>
      </c>
      <c r="D228" s="488">
        <v>43848</v>
      </c>
      <c r="E228" s="489">
        <v>38275</v>
      </c>
      <c r="F228" s="487">
        <v>1001010013</v>
      </c>
      <c r="G228" s="487" t="s">
        <v>2140</v>
      </c>
    </row>
    <row r="229" spans="1:7">
      <c r="A229" s="486">
        <v>1131490044</v>
      </c>
      <c r="B229" s="486">
        <v>4100014045</v>
      </c>
      <c r="C229" s="487" t="s">
        <v>1956</v>
      </c>
      <c r="D229" s="488">
        <v>43876</v>
      </c>
      <c r="E229" s="489">
        <v>74297</v>
      </c>
      <c r="F229" s="487">
        <v>1001010013</v>
      </c>
      <c r="G229" s="487" t="s">
        <v>2140</v>
      </c>
    </row>
    <row r="230" spans="1:7">
      <c r="A230" s="486">
        <v>1131505618</v>
      </c>
      <c r="B230" s="486">
        <v>4100014048</v>
      </c>
      <c r="C230" s="487" t="s">
        <v>1956</v>
      </c>
      <c r="D230" s="488">
        <v>43876</v>
      </c>
      <c r="E230" s="489">
        <v>39322</v>
      </c>
      <c r="F230" s="487">
        <v>1001010013</v>
      </c>
      <c r="G230" s="487" t="s">
        <v>2140</v>
      </c>
    </row>
    <row r="231" spans="1:7">
      <c r="A231" s="486">
        <v>1150687437</v>
      </c>
      <c r="B231" s="486">
        <v>4100054881</v>
      </c>
      <c r="C231" s="487" t="s">
        <v>1956</v>
      </c>
      <c r="D231" s="488">
        <v>44001</v>
      </c>
      <c r="E231" s="489">
        <v>42535</v>
      </c>
      <c r="F231" s="487">
        <v>1001010013</v>
      </c>
      <c r="G231" s="487" t="s">
        <v>2141</v>
      </c>
    </row>
    <row r="232" spans="1:7">
      <c r="A232" s="486">
        <v>1150687522</v>
      </c>
      <c r="B232" s="486">
        <v>4100054879</v>
      </c>
      <c r="C232" s="487" t="s">
        <v>1956</v>
      </c>
      <c r="D232" s="488">
        <v>44001</v>
      </c>
      <c r="E232" s="489">
        <v>84806</v>
      </c>
      <c r="F232" s="487">
        <v>1001010013</v>
      </c>
      <c r="G232" s="487" t="s">
        <v>2141</v>
      </c>
    </row>
    <row r="233" spans="1:7">
      <c r="A233" s="486">
        <v>1170035450</v>
      </c>
      <c r="B233" s="486">
        <v>4100079053</v>
      </c>
      <c r="C233" s="487" t="s">
        <v>1956</v>
      </c>
      <c r="D233" s="488">
        <v>44075</v>
      </c>
      <c r="E233" s="489">
        <v>51549</v>
      </c>
      <c r="F233" s="487">
        <v>1001010013</v>
      </c>
      <c r="G233" s="487" t="s">
        <v>2101</v>
      </c>
    </row>
    <row r="234" spans="1:7">
      <c r="A234" s="486">
        <v>1170035691</v>
      </c>
      <c r="B234" s="486">
        <v>4100079057</v>
      </c>
      <c r="C234" s="487" t="s">
        <v>1956</v>
      </c>
      <c r="D234" s="488">
        <v>44075</v>
      </c>
      <c r="E234" s="489">
        <v>112188</v>
      </c>
      <c r="F234" s="487">
        <v>1001010013</v>
      </c>
      <c r="G234" s="487" t="s">
        <v>2101</v>
      </c>
    </row>
    <row r="235" spans="1:7">
      <c r="A235" s="486">
        <v>1182252460</v>
      </c>
      <c r="B235" s="486">
        <v>4100115581</v>
      </c>
      <c r="C235" s="487" t="s">
        <v>1956</v>
      </c>
      <c r="D235" s="488">
        <v>44158</v>
      </c>
      <c r="E235" s="489">
        <v>42680</v>
      </c>
      <c r="F235" s="487">
        <v>1001010013</v>
      </c>
      <c r="G235" s="487" t="s">
        <v>2140</v>
      </c>
    </row>
    <row r="236" spans="1:7">
      <c r="A236" s="486">
        <v>1182252698</v>
      </c>
      <c r="B236" s="486">
        <v>4100115585</v>
      </c>
      <c r="C236" s="487" t="s">
        <v>1956</v>
      </c>
      <c r="D236" s="488">
        <v>44158</v>
      </c>
      <c r="E236" s="489">
        <v>134102</v>
      </c>
      <c r="F236" s="487">
        <v>1001010013</v>
      </c>
      <c r="G236" s="487" t="s">
        <v>2140</v>
      </c>
    </row>
    <row r="237" spans="1:7">
      <c r="A237" s="486">
        <v>1192516548</v>
      </c>
      <c r="B237" s="486">
        <v>4100008070</v>
      </c>
      <c r="C237" s="487" t="s">
        <v>1956</v>
      </c>
      <c r="D237" s="488">
        <v>44197</v>
      </c>
      <c r="E237" s="489">
        <v>129285</v>
      </c>
      <c r="F237" s="487">
        <v>1001010013</v>
      </c>
      <c r="G237" s="487" t="s">
        <v>2101</v>
      </c>
    </row>
    <row r="238" spans="1:7">
      <c r="A238" s="486">
        <v>1192534752</v>
      </c>
      <c r="B238" s="486">
        <v>4100008072</v>
      </c>
      <c r="C238" s="487" t="s">
        <v>1956</v>
      </c>
      <c r="D238" s="488">
        <v>44197</v>
      </c>
      <c r="E238" s="489">
        <v>41704</v>
      </c>
      <c r="F238" s="487">
        <v>1001010013</v>
      </c>
      <c r="G238" s="487" t="s">
        <v>2101</v>
      </c>
    </row>
    <row r="239" spans="1:7">
      <c r="A239" s="486">
        <v>1201847797</v>
      </c>
      <c r="B239" s="486">
        <v>4100022651</v>
      </c>
      <c r="C239" s="487" t="s">
        <v>1956</v>
      </c>
      <c r="D239" s="488">
        <v>44256</v>
      </c>
      <c r="E239" s="489">
        <v>44228</v>
      </c>
      <c r="F239" s="487">
        <v>1001010013</v>
      </c>
      <c r="G239" s="487" t="s">
        <v>2101</v>
      </c>
    </row>
    <row r="240" spans="1:7">
      <c r="A240" s="486">
        <v>1201848303</v>
      </c>
      <c r="B240" s="486">
        <v>4100022653</v>
      </c>
      <c r="C240" s="487" t="s">
        <v>1956</v>
      </c>
      <c r="D240" s="488">
        <v>44256</v>
      </c>
      <c r="E240" s="489">
        <v>106426</v>
      </c>
      <c r="F240" s="487">
        <v>1001010013</v>
      </c>
      <c r="G240" s="487" t="s">
        <v>2101</v>
      </c>
    </row>
    <row r="241" spans="1:7">
      <c r="A241" s="486">
        <v>78882145830</v>
      </c>
      <c r="B241" s="486">
        <v>4100090865</v>
      </c>
      <c r="C241" s="487" t="s">
        <v>1956</v>
      </c>
      <c r="D241" s="488">
        <v>44118</v>
      </c>
      <c r="E241" s="489">
        <v>41019</v>
      </c>
      <c r="F241" s="487">
        <v>1001010013</v>
      </c>
      <c r="G241" s="487" t="s">
        <v>2142</v>
      </c>
    </row>
    <row r="242" spans="1:7">
      <c r="A242" s="486" t="s">
        <v>633</v>
      </c>
      <c r="B242" s="486">
        <v>4100129157</v>
      </c>
      <c r="C242" s="487" t="s">
        <v>1956</v>
      </c>
      <c r="D242" s="488">
        <v>44181</v>
      </c>
      <c r="E242" s="489">
        <v>156105</v>
      </c>
      <c r="F242" s="487">
        <v>1001010013</v>
      </c>
      <c r="G242" s="487" t="s">
        <v>2143</v>
      </c>
    </row>
    <row r="243" spans="1:7">
      <c r="A243" s="486" t="s">
        <v>2144</v>
      </c>
      <c r="B243" s="486">
        <v>4100021251</v>
      </c>
      <c r="C243" s="487" t="s">
        <v>1956</v>
      </c>
      <c r="D243" s="488">
        <v>43899</v>
      </c>
      <c r="E243" s="489">
        <v>39903</v>
      </c>
      <c r="F243" s="487">
        <v>1001010013</v>
      </c>
      <c r="G243" s="487" t="s">
        <v>2145</v>
      </c>
    </row>
    <row r="244" spans="1:7">
      <c r="A244" s="486" t="s">
        <v>2146</v>
      </c>
      <c r="B244" s="486">
        <v>4100021248</v>
      </c>
      <c r="C244" s="487" t="s">
        <v>1956</v>
      </c>
      <c r="D244" s="488">
        <v>43899</v>
      </c>
      <c r="E244" s="489">
        <v>66782</v>
      </c>
      <c r="F244" s="487">
        <v>1001010013</v>
      </c>
      <c r="G244" s="487" t="s">
        <v>2145</v>
      </c>
    </row>
    <row r="245" spans="1:7">
      <c r="A245" s="486" t="s">
        <v>2147</v>
      </c>
      <c r="B245" s="486">
        <v>4100033985</v>
      </c>
      <c r="C245" s="487" t="s">
        <v>1956</v>
      </c>
      <c r="D245" s="488">
        <v>43938</v>
      </c>
      <c r="E245" s="489">
        <v>80685</v>
      </c>
      <c r="F245" s="487">
        <v>1001010013</v>
      </c>
      <c r="G245" s="487" t="s">
        <v>2148</v>
      </c>
    </row>
    <row r="246" spans="1:7">
      <c r="A246" s="486" t="s">
        <v>2149</v>
      </c>
      <c r="B246" s="486">
        <v>4100045902</v>
      </c>
      <c r="C246" s="487" t="s">
        <v>1956</v>
      </c>
      <c r="D246" s="488">
        <v>43971</v>
      </c>
      <c r="E246" s="489">
        <v>41581</v>
      </c>
      <c r="F246" s="487">
        <v>1001010013</v>
      </c>
      <c r="G246" s="487" t="s">
        <v>2150</v>
      </c>
    </row>
    <row r="247" spans="1:7">
      <c r="A247" s="486" t="s">
        <v>2151</v>
      </c>
      <c r="B247" s="486">
        <v>4100045903</v>
      </c>
      <c r="C247" s="487" t="s">
        <v>1956</v>
      </c>
      <c r="D247" s="488">
        <v>43971</v>
      </c>
      <c r="E247" s="489">
        <v>68389</v>
      </c>
      <c r="F247" s="487">
        <v>1001010013</v>
      </c>
      <c r="G247" s="487" t="s">
        <v>2150</v>
      </c>
    </row>
    <row r="248" spans="1:7">
      <c r="A248" s="486" t="s">
        <v>2152</v>
      </c>
      <c r="B248" s="486">
        <v>4100033988</v>
      </c>
      <c r="C248" s="487" t="s">
        <v>1956</v>
      </c>
      <c r="D248" s="488">
        <v>43938</v>
      </c>
      <c r="E248" s="489">
        <v>42311</v>
      </c>
      <c r="F248" s="487">
        <v>1001010013</v>
      </c>
      <c r="G248" s="487" t="s">
        <v>2148</v>
      </c>
    </row>
    <row r="249" spans="1:7">
      <c r="A249" s="486" t="s">
        <v>2153</v>
      </c>
      <c r="B249" s="486">
        <v>4100061000</v>
      </c>
      <c r="C249" s="487" t="s">
        <v>1956</v>
      </c>
      <c r="D249" s="488">
        <v>44028</v>
      </c>
      <c r="E249" s="489">
        <v>24502</v>
      </c>
      <c r="F249" s="487">
        <v>1001010013</v>
      </c>
      <c r="G249" s="487" t="s">
        <v>2154</v>
      </c>
    </row>
    <row r="250" spans="1:7">
      <c r="A250" s="486" t="s">
        <v>2155</v>
      </c>
      <c r="B250" s="486">
        <v>4100060621</v>
      </c>
      <c r="C250" s="487" t="s">
        <v>1956</v>
      </c>
      <c r="D250" s="488">
        <v>44026</v>
      </c>
      <c r="E250" s="489">
        <v>107400</v>
      </c>
      <c r="F250" s="487">
        <v>1001010013</v>
      </c>
      <c r="G250" s="487" t="s">
        <v>2156</v>
      </c>
    </row>
    <row r="251" spans="1:7">
      <c r="A251" s="486" t="s">
        <v>2157</v>
      </c>
      <c r="B251" s="486">
        <v>4100070262</v>
      </c>
      <c r="C251" s="487" t="s">
        <v>1956</v>
      </c>
      <c r="D251" s="488">
        <v>44067</v>
      </c>
      <c r="E251" s="489">
        <v>109448</v>
      </c>
      <c r="F251" s="487">
        <v>1001010013</v>
      </c>
      <c r="G251" s="487" t="s">
        <v>2150</v>
      </c>
    </row>
    <row r="252" spans="1:7">
      <c r="A252" s="486" t="s">
        <v>2158</v>
      </c>
      <c r="B252" s="486">
        <v>4100090861</v>
      </c>
      <c r="C252" s="487" t="s">
        <v>1956</v>
      </c>
      <c r="D252" s="488">
        <v>44118</v>
      </c>
      <c r="E252" s="489">
        <v>124515</v>
      </c>
      <c r="F252" s="487">
        <v>1001010013</v>
      </c>
      <c r="G252" s="487" t="s">
        <v>2142</v>
      </c>
    </row>
    <row r="253" spans="1:7">
      <c r="A253" s="486" t="s">
        <v>2159</v>
      </c>
      <c r="B253" s="486">
        <v>4100129153</v>
      </c>
      <c r="C253" s="487" t="s">
        <v>1956</v>
      </c>
      <c r="D253" s="488">
        <v>44181</v>
      </c>
      <c r="E253" s="489">
        <v>43074</v>
      </c>
      <c r="F253" s="487">
        <v>1001010013</v>
      </c>
      <c r="G253" s="487" t="s">
        <v>2143</v>
      </c>
    </row>
    <row r="254" spans="1:7">
      <c r="A254" s="486" t="s">
        <v>2160</v>
      </c>
      <c r="B254" s="486">
        <v>4100016364</v>
      </c>
      <c r="C254" s="487" t="s">
        <v>1956</v>
      </c>
      <c r="D254" s="488">
        <v>44228</v>
      </c>
      <c r="E254" s="489">
        <v>41830</v>
      </c>
      <c r="F254" s="487">
        <v>1001010013</v>
      </c>
      <c r="G254" s="487" t="s">
        <v>2161</v>
      </c>
    </row>
    <row r="255" spans="1:7">
      <c r="A255" s="486" t="s">
        <v>2162</v>
      </c>
      <c r="B255" s="486">
        <v>4100016381</v>
      </c>
      <c r="C255" s="487" t="s">
        <v>1956</v>
      </c>
      <c r="D255" s="488">
        <v>44228</v>
      </c>
      <c r="E255" s="489">
        <v>104572</v>
      </c>
      <c r="F255" s="487">
        <v>1001010013</v>
      </c>
      <c r="G255" s="487" t="s">
        <v>2161</v>
      </c>
    </row>
    <row r="256" spans="1:7">
      <c r="A256" s="486" t="s">
        <v>2163</v>
      </c>
      <c r="B256" s="486">
        <v>4100031032</v>
      </c>
      <c r="C256" s="487" t="s">
        <v>1956</v>
      </c>
      <c r="D256" s="488">
        <v>44309</v>
      </c>
      <c r="E256" s="489">
        <v>42922</v>
      </c>
      <c r="F256" s="487">
        <v>1001010013</v>
      </c>
      <c r="G256" s="487" t="s">
        <v>2164</v>
      </c>
    </row>
    <row r="257" spans="1:7">
      <c r="A257" s="486" t="s">
        <v>2165</v>
      </c>
      <c r="B257" s="486">
        <v>4100031037</v>
      </c>
      <c r="C257" s="487" t="s">
        <v>1956</v>
      </c>
      <c r="D257" s="488">
        <v>44308</v>
      </c>
      <c r="E257" s="489">
        <v>85873</v>
      </c>
      <c r="F257" s="487">
        <v>1001010013</v>
      </c>
      <c r="G257" s="487" t="s">
        <v>2166</v>
      </c>
    </row>
    <row r="258" spans="1:7">
      <c r="A258" s="486" t="s">
        <v>2167</v>
      </c>
      <c r="B258" s="486">
        <v>4100036418</v>
      </c>
      <c r="C258" s="487" t="s">
        <v>1956</v>
      </c>
      <c r="D258" s="488">
        <v>44336</v>
      </c>
      <c r="E258" s="489">
        <v>42976</v>
      </c>
      <c r="F258" s="487">
        <v>1001010013</v>
      </c>
      <c r="G258" s="487" t="s">
        <v>2168</v>
      </c>
    </row>
    <row r="259" spans="1:7">
      <c r="A259" s="486" t="s">
        <v>2169</v>
      </c>
      <c r="B259" s="486">
        <v>4100036417</v>
      </c>
      <c r="C259" s="487" t="s">
        <v>1956</v>
      </c>
      <c r="D259" s="488">
        <v>44336</v>
      </c>
      <c r="E259" s="489">
        <v>74557</v>
      </c>
      <c r="F259" s="487">
        <v>1001010013</v>
      </c>
      <c r="G259" s="487" t="s">
        <v>2168</v>
      </c>
    </row>
    <row r="260" spans="1:7">
      <c r="A260" s="486" t="s">
        <v>2170</v>
      </c>
      <c r="B260" s="486">
        <v>4100041461</v>
      </c>
      <c r="C260" s="487" t="s">
        <v>1956</v>
      </c>
      <c r="D260" s="488">
        <v>44367</v>
      </c>
      <c r="E260" s="489">
        <v>42474</v>
      </c>
      <c r="F260" s="487">
        <v>1001010013</v>
      </c>
      <c r="G260" s="487" t="s">
        <v>2171</v>
      </c>
    </row>
    <row r="261" spans="1:7">
      <c r="A261" s="486" t="s">
        <v>2172</v>
      </c>
      <c r="B261" s="486">
        <v>4100041458</v>
      </c>
      <c r="C261" s="487" t="s">
        <v>1956</v>
      </c>
      <c r="D261" s="488">
        <v>44367</v>
      </c>
      <c r="E261" s="489">
        <v>65141</v>
      </c>
      <c r="F261" s="487">
        <v>1001010013</v>
      </c>
      <c r="G261" s="487" t="s">
        <v>2171</v>
      </c>
    </row>
    <row r="262" spans="1:7">
      <c r="A262" s="486">
        <v>1135798132</v>
      </c>
      <c r="B262" s="486">
        <v>4100039913</v>
      </c>
      <c r="C262" s="487" t="s">
        <v>1956</v>
      </c>
      <c r="D262" s="488">
        <v>43955</v>
      </c>
      <c r="E262" s="489">
        <v>380009</v>
      </c>
      <c r="F262" s="487">
        <v>1001010014</v>
      </c>
      <c r="G262" s="487" t="s">
        <v>2173</v>
      </c>
    </row>
    <row r="263" spans="1:7">
      <c r="A263" s="486">
        <v>1170034490</v>
      </c>
      <c r="B263" s="486">
        <v>4100077375</v>
      </c>
      <c r="C263" s="487" t="s">
        <v>1956</v>
      </c>
      <c r="D263" s="488">
        <v>44075</v>
      </c>
      <c r="E263" s="489">
        <v>391197</v>
      </c>
      <c r="F263" s="487">
        <v>1001010014</v>
      </c>
      <c r="G263" s="487" t="s">
        <v>2174</v>
      </c>
    </row>
    <row r="264" spans="1:7">
      <c r="A264" s="486">
        <v>1192514631</v>
      </c>
      <c r="B264" s="486">
        <v>4100010824</v>
      </c>
      <c r="C264" s="487" t="s">
        <v>1956</v>
      </c>
      <c r="D264" s="488">
        <v>44197</v>
      </c>
      <c r="E264" s="489">
        <v>22570</v>
      </c>
      <c r="F264" s="487">
        <v>1001010014</v>
      </c>
      <c r="G264" s="487" t="s">
        <v>2174</v>
      </c>
    </row>
    <row r="265" spans="1:7">
      <c r="A265" s="486">
        <v>1197055440</v>
      </c>
      <c r="B265" s="486">
        <v>4100017446</v>
      </c>
      <c r="C265" s="487" t="s">
        <v>1956</v>
      </c>
      <c r="D265" s="488">
        <v>44246</v>
      </c>
      <c r="E265" s="489">
        <v>22148</v>
      </c>
      <c r="F265" s="487">
        <v>1001010014</v>
      </c>
      <c r="G265" s="487" t="s">
        <v>2175</v>
      </c>
    </row>
    <row r="266" spans="1:7">
      <c r="A266" s="486">
        <v>1201847199</v>
      </c>
      <c r="B266" s="486">
        <v>4100022658</v>
      </c>
      <c r="C266" s="487" t="s">
        <v>1956</v>
      </c>
      <c r="D266" s="488">
        <v>44256</v>
      </c>
      <c r="E266" s="489">
        <v>342100</v>
      </c>
      <c r="F266" s="487">
        <v>1001010014</v>
      </c>
      <c r="G266" s="487" t="s">
        <v>2176</v>
      </c>
    </row>
    <row r="267" spans="1:7">
      <c r="A267" s="486">
        <v>1222745714</v>
      </c>
      <c r="B267" s="486">
        <v>4100045674</v>
      </c>
      <c r="C267" s="487" t="s">
        <v>1956</v>
      </c>
      <c r="D267" s="488">
        <v>44378</v>
      </c>
      <c r="E267" s="489">
        <v>22744</v>
      </c>
      <c r="F267" s="487">
        <v>1001010014</v>
      </c>
      <c r="G267" s="487" t="s">
        <v>2177</v>
      </c>
    </row>
    <row r="268" spans="1:7">
      <c r="A268" s="486" t="s">
        <v>2178</v>
      </c>
      <c r="B268" s="486">
        <v>4100000684</v>
      </c>
      <c r="C268" s="487" t="s">
        <v>1956</v>
      </c>
      <c r="D268" s="488">
        <v>43834</v>
      </c>
      <c r="E268" s="489">
        <v>357563</v>
      </c>
      <c r="F268" s="487">
        <v>1001010014</v>
      </c>
      <c r="G268" s="487" t="s">
        <v>2179</v>
      </c>
    </row>
    <row r="269" spans="1:7">
      <c r="A269" s="486" t="s">
        <v>2180</v>
      </c>
      <c r="B269" s="486">
        <v>4100070248</v>
      </c>
      <c r="C269" s="487" t="s">
        <v>1956</v>
      </c>
      <c r="D269" s="488">
        <v>44067</v>
      </c>
      <c r="E269" s="489">
        <v>22200</v>
      </c>
      <c r="F269" s="487">
        <v>1001010014</v>
      </c>
      <c r="G269" s="487" t="s">
        <v>2181</v>
      </c>
    </row>
    <row r="270" spans="1:7">
      <c r="A270" s="486" t="s">
        <v>2182</v>
      </c>
      <c r="B270" s="486">
        <v>4100129151</v>
      </c>
      <c r="C270" s="487" t="s">
        <v>1956</v>
      </c>
      <c r="D270" s="488">
        <v>44181</v>
      </c>
      <c r="E270" s="489">
        <v>384775</v>
      </c>
      <c r="F270" s="487">
        <v>1001010014</v>
      </c>
      <c r="G270" s="487" t="s">
        <v>2183</v>
      </c>
    </row>
    <row r="271" spans="1:7">
      <c r="A271" s="486" t="s">
        <v>2184</v>
      </c>
      <c r="B271" s="486">
        <v>4100030345</v>
      </c>
      <c r="C271" s="487" t="s">
        <v>1956</v>
      </c>
      <c r="D271" s="488">
        <v>44301</v>
      </c>
      <c r="E271" s="489">
        <v>22416</v>
      </c>
      <c r="F271" s="487">
        <v>1001010014</v>
      </c>
      <c r="G271" s="487" t="s">
        <v>2185</v>
      </c>
    </row>
    <row r="272" spans="1:7">
      <c r="A272" s="486" t="s">
        <v>2186</v>
      </c>
      <c r="B272" s="486">
        <v>4100042252</v>
      </c>
      <c r="C272" s="487" t="s">
        <v>1956</v>
      </c>
      <c r="D272" s="488">
        <v>44372</v>
      </c>
      <c r="E272" s="489">
        <v>287770</v>
      </c>
      <c r="F272" s="487">
        <v>1001010014</v>
      </c>
      <c r="G272" s="487" t="s">
        <v>2187</v>
      </c>
    </row>
    <row r="273" spans="1:7">
      <c r="A273" s="486">
        <v>1129644449</v>
      </c>
      <c r="B273" s="486">
        <v>4100010721</v>
      </c>
      <c r="C273" s="487" t="s">
        <v>1956</v>
      </c>
      <c r="D273" s="488">
        <v>43862</v>
      </c>
      <c r="E273" s="489">
        <v>108544</v>
      </c>
      <c r="F273" s="487">
        <v>1001010016</v>
      </c>
      <c r="G273" s="487" t="s">
        <v>2188</v>
      </c>
    </row>
    <row r="274" spans="1:7">
      <c r="A274" s="486">
        <v>1133902866</v>
      </c>
      <c r="B274" s="486">
        <v>4100018831</v>
      </c>
      <c r="C274" s="487" t="s">
        <v>1956</v>
      </c>
      <c r="D274" s="488">
        <v>43891</v>
      </c>
      <c r="E274" s="489">
        <v>102567</v>
      </c>
      <c r="F274" s="487">
        <v>1001010016</v>
      </c>
      <c r="G274" s="487" t="s">
        <v>2189</v>
      </c>
    </row>
    <row r="275" spans="1:7">
      <c r="A275" s="486">
        <v>1138412537</v>
      </c>
      <c r="B275" s="486">
        <v>4100030221</v>
      </c>
      <c r="C275" s="487" t="s">
        <v>1956</v>
      </c>
      <c r="D275" s="488">
        <v>43922</v>
      </c>
      <c r="E275" s="489">
        <v>104696</v>
      </c>
      <c r="F275" s="487">
        <v>1001010016</v>
      </c>
      <c r="G275" s="487" t="s">
        <v>2190</v>
      </c>
    </row>
    <row r="276" spans="1:7">
      <c r="A276" s="486">
        <v>1142698446</v>
      </c>
      <c r="B276" s="486">
        <v>4100041653</v>
      </c>
      <c r="C276" s="487" t="s">
        <v>1956</v>
      </c>
      <c r="D276" s="488">
        <v>43959</v>
      </c>
      <c r="E276" s="489">
        <v>94044</v>
      </c>
      <c r="F276" s="487">
        <v>1001010016</v>
      </c>
      <c r="G276" s="487" t="s">
        <v>2191</v>
      </c>
    </row>
    <row r="277" spans="1:7">
      <c r="A277" s="486">
        <v>1147736849</v>
      </c>
      <c r="B277" s="486">
        <v>4100050429</v>
      </c>
      <c r="C277" s="487" t="s">
        <v>1956</v>
      </c>
      <c r="D277" s="488">
        <v>43983</v>
      </c>
      <c r="E277" s="489">
        <v>76455</v>
      </c>
      <c r="F277" s="487">
        <v>1001010016</v>
      </c>
      <c r="G277" s="487" t="s">
        <v>2192</v>
      </c>
    </row>
    <row r="278" spans="1:7">
      <c r="A278" s="486">
        <v>1153806122</v>
      </c>
      <c r="B278" s="486">
        <v>4100059105</v>
      </c>
      <c r="C278" s="487" t="s">
        <v>1956</v>
      </c>
      <c r="D278" s="488">
        <v>44019</v>
      </c>
      <c r="E278" s="489">
        <v>90418</v>
      </c>
      <c r="F278" s="487">
        <v>1001010016</v>
      </c>
      <c r="G278" s="487" t="s">
        <v>2193</v>
      </c>
    </row>
    <row r="279" spans="1:7">
      <c r="A279" s="486">
        <v>1168004622</v>
      </c>
      <c r="B279" s="486">
        <v>4100074565</v>
      </c>
      <c r="C279" s="487" t="s">
        <v>1956</v>
      </c>
      <c r="D279" s="488">
        <v>44080</v>
      </c>
      <c r="E279" s="489">
        <v>97862</v>
      </c>
      <c r="F279" s="487">
        <v>1001010016</v>
      </c>
      <c r="G279" s="487" t="s">
        <v>2194</v>
      </c>
    </row>
    <row r="280" spans="1:7">
      <c r="A280" s="486">
        <v>1173778215</v>
      </c>
      <c r="B280" s="486">
        <v>4100086660</v>
      </c>
      <c r="C280" s="487" t="s">
        <v>1956</v>
      </c>
      <c r="D280" s="488">
        <v>44109</v>
      </c>
      <c r="E280" s="489">
        <v>98195</v>
      </c>
      <c r="F280" s="487">
        <v>1001010016</v>
      </c>
      <c r="G280" s="487" t="s">
        <v>2191</v>
      </c>
    </row>
    <row r="281" spans="1:7">
      <c r="A281" s="486">
        <v>1179227971</v>
      </c>
      <c r="B281" s="486">
        <v>4100107116</v>
      </c>
      <c r="C281" s="487" t="s">
        <v>1956</v>
      </c>
      <c r="D281" s="488">
        <v>44136</v>
      </c>
      <c r="E281" s="489">
        <v>102680</v>
      </c>
      <c r="F281" s="487">
        <v>1001010016</v>
      </c>
      <c r="G281" s="487" t="s">
        <v>2195</v>
      </c>
    </row>
    <row r="282" spans="1:7">
      <c r="A282" s="486">
        <v>1185145605</v>
      </c>
      <c r="B282" s="486">
        <v>4100123919</v>
      </c>
      <c r="C282" s="487" t="s">
        <v>1956</v>
      </c>
      <c r="D282" s="488">
        <v>44171</v>
      </c>
      <c r="E282" s="489">
        <v>105909</v>
      </c>
      <c r="F282" s="487">
        <v>1001010016</v>
      </c>
      <c r="G282" s="487" t="s">
        <v>2196</v>
      </c>
    </row>
    <row r="283" spans="1:7">
      <c r="A283" s="486">
        <v>1189775719</v>
      </c>
      <c r="B283" s="486">
        <v>4100002374</v>
      </c>
      <c r="C283" s="487" t="s">
        <v>1956</v>
      </c>
      <c r="D283" s="488">
        <v>44204</v>
      </c>
      <c r="E283" s="489">
        <v>100640</v>
      </c>
      <c r="F283" s="487">
        <v>1001010016</v>
      </c>
      <c r="G283" s="487" t="s">
        <v>2194</v>
      </c>
    </row>
    <row r="284" spans="1:7">
      <c r="A284" s="486">
        <v>1215252822</v>
      </c>
      <c r="B284" s="486">
        <v>4100039578</v>
      </c>
      <c r="C284" s="487" t="s">
        <v>1956</v>
      </c>
      <c r="D284" s="488">
        <v>44348</v>
      </c>
      <c r="E284" s="489">
        <v>117324</v>
      </c>
      <c r="F284" s="487">
        <v>1001010016</v>
      </c>
      <c r="G284" s="487" t="s">
        <v>2197</v>
      </c>
    </row>
    <row r="285" spans="1:7">
      <c r="A285" s="486">
        <v>1235620885</v>
      </c>
      <c r="B285" s="486">
        <v>4100063498</v>
      </c>
      <c r="C285" s="487" t="s">
        <v>1956</v>
      </c>
      <c r="D285" s="488">
        <v>44474</v>
      </c>
      <c r="E285" s="489">
        <v>128188</v>
      </c>
      <c r="F285" s="487">
        <v>1001010016</v>
      </c>
      <c r="G285" s="487" t="s">
        <v>2198</v>
      </c>
    </row>
    <row r="286" spans="1:7">
      <c r="A286" s="486">
        <v>1240977002</v>
      </c>
      <c r="B286" s="486">
        <v>4100073726</v>
      </c>
      <c r="C286" s="487" t="s">
        <v>1956</v>
      </c>
      <c r="D286" s="488">
        <v>44505</v>
      </c>
      <c r="E286" s="489">
        <v>131636</v>
      </c>
      <c r="F286" s="487">
        <v>1001010016</v>
      </c>
      <c r="G286" s="487" t="s">
        <v>2191</v>
      </c>
    </row>
    <row r="287" spans="1:7">
      <c r="A287" s="486">
        <v>1246158656</v>
      </c>
      <c r="B287" s="486">
        <v>4100084898</v>
      </c>
      <c r="C287" s="487" t="s">
        <v>1956</v>
      </c>
      <c r="D287" s="488">
        <v>44534</v>
      </c>
      <c r="E287" s="489">
        <v>131075</v>
      </c>
      <c r="F287" s="487">
        <v>1001010016</v>
      </c>
      <c r="G287" s="487" t="s">
        <v>2191</v>
      </c>
    </row>
    <row r="288" spans="1:7">
      <c r="A288" s="486">
        <v>77578458636</v>
      </c>
      <c r="B288" s="486">
        <v>4100065977</v>
      </c>
      <c r="C288" s="487" t="s">
        <v>1956</v>
      </c>
      <c r="D288" s="488">
        <v>44049</v>
      </c>
      <c r="E288" s="489">
        <v>95321</v>
      </c>
      <c r="F288" s="487">
        <v>1001010016</v>
      </c>
      <c r="G288" s="487" t="s">
        <v>2199</v>
      </c>
    </row>
    <row r="289" spans="1:7">
      <c r="A289" s="486">
        <v>81623230601</v>
      </c>
      <c r="B289" s="486">
        <v>4100028012</v>
      </c>
      <c r="C289" s="487" t="s">
        <v>1956</v>
      </c>
      <c r="D289" s="488">
        <v>44294</v>
      </c>
      <c r="E289" s="489">
        <v>131591</v>
      </c>
      <c r="F289" s="487">
        <v>1001010016</v>
      </c>
      <c r="G289" s="487" t="s">
        <v>2200</v>
      </c>
    </row>
    <row r="290" spans="1:7">
      <c r="A290" s="486" t="s">
        <v>2201</v>
      </c>
      <c r="B290" s="486">
        <v>4100000771</v>
      </c>
      <c r="C290" s="487" t="s">
        <v>1956</v>
      </c>
      <c r="D290" s="488">
        <v>43832</v>
      </c>
      <c r="E290" s="489">
        <v>111881</v>
      </c>
      <c r="F290" s="487">
        <v>1001010016</v>
      </c>
      <c r="G290" s="487" t="s">
        <v>2202</v>
      </c>
    </row>
    <row r="291" spans="1:7">
      <c r="A291" s="486" t="s">
        <v>2203</v>
      </c>
      <c r="B291" s="486">
        <v>4100085803</v>
      </c>
      <c r="C291" s="487" t="s">
        <v>1956</v>
      </c>
      <c r="D291" s="488">
        <v>44106</v>
      </c>
      <c r="E291" s="489">
        <v>1749190</v>
      </c>
      <c r="F291" s="487">
        <v>1001010016</v>
      </c>
      <c r="G291" s="487" t="s">
        <v>2204</v>
      </c>
    </row>
    <row r="292" spans="1:7">
      <c r="A292" s="486" t="s">
        <v>2205</v>
      </c>
      <c r="B292" s="486">
        <v>4100022210</v>
      </c>
      <c r="C292" s="487" t="s">
        <v>1956</v>
      </c>
      <c r="D292" s="488">
        <v>44262</v>
      </c>
      <c r="E292" s="489">
        <v>109955</v>
      </c>
      <c r="F292" s="487">
        <v>1001010016</v>
      </c>
      <c r="G292" s="487" t="s">
        <v>2206</v>
      </c>
    </row>
    <row r="293" spans="1:7">
      <c r="A293" s="486" t="s">
        <v>2207</v>
      </c>
      <c r="B293" s="486">
        <v>4100033743</v>
      </c>
      <c r="C293" s="487" t="s">
        <v>1956</v>
      </c>
      <c r="D293" s="488">
        <v>44322</v>
      </c>
      <c r="E293" s="489">
        <v>124559</v>
      </c>
      <c r="F293" s="487">
        <v>1001010016</v>
      </c>
      <c r="G293" s="487" t="s">
        <v>2208</v>
      </c>
    </row>
    <row r="294" spans="1:7">
      <c r="A294" s="486" t="s">
        <v>2209</v>
      </c>
      <c r="B294" s="486">
        <v>4100044075</v>
      </c>
      <c r="C294" s="487" t="s">
        <v>1956</v>
      </c>
      <c r="D294" s="488">
        <v>44384</v>
      </c>
      <c r="E294" s="489">
        <v>115059</v>
      </c>
      <c r="F294" s="487">
        <v>1001010016</v>
      </c>
      <c r="G294" s="487" t="s">
        <v>2210</v>
      </c>
    </row>
    <row r="295" spans="1:7">
      <c r="A295" s="486" t="s">
        <v>2211</v>
      </c>
      <c r="B295" s="486">
        <v>4100048948</v>
      </c>
      <c r="C295" s="487" t="s">
        <v>1956</v>
      </c>
      <c r="D295" s="488">
        <v>44413</v>
      </c>
      <c r="E295" s="489">
        <v>117955</v>
      </c>
      <c r="F295" s="487">
        <v>1001010016</v>
      </c>
      <c r="G295" s="487" t="s">
        <v>2212</v>
      </c>
    </row>
    <row r="296" spans="1:7">
      <c r="A296" s="486" t="s">
        <v>2213</v>
      </c>
      <c r="B296" s="486">
        <v>4100055097</v>
      </c>
      <c r="C296" s="487" t="s">
        <v>1956</v>
      </c>
      <c r="D296" s="488">
        <v>44443</v>
      </c>
      <c r="E296" s="489">
        <v>113335</v>
      </c>
      <c r="F296" s="487">
        <v>1001010016</v>
      </c>
      <c r="G296" s="487" t="s">
        <v>2188</v>
      </c>
    </row>
    <row r="297" spans="1:7">
      <c r="A297" s="486" t="s">
        <v>2214</v>
      </c>
      <c r="B297" s="486">
        <v>4100013042</v>
      </c>
      <c r="C297" s="487" t="s">
        <v>1956</v>
      </c>
      <c r="D297" s="488">
        <v>44231</v>
      </c>
      <c r="E297" s="489">
        <v>96516</v>
      </c>
      <c r="F297" s="487">
        <v>1001010016</v>
      </c>
      <c r="G297" s="487" t="s">
        <v>2215</v>
      </c>
    </row>
    <row r="298" spans="1:7">
      <c r="A298" s="486" t="s">
        <v>2216</v>
      </c>
      <c r="B298" s="486">
        <v>4100010838</v>
      </c>
      <c r="C298" s="487" t="s">
        <v>1956</v>
      </c>
      <c r="D298" s="488">
        <v>44224</v>
      </c>
      <c r="E298" s="489">
        <v>606397</v>
      </c>
      <c r="F298" s="487">
        <v>1001010017</v>
      </c>
      <c r="G298" s="487" t="s">
        <v>2217</v>
      </c>
    </row>
    <row r="299" spans="1:7">
      <c r="A299" s="486" t="s">
        <v>2218</v>
      </c>
      <c r="B299" s="486">
        <v>4100052345</v>
      </c>
      <c r="C299" s="487" t="s">
        <v>1956</v>
      </c>
      <c r="D299" s="488">
        <v>44432</v>
      </c>
      <c r="E299" s="489">
        <v>453474</v>
      </c>
      <c r="F299" s="487">
        <v>1001010017</v>
      </c>
      <c r="G299" s="487" t="s">
        <v>2219</v>
      </c>
    </row>
    <row r="300" spans="1:7">
      <c r="A300" s="486" t="s">
        <v>2220</v>
      </c>
      <c r="B300" s="486">
        <v>4100068644</v>
      </c>
      <c r="C300" s="487" t="s">
        <v>1956</v>
      </c>
      <c r="D300" s="488">
        <v>44491</v>
      </c>
      <c r="E300" s="489">
        <v>589224</v>
      </c>
      <c r="F300" s="487">
        <v>1001010017</v>
      </c>
      <c r="G300" s="487" t="s">
        <v>2006</v>
      </c>
    </row>
    <row r="301" spans="1:7">
      <c r="A301" s="486" t="s">
        <v>2221</v>
      </c>
      <c r="B301" s="486">
        <v>4100040639</v>
      </c>
      <c r="C301" s="487" t="s">
        <v>1956</v>
      </c>
      <c r="D301" s="488">
        <v>44331</v>
      </c>
      <c r="E301" s="489">
        <v>1239877</v>
      </c>
      <c r="F301" s="487">
        <v>1001020002</v>
      </c>
      <c r="G301" s="487" t="s">
        <v>2222</v>
      </c>
    </row>
    <row r="302" spans="1:7">
      <c r="A302" s="486">
        <v>1189776937</v>
      </c>
      <c r="B302" s="486">
        <v>4100003968</v>
      </c>
      <c r="C302" s="487" t="s">
        <v>1956</v>
      </c>
      <c r="D302" s="488">
        <v>44205</v>
      </c>
      <c r="E302" s="489">
        <v>2074044</v>
      </c>
      <c r="F302" s="487">
        <v>1002020002</v>
      </c>
      <c r="G302" s="487" t="s">
        <v>2223</v>
      </c>
    </row>
    <row r="303" spans="1:7">
      <c r="A303" s="486">
        <v>1185147478</v>
      </c>
      <c r="B303" s="486">
        <v>4100122239</v>
      </c>
      <c r="C303" s="487" t="s">
        <v>1956</v>
      </c>
      <c r="D303" s="488">
        <v>44166</v>
      </c>
      <c r="E303" s="489">
        <v>2249852</v>
      </c>
      <c r="F303" s="487">
        <v>1002020003</v>
      </c>
      <c r="G303" s="487" t="s">
        <v>2224</v>
      </c>
    </row>
    <row r="304" spans="1:7">
      <c r="A304" s="486" t="s">
        <v>2225</v>
      </c>
      <c r="B304" s="486">
        <v>4100040249</v>
      </c>
      <c r="C304" s="487" t="s">
        <v>1956</v>
      </c>
      <c r="D304" s="488">
        <v>43956</v>
      </c>
      <c r="E304" s="489">
        <v>2615562</v>
      </c>
      <c r="F304" s="487">
        <v>1002020003</v>
      </c>
      <c r="G304" s="487" t="s">
        <v>2226</v>
      </c>
    </row>
    <row r="305" spans="1:7">
      <c r="A305" s="486" t="s">
        <v>2227</v>
      </c>
      <c r="B305" s="486">
        <v>4100063790</v>
      </c>
      <c r="C305" s="487" t="s">
        <v>1956</v>
      </c>
      <c r="D305" s="488">
        <v>44476</v>
      </c>
      <c r="E305" s="489">
        <v>1988981</v>
      </c>
      <c r="F305" s="487">
        <v>1002030099</v>
      </c>
      <c r="G305" s="487" t="s">
        <v>2228</v>
      </c>
    </row>
    <row r="306" spans="1:7">
      <c r="A306" s="486">
        <v>1230562138</v>
      </c>
      <c r="B306" s="486">
        <v>4100055593</v>
      </c>
      <c r="C306" s="487" t="s">
        <v>1956</v>
      </c>
      <c r="D306" s="488">
        <v>44446</v>
      </c>
      <c r="E306" s="489">
        <v>1039462</v>
      </c>
      <c r="F306" s="487">
        <v>1007010002</v>
      </c>
      <c r="G306" s="487" t="s">
        <v>2229</v>
      </c>
    </row>
    <row r="307" spans="1:7">
      <c r="A307" s="486">
        <v>1230577027</v>
      </c>
      <c r="B307" s="486">
        <v>4100055583</v>
      </c>
      <c r="C307" s="487" t="s">
        <v>1956</v>
      </c>
      <c r="D307" s="488">
        <v>44446</v>
      </c>
      <c r="E307" s="489">
        <v>49997</v>
      </c>
      <c r="F307" s="487">
        <v>1007010002</v>
      </c>
      <c r="G307" s="487" t="s">
        <v>2230</v>
      </c>
    </row>
    <row r="308" spans="1:7">
      <c r="A308" s="486">
        <v>1235617465</v>
      </c>
      <c r="B308" s="486">
        <v>4100063510</v>
      </c>
      <c r="C308" s="487" t="s">
        <v>1956</v>
      </c>
      <c r="D308" s="488">
        <v>44474</v>
      </c>
      <c r="E308" s="489">
        <v>53639</v>
      </c>
      <c r="F308" s="487">
        <v>1007010002</v>
      </c>
      <c r="G308" s="487" t="s">
        <v>2231</v>
      </c>
    </row>
    <row r="309" spans="1:7">
      <c r="A309" s="486">
        <v>1240973410</v>
      </c>
      <c r="B309" s="486">
        <v>4100073696</v>
      </c>
      <c r="C309" s="487" t="s">
        <v>1956</v>
      </c>
      <c r="D309" s="488">
        <v>44505</v>
      </c>
      <c r="E309" s="489">
        <v>53574</v>
      </c>
      <c r="F309" s="487">
        <v>1007010002</v>
      </c>
      <c r="G309" s="487" t="s">
        <v>2232</v>
      </c>
    </row>
    <row r="310" spans="1:7">
      <c r="A310" s="486" t="s">
        <v>2233</v>
      </c>
      <c r="B310" s="486">
        <v>4100033738</v>
      </c>
      <c r="C310" s="487" t="s">
        <v>1956</v>
      </c>
      <c r="D310" s="488">
        <v>44322</v>
      </c>
      <c r="E310" s="489">
        <v>892251</v>
      </c>
      <c r="F310" s="487">
        <v>1007010002</v>
      </c>
      <c r="G310" s="487" t="s">
        <v>2234</v>
      </c>
    </row>
    <row r="311" spans="1:7">
      <c r="A311" s="486">
        <v>1124966188</v>
      </c>
      <c r="B311" s="486">
        <v>4100000706</v>
      </c>
      <c r="C311" s="487" t="s">
        <v>1956</v>
      </c>
      <c r="D311" s="488">
        <v>43834</v>
      </c>
      <c r="E311" s="489">
        <v>2497216</v>
      </c>
      <c r="F311" s="487">
        <v>1007010010</v>
      </c>
      <c r="G311" s="487" t="s">
        <v>2235</v>
      </c>
    </row>
    <row r="312" spans="1:7">
      <c r="A312" s="486">
        <v>1129645509</v>
      </c>
      <c r="B312" s="486">
        <v>4100010817</v>
      </c>
      <c r="C312" s="487" t="s">
        <v>1956</v>
      </c>
      <c r="D312" s="488">
        <v>43862</v>
      </c>
      <c r="E312" s="489">
        <v>2495394</v>
      </c>
      <c r="F312" s="487">
        <v>1007010010</v>
      </c>
      <c r="G312" s="487" t="s">
        <v>2236</v>
      </c>
    </row>
    <row r="313" spans="1:7">
      <c r="A313" s="486">
        <v>1133903811</v>
      </c>
      <c r="B313" s="486">
        <v>4100019011</v>
      </c>
      <c r="C313" s="487" t="s">
        <v>1956</v>
      </c>
      <c r="D313" s="488">
        <v>43891</v>
      </c>
      <c r="E313" s="489">
        <v>2486384</v>
      </c>
      <c r="F313" s="487">
        <v>1007010010</v>
      </c>
      <c r="G313" s="487" t="s">
        <v>2237</v>
      </c>
    </row>
    <row r="314" spans="1:7">
      <c r="A314" s="486">
        <v>1138413699</v>
      </c>
      <c r="B314" s="486">
        <v>4100029381</v>
      </c>
      <c r="C314" s="487" t="s">
        <v>1956</v>
      </c>
      <c r="D314" s="488">
        <v>43923</v>
      </c>
      <c r="E314" s="489">
        <v>2723644</v>
      </c>
      <c r="F314" s="487">
        <v>1007010010</v>
      </c>
      <c r="G314" s="487" t="s">
        <v>2238</v>
      </c>
    </row>
    <row r="315" spans="1:7">
      <c r="A315" s="486">
        <v>1147736726</v>
      </c>
      <c r="B315" s="486">
        <v>4100050414</v>
      </c>
      <c r="C315" s="487" t="s">
        <v>1956</v>
      </c>
      <c r="D315" s="488">
        <v>43983</v>
      </c>
      <c r="E315" s="489">
        <v>1546679</v>
      </c>
      <c r="F315" s="487">
        <v>1007010010</v>
      </c>
      <c r="G315" s="487" t="s">
        <v>2239</v>
      </c>
    </row>
    <row r="316" spans="1:7">
      <c r="A316" s="486">
        <v>1179224184</v>
      </c>
      <c r="B316" s="486">
        <v>4100106750</v>
      </c>
      <c r="C316" s="487" t="s">
        <v>1956</v>
      </c>
      <c r="D316" s="488">
        <v>44144</v>
      </c>
      <c r="E316" s="489">
        <v>2170493</v>
      </c>
      <c r="F316" s="487">
        <v>1007010010</v>
      </c>
      <c r="G316" s="487" t="s">
        <v>2240</v>
      </c>
    </row>
    <row r="317" spans="1:7">
      <c r="A317" s="486">
        <v>77579663526</v>
      </c>
      <c r="B317" s="486">
        <v>4100065928</v>
      </c>
      <c r="C317" s="487" t="s">
        <v>1956</v>
      </c>
      <c r="D317" s="488">
        <v>44049</v>
      </c>
      <c r="E317" s="489">
        <v>2039750</v>
      </c>
      <c r="F317" s="487">
        <v>1007010010</v>
      </c>
      <c r="G317" s="487" t="s">
        <v>2241</v>
      </c>
    </row>
    <row r="318" spans="1:7">
      <c r="A318" s="486">
        <v>78065460581</v>
      </c>
      <c r="B318" s="486">
        <v>4100074702</v>
      </c>
      <c r="C318" s="487" t="s">
        <v>1956</v>
      </c>
      <c r="D318" s="488">
        <v>44078</v>
      </c>
      <c r="E318" s="489">
        <v>2239155</v>
      </c>
      <c r="F318" s="487">
        <v>1007010010</v>
      </c>
      <c r="G318" s="487" t="s">
        <v>2242</v>
      </c>
    </row>
    <row r="319" spans="1:7">
      <c r="A319" s="486" t="s">
        <v>2243</v>
      </c>
      <c r="B319" s="486">
        <v>4100058295</v>
      </c>
      <c r="C319" s="487" t="s">
        <v>1956</v>
      </c>
      <c r="D319" s="488">
        <v>44015</v>
      </c>
      <c r="E319" s="489">
        <v>2200385</v>
      </c>
      <c r="F319" s="487">
        <v>1007010010</v>
      </c>
      <c r="G319" s="487" t="s">
        <v>2244</v>
      </c>
    </row>
    <row r="320" spans="1:7">
      <c r="A320" s="486" t="s">
        <v>2245</v>
      </c>
      <c r="B320" s="486">
        <v>4100086122</v>
      </c>
      <c r="C320" s="487" t="s">
        <v>1956</v>
      </c>
      <c r="D320" s="488">
        <v>44108</v>
      </c>
      <c r="E320" s="489">
        <v>2191563</v>
      </c>
      <c r="F320" s="487">
        <v>1007010010</v>
      </c>
      <c r="G320" s="487" t="s">
        <v>2246</v>
      </c>
    </row>
    <row r="321" spans="1:7">
      <c r="A321" s="486">
        <v>1204624077</v>
      </c>
      <c r="B321" s="486">
        <v>4100028001</v>
      </c>
      <c r="C321" s="487" t="s">
        <v>1956</v>
      </c>
      <c r="D321" s="488">
        <v>44294</v>
      </c>
      <c r="E321" s="489">
        <v>2134017</v>
      </c>
      <c r="F321" s="487">
        <v>1008010001</v>
      </c>
      <c r="G321" s="487" t="s">
        <v>2238</v>
      </c>
    </row>
    <row r="322" spans="1:7">
      <c r="A322" s="486" t="s">
        <v>2247</v>
      </c>
      <c r="B322" s="486">
        <v>4100013144</v>
      </c>
      <c r="C322" s="487" t="s">
        <v>1956</v>
      </c>
      <c r="D322" s="488">
        <v>44231</v>
      </c>
      <c r="E322" s="489">
        <v>1877090</v>
      </c>
      <c r="F322" s="487">
        <v>1008010001</v>
      </c>
      <c r="G322" s="487" t="s">
        <v>2248</v>
      </c>
    </row>
    <row r="323" spans="1:7">
      <c r="A323" s="486" t="s">
        <v>2249</v>
      </c>
      <c r="B323" s="486">
        <v>4100033669</v>
      </c>
      <c r="C323" s="487" t="s">
        <v>1956</v>
      </c>
      <c r="D323" s="488">
        <v>44322</v>
      </c>
      <c r="E323" s="489">
        <v>1794182</v>
      </c>
      <c r="F323" s="487">
        <v>1008010001</v>
      </c>
      <c r="G323" s="487" t="s">
        <v>2250</v>
      </c>
    </row>
    <row r="324" spans="1:7">
      <c r="D324" s="509"/>
      <c r="E324" s="510">
        <f>SUBTOTAL(9,E7:E323)</f>
        <v>124150841</v>
      </c>
    </row>
    <row r="325" spans="1:7">
      <c r="E325" s="510">
        <f>E324*F325</f>
        <v>16263760.171</v>
      </c>
      <c r="F325" s="511">
        <v>0.13100000000000001</v>
      </c>
      <c r="G325" s="479" t="s">
        <v>149</v>
      </c>
    </row>
    <row r="326" spans="1:7">
      <c r="E326" s="512">
        <f>E324+E325</f>
        <v>140414601.171</v>
      </c>
      <c r="F326" s="511"/>
    </row>
    <row r="327" spans="1:7">
      <c r="E327" s="512">
        <f>E326*F327</f>
        <v>19236800.360427003</v>
      </c>
      <c r="F327" s="511">
        <v>0.13700000000000001</v>
      </c>
      <c r="G327" s="479" t="s">
        <v>1952</v>
      </c>
    </row>
    <row r="328" spans="1:7">
      <c r="E328" s="512">
        <f>E326+E327</f>
        <v>159651401.531427</v>
      </c>
    </row>
  </sheetData>
  <mergeCells count="5">
    <mergeCell ref="A4:G4"/>
    <mergeCell ref="I5:M5"/>
    <mergeCell ref="T7:AA10"/>
    <mergeCell ref="T11:AA12"/>
    <mergeCell ref="T13:AA16"/>
  </mergeCells>
  <phoneticPr fontId="30"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A190"/>
  <sheetViews>
    <sheetView showGridLines="0" topLeftCell="G1" workbookViewId="0">
      <pane ySplit="6" topLeftCell="A7" activePane="bottomLeft" state="frozen"/>
      <selection pane="bottomLeft" activeCell="O7" sqref="O7"/>
    </sheetView>
  </sheetViews>
  <sheetFormatPr baseColWidth="10" defaultRowHeight="15"/>
  <cols>
    <col min="1" max="1" width="15.5703125" style="483" bestFit="1" customWidth="1"/>
    <col min="2" max="2" width="17" style="483" customWidth="1"/>
    <col min="3" max="3" width="11.42578125" style="483"/>
    <col min="4" max="4" width="17.42578125" style="483" customWidth="1"/>
    <col min="5" max="5" width="15.7109375" style="483" customWidth="1"/>
    <col min="6" max="6" width="14.85546875" style="483" bestFit="1" customWidth="1"/>
    <col min="7" max="7" width="47.28515625" style="483" bestFit="1" customWidth="1"/>
    <col min="8" max="16384" width="11.42578125" style="483"/>
  </cols>
  <sheetData>
    <row r="1" spans="1:27">
      <c r="J1" s="436" t="s">
        <v>436</v>
      </c>
      <c r="K1" s="436"/>
      <c r="L1" s="436"/>
      <c r="M1" s="436"/>
      <c r="N1" s="436"/>
      <c r="O1" s="436"/>
      <c r="P1" s="436"/>
      <c r="Q1" s="436"/>
      <c r="R1" s="436"/>
    </row>
    <row r="2" spans="1:27">
      <c r="I2" s="480"/>
      <c r="J2" s="294">
        <v>2025</v>
      </c>
      <c r="K2" s="294">
        <v>2026</v>
      </c>
      <c r="L2" s="294">
        <v>2027</v>
      </c>
      <c r="M2" s="294">
        <v>2028</v>
      </c>
      <c r="N2" s="294">
        <v>2029</v>
      </c>
      <c r="O2" s="294">
        <v>2030</v>
      </c>
      <c r="P2" s="294">
        <v>2031</v>
      </c>
      <c r="Q2" s="294">
        <v>2032</v>
      </c>
      <c r="R2" s="294">
        <v>2033</v>
      </c>
    </row>
    <row r="3" spans="1:27">
      <c r="I3" s="480"/>
      <c r="J3" s="481">
        <f>+'IPC - CAFÉ'!E24</f>
        <v>0.06</v>
      </c>
      <c r="K3" s="481">
        <f>+'IPC - CAFÉ'!F24</f>
        <v>4.5975144331782153E-2</v>
      </c>
      <c r="L3" s="481">
        <f>+'IPC - CAFÉ'!G24</f>
        <v>4.7225144331782154E-2</v>
      </c>
      <c r="M3" s="481">
        <f>+'IPC - CAFÉ'!H24</f>
        <v>4.8475144331782155E-2</v>
      </c>
      <c r="N3" s="481">
        <f>+'IPC - CAFÉ'!I24</f>
        <v>4.9725144331782156E-2</v>
      </c>
      <c r="O3" s="481">
        <f>+'IPC - CAFÉ'!J24</f>
        <v>5.0975144331782157E-2</v>
      </c>
      <c r="P3" s="481">
        <f>+'IPC - CAFÉ'!K24</f>
        <v>5.2225144331782158E-2</v>
      </c>
      <c r="Q3" s="481">
        <f>+'IPC - CAFÉ'!L24</f>
        <v>5.347514433178216E-2</v>
      </c>
      <c r="R3" s="481">
        <f>+'IPC - CAFÉ'!M24</f>
        <v>5.4725144331782161E-2</v>
      </c>
    </row>
    <row r="4" spans="1:27" ht="18.75">
      <c r="A4" s="995" t="s">
        <v>2256</v>
      </c>
      <c r="B4" s="995"/>
      <c r="C4" s="995"/>
      <c r="D4" s="995"/>
      <c r="E4" s="995"/>
      <c r="F4" s="995"/>
      <c r="G4" s="995"/>
      <c r="I4" s="495"/>
    </row>
    <row r="5" spans="1:27">
      <c r="I5" s="991" t="s">
        <v>2413</v>
      </c>
      <c r="J5" s="991"/>
      <c r="K5" s="991"/>
      <c r="L5" s="991"/>
      <c r="M5" s="991"/>
      <c r="N5" s="748"/>
      <c r="O5" s="748"/>
      <c r="P5" s="748"/>
      <c r="Q5" s="748"/>
      <c r="R5" s="748"/>
    </row>
    <row r="6" spans="1:27" ht="30">
      <c r="A6" s="543" t="s">
        <v>624</v>
      </c>
      <c r="B6" s="543" t="s">
        <v>625</v>
      </c>
      <c r="C6" s="544" t="s">
        <v>626</v>
      </c>
      <c r="D6" s="544" t="s">
        <v>627</v>
      </c>
      <c r="E6" s="544" t="s">
        <v>628</v>
      </c>
      <c r="F6" s="544" t="s">
        <v>629</v>
      </c>
      <c r="G6" s="544" t="s">
        <v>630</v>
      </c>
      <c r="I6" s="485" t="s">
        <v>226</v>
      </c>
      <c r="J6" s="485" t="s">
        <v>227</v>
      </c>
      <c r="K6" s="485" t="s">
        <v>228</v>
      </c>
      <c r="L6" s="485" t="s">
        <v>229</v>
      </c>
      <c r="M6" s="485" t="s">
        <v>230</v>
      </c>
      <c r="N6" s="485" t="s">
        <v>231</v>
      </c>
      <c r="O6" s="485" t="s">
        <v>232</v>
      </c>
      <c r="P6" s="485" t="s">
        <v>233</v>
      </c>
      <c r="Q6" s="485" t="s">
        <v>3010</v>
      </c>
      <c r="R6" s="485" t="s">
        <v>3011</v>
      </c>
      <c r="T6" s="376" t="s">
        <v>439</v>
      </c>
      <c r="U6" s="149"/>
      <c r="V6" s="149"/>
      <c r="W6" s="149"/>
      <c r="X6" s="149"/>
      <c r="Y6" s="149"/>
      <c r="Z6" s="149"/>
      <c r="AA6" s="149"/>
    </row>
    <row r="7" spans="1:27">
      <c r="A7" s="480" t="s">
        <v>2257</v>
      </c>
      <c r="B7" s="480">
        <v>3400000266</v>
      </c>
      <c r="C7" s="496" t="s">
        <v>1293</v>
      </c>
      <c r="D7" s="497">
        <v>43849</v>
      </c>
      <c r="E7" s="498">
        <v>126480</v>
      </c>
      <c r="F7" s="496">
        <v>1001010001</v>
      </c>
      <c r="G7" s="496" t="s">
        <v>2258</v>
      </c>
      <c r="I7" s="490">
        <v>23039039.311469998</v>
      </c>
      <c r="J7" s="490">
        <f>+I7*(1+J3)</f>
        <v>24421381.6701582</v>
      </c>
      <c r="K7" s="490">
        <f>+J7*(1+K3)</f>
        <v>25544158.217225265</v>
      </c>
      <c r="L7" s="490">
        <f>+K7*(1+L3)</f>
        <v>26750484.775867607</v>
      </c>
      <c r="M7" s="490">
        <f>+L7*(1+M3)</f>
        <v>28047218.38632293</v>
      </c>
      <c r="N7" s="490">
        <f t="shared" ref="N7:R7" si="0">+M7*(1+N3)</f>
        <v>29441870.368687849</v>
      </c>
      <c r="O7" s="490">
        <f t="shared" si="0"/>
        <v>30942673.960129332</v>
      </c>
      <c r="P7" s="490">
        <f t="shared" si="0"/>
        <v>32558659.573708359</v>
      </c>
      <c r="Q7" s="490">
        <f t="shared" si="0"/>
        <v>34299738.593661778</v>
      </c>
      <c r="R7" s="490">
        <f t="shared" si="0"/>
        <v>36176796.738742322</v>
      </c>
      <c r="T7" s="962" t="s">
        <v>646</v>
      </c>
      <c r="U7" s="963"/>
      <c r="V7" s="963"/>
      <c r="W7" s="963"/>
      <c r="X7" s="963"/>
      <c r="Y7" s="963"/>
      <c r="Z7" s="963"/>
      <c r="AA7" s="964"/>
    </row>
    <row r="8" spans="1:27">
      <c r="A8" s="480" t="s">
        <v>2259</v>
      </c>
      <c r="B8" s="480">
        <v>3400000400</v>
      </c>
      <c r="C8" s="496" t="s">
        <v>1293</v>
      </c>
      <c r="D8" s="497">
        <v>44224</v>
      </c>
      <c r="E8" s="498">
        <v>113518</v>
      </c>
      <c r="F8" s="496">
        <v>1001010001</v>
      </c>
      <c r="G8" s="496" t="s">
        <v>2260</v>
      </c>
      <c r="T8" s="965"/>
      <c r="U8" s="966"/>
      <c r="V8" s="966"/>
      <c r="W8" s="966"/>
      <c r="X8" s="966"/>
      <c r="Y8" s="966"/>
      <c r="Z8" s="966"/>
      <c r="AA8" s="967"/>
    </row>
    <row r="9" spans="1:27">
      <c r="A9" s="480" t="s">
        <v>2261</v>
      </c>
      <c r="B9" s="480">
        <v>3400000370</v>
      </c>
      <c r="C9" s="496" t="s">
        <v>1293</v>
      </c>
      <c r="D9" s="497">
        <v>44224</v>
      </c>
      <c r="E9" s="498">
        <v>46166</v>
      </c>
      <c r="F9" s="496">
        <v>1001010002</v>
      </c>
      <c r="G9" s="496" t="s">
        <v>2262</v>
      </c>
      <c r="T9" s="965"/>
      <c r="U9" s="966"/>
      <c r="V9" s="966"/>
      <c r="W9" s="966"/>
      <c r="X9" s="966"/>
      <c r="Y9" s="966"/>
      <c r="Z9" s="966"/>
      <c r="AA9" s="967"/>
    </row>
    <row r="10" spans="1:27">
      <c r="A10" s="480" t="s">
        <v>2263</v>
      </c>
      <c r="B10" s="480">
        <v>3400000249</v>
      </c>
      <c r="C10" s="496" t="s">
        <v>1293</v>
      </c>
      <c r="D10" s="497">
        <v>43849</v>
      </c>
      <c r="E10" s="498">
        <v>136674</v>
      </c>
      <c r="F10" s="496">
        <v>1001010003</v>
      </c>
      <c r="G10" s="496" t="s">
        <v>2264</v>
      </c>
      <c r="T10" s="965"/>
      <c r="U10" s="966"/>
      <c r="V10" s="966"/>
      <c r="W10" s="966"/>
      <c r="X10" s="966"/>
      <c r="Y10" s="966"/>
      <c r="Z10" s="966"/>
      <c r="AA10" s="967"/>
    </row>
    <row r="11" spans="1:27">
      <c r="A11" s="480" t="s">
        <v>2265</v>
      </c>
      <c r="B11" s="480">
        <v>3400000389</v>
      </c>
      <c r="C11" s="496" t="s">
        <v>1293</v>
      </c>
      <c r="D11" s="497">
        <v>44224</v>
      </c>
      <c r="E11" s="498">
        <v>68337</v>
      </c>
      <c r="F11" s="496">
        <v>1001010003</v>
      </c>
      <c r="G11" s="496" t="s">
        <v>2266</v>
      </c>
      <c r="T11" s="965"/>
      <c r="U11" s="966"/>
      <c r="V11" s="966"/>
      <c r="W11" s="966"/>
      <c r="X11" s="966"/>
      <c r="Y11" s="966"/>
      <c r="Z11" s="966"/>
      <c r="AA11" s="967"/>
    </row>
    <row r="12" spans="1:27">
      <c r="A12" s="480" t="s">
        <v>2267</v>
      </c>
      <c r="B12" s="480">
        <v>3400000410</v>
      </c>
      <c r="C12" s="496" t="s">
        <v>1293</v>
      </c>
      <c r="D12" s="497">
        <v>43854</v>
      </c>
      <c r="E12" s="498">
        <v>92332</v>
      </c>
      <c r="F12" s="496">
        <v>1001010004</v>
      </c>
      <c r="G12" s="496" t="s">
        <v>2268</v>
      </c>
      <c r="T12" s="965"/>
      <c r="U12" s="966"/>
      <c r="V12" s="966"/>
      <c r="W12" s="966"/>
      <c r="X12" s="966"/>
      <c r="Y12" s="966"/>
      <c r="Z12" s="966"/>
      <c r="AA12" s="967"/>
    </row>
    <row r="13" spans="1:27">
      <c r="A13" s="480" t="s">
        <v>2269</v>
      </c>
      <c r="B13" s="480">
        <v>3400000335</v>
      </c>
      <c r="C13" s="496" t="s">
        <v>1293</v>
      </c>
      <c r="D13" s="497">
        <v>44222</v>
      </c>
      <c r="E13" s="498">
        <v>92332</v>
      </c>
      <c r="F13" s="496">
        <v>1001010004</v>
      </c>
      <c r="G13" s="496" t="s">
        <v>2270</v>
      </c>
      <c r="T13" s="965"/>
      <c r="U13" s="966"/>
      <c r="V13" s="966"/>
      <c r="W13" s="966"/>
      <c r="X13" s="966"/>
      <c r="Y13" s="966"/>
      <c r="Z13" s="966"/>
      <c r="AA13" s="967"/>
    </row>
    <row r="14" spans="1:27">
      <c r="A14" s="480" t="s">
        <v>2269</v>
      </c>
      <c r="B14" s="480">
        <v>3400000342</v>
      </c>
      <c r="C14" s="496" t="s">
        <v>1293</v>
      </c>
      <c r="D14" s="497">
        <v>44222</v>
      </c>
      <c r="E14" s="498">
        <v>92332</v>
      </c>
      <c r="F14" s="496">
        <v>1001010004</v>
      </c>
      <c r="G14" s="496" t="s">
        <v>2270</v>
      </c>
      <c r="T14" s="965"/>
      <c r="U14" s="966"/>
      <c r="V14" s="966"/>
      <c r="W14" s="966"/>
      <c r="X14" s="966"/>
      <c r="Y14" s="966"/>
      <c r="Z14" s="966"/>
      <c r="AA14" s="967"/>
    </row>
    <row r="15" spans="1:27">
      <c r="A15" s="480" t="s">
        <v>2269</v>
      </c>
      <c r="B15" s="480">
        <v>3400000354</v>
      </c>
      <c r="C15" s="496" t="s">
        <v>1293</v>
      </c>
      <c r="D15" s="497">
        <v>44222</v>
      </c>
      <c r="E15" s="498">
        <v>92332</v>
      </c>
      <c r="F15" s="496">
        <v>1001010004</v>
      </c>
      <c r="G15" s="496" t="s">
        <v>2270</v>
      </c>
      <c r="T15" s="965"/>
      <c r="U15" s="966"/>
      <c r="V15" s="966"/>
      <c r="W15" s="966"/>
      <c r="X15" s="966"/>
      <c r="Y15" s="966"/>
      <c r="Z15" s="966"/>
      <c r="AA15" s="967"/>
    </row>
    <row r="16" spans="1:27">
      <c r="A16" s="480" t="s">
        <v>2271</v>
      </c>
      <c r="B16" s="480">
        <v>3400000334</v>
      </c>
      <c r="C16" s="496" t="s">
        <v>1293</v>
      </c>
      <c r="D16" s="497">
        <v>44222</v>
      </c>
      <c r="E16" s="498">
        <v>46166</v>
      </c>
      <c r="F16" s="496">
        <v>1001010005</v>
      </c>
      <c r="G16" s="496" t="s">
        <v>2272</v>
      </c>
      <c r="T16" s="968"/>
      <c r="U16" s="969"/>
      <c r="V16" s="969"/>
      <c r="W16" s="969"/>
      <c r="X16" s="969"/>
      <c r="Y16" s="969"/>
      <c r="Z16" s="969"/>
      <c r="AA16" s="970"/>
    </row>
    <row r="17" spans="1:7">
      <c r="A17" s="480" t="s">
        <v>2273</v>
      </c>
      <c r="B17" s="480">
        <v>3400000392</v>
      </c>
      <c r="C17" s="496" t="s">
        <v>1293</v>
      </c>
      <c r="D17" s="497">
        <v>43853</v>
      </c>
      <c r="E17" s="498">
        <v>116581</v>
      </c>
      <c r="F17" s="496">
        <v>1001010006</v>
      </c>
      <c r="G17" s="496" t="s">
        <v>2274</v>
      </c>
    </row>
    <row r="18" spans="1:7">
      <c r="A18" s="480" t="s">
        <v>2275</v>
      </c>
      <c r="B18" s="480">
        <v>3400000397</v>
      </c>
      <c r="C18" s="496" t="s">
        <v>1293</v>
      </c>
      <c r="D18" s="497">
        <v>43853</v>
      </c>
      <c r="E18" s="498">
        <v>68337</v>
      </c>
      <c r="F18" s="496">
        <v>1001010006</v>
      </c>
      <c r="G18" s="496" t="s">
        <v>2276</v>
      </c>
    </row>
    <row r="19" spans="1:7">
      <c r="A19" s="480" t="s">
        <v>2277</v>
      </c>
      <c r="B19" s="480">
        <v>3400000350</v>
      </c>
      <c r="C19" s="496" t="s">
        <v>1293</v>
      </c>
      <c r="D19" s="497">
        <v>44224</v>
      </c>
      <c r="E19" s="498">
        <v>68337</v>
      </c>
      <c r="F19" s="496">
        <v>1001010006</v>
      </c>
      <c r="G19" s="496" t="s">
        <v>2278</v>
      </c>
    </row>
    <row r="20" spans="1:7">
      <c r="A20" s="480" t="s">
        <v>2279</v>
      </c>
      <c r="B20" s="480">
        <v>3400000369</v>
      </c>
      <c r="C20" s="496" t="s">
        <v>1293</v>
      </c>
      <c r="D20" s="497">
        <v>44224</v>
      </c>
      <c r="E20" s="498">
        <v>116581</v>
      </c>
      <c r="F20" s="496">
        <v>1001010006</v>
      </c>
      <c r="G20" s="496" t="s">
        <v>2278</v>
      </c>
    </row>
    <row r="21" spans="1:7">
      <c r="A21" s="480" t="s">
        <v>2280</v>
      </c>
      <c r="B21" s="480">
        <v>3400000264</v>
      </c>
      <c r="C21" s="496" t="s">
        <v>1293</v>
      </c>
      <c r="D21" s="497">
        <v>43849</v>
      </c>
      <c r="E21" s="498">
        <v>92332</v>
      </c>
      <c r="F21" s="496">
        <v>1001010007</v>
      </c>
      <c r="G21" s="496" t="s">
        <v>2281</v>
      </c>
    </row>
    <row r="22" spans="1:7">
      <c r="A22" s="480" t="s">
        <v>2282</v>
      </c>
      <c r="B22" s="480">
        <v>3400000386</v>
      </c>
      <c r="C22" s="496" t="s">
        <v>1293</v>
      </c>
      <c r="D22" s="497">
        <v>44224</v>
      </c>
      <c r="E22" s="498">
        <v>46166</v>
      </c>
      <c r="F22" s="496">
        <v>1001010007</v>
      </c>
      <c r="G22" s="496" t="s">
        <v>2283</v>
      </c>
    </row>
    <row r="23" spans="1:7">
      <c r="A23" s="480" t="s">
        <v>2284</v>
      </c>
      <c r="B23" s="480">
        <v>6100001664</v>
      </c>
      <c r="C23" s="496" t="s">
        <v>631</v>
      </c>
      <c r="D23" s="497">
        <v>43837</v>
      </c>
      <c r="E23" s="498">
        <v>160000</v>
      </c>
      <c r="F23" s="496">
        <v>1001010008</v>
      </c>
      <c r="G23" s="496" t="s">
        <v>2285</v>
      </c>
    </row>
    <row r="24" spans="1:7">
      <c r="A24" s="480" t="s">
        <v>2286</v>
      </c>
      <c r="B24" s="480">
        <v>6100001966</v>
      </c>
      <c r="C24" s="496" t="s">
        <v>631</v>
      </c>
      <c r="D24" s="497">
        <v>44203</v>
      </c>
      <c r="E24" s="498">
        <v>160000</v>
      </c>
      <c r="F24" s="496">
        <v>1001010008</v>
      </c>
      <c r="G24" s="496" t="s">
        <v>2285</v>
      </c>
    </row>
    <row r="25" spans="1:7">
      <c r="A25" s="480" t="s">
        <v>2287</v>
      </c>
      <c r="B25" s="480">
        <v>3400000258</v>
      </c>
      <c r="C25" s="496" t="s">
        <v>1293</v>
      </c>
      <c r="D25" s="497">
        <v>43849</v>
      </c>
      <c r="E25" s="498">
        <v>92332</v>
      </c>
      <c r="F25" s="496">
        <v>1001010009</v>
      </c>
      <c r="G25" s="496" t="s">
        <v>2288</v>
      </c>
    </row>
    <row r="26" spans="1:7">
      <c r="A26" s="480" t="s">
        <v>2289</v>
      </c>
      <c r="B26" s="480">
        <v>3400000385</v>
      </c>
      <c r="C26" s="496" t="s">
        <v>1293</v>
      </c>
      <c r="D26" s="497">
        <v>44224</v>
      </c>
      <c r="E26" s="498">
        <v>46166</v>
      </c>
      <c r="F26" s="496">
        <v>1001010009</v>
      </c>
      <c r="G26" s="496" t="s">
        <v>2290</v>
      </c>
    </row>
    <row r="27" spans="1:7">
      <c r="A27" s="480" t="s">
        <v>2284</v>
      </c>
      <c r="B27" s="480">
        <v>6100001665</v>
      </c>
      <c r="C27" s="496" t="s">
        <v>631</v>
      </c>
      <c r="D27" s="497">
        <v>43837</v>
      </c>
      <c r="E27" s="498">
        <v>170000</v>
      </c>
      <c r="F27" s="496">
        <v>1001010010</v>
      </c>
      <c r="G27" s="496" t="s">
        <v>2285</v>
      </c>
    </row>
    <row r="28" spans="1:7">
      <c r="A28" s="480" t="s">
        <v>2286</v>
      </c>
      <c r="B28" s="480">
        <v>6100001967</v>
      </c>
      <c r="C28" s="496" t="s">
        <v>631</v>
      </c>
      <c r="D28" s="497">
        <v>44203</v>
      </c>
      <c r="E28" s="498">
        <v>170000</v>
      </c>
      <c r="F28" s="496">
        <v>1001010010</v>
      </c>
      <c r="G28" s="496" t="s">
        <v>2285</v>
      </c>
    </row>
    <row r="29" spans="1:7">
      <c r="A29" s="480" t="s">
        <v>2284</v>
      </c>
      <c r="B29" s="480">
        <v>6100001667</v>
      </c>
      <c r="C29" s="496" t="s">
        <v>631</v>
      </c>
      <c r="D29" s="497">
        <v>43837</v>
      </c>
      <c r="E29" s="498">
        <v>160000</v>
      </c>
      <c r="F29" s="496">
        <v>1001010013</v>
      </c>
      <c r="G29" s="496" t="s">
        <v>2285</v>
      </c>
    </row>
    <row r="30" spans="1:7">
      <c r="A30" s="480" t="s">
        <v>2286</v>
      </c>
      <c r="B30" s="480">
        <v>6100001970</v>
      </c>
      <c r="C30" s="496" t="s">
        <v>631</v>
      </c>
      <c r="D30" s="497">
        <v>44203</v>
      </c>
      <c r="E30" s="498">
        <v>160000</v>
      </c>
      <c r="F30" s="496">
        <v>1001010013</v>
      </c>
      <c r="G30" s="496" t="s">
        <v>2285</v>
      </c>
    </row>
    <row r="31" spans="1:7">
      <c r="A31" s="480" t="s">
        <v>2284</v>
      </c>
      <c r="B31" s="480">
        <v>6100001666</v>
      </c>
      <c r="C31" s="496" t="s">
        <v>631</v>
      </c>
      <c r="D31" s="497">
        <v>43837</v>
      </c>
      <c r="E31" s="498">
        <v>160000</v>
      </c>
      <c r="F31" s="496">
        <v>1001010014</v>
      </c>
      <c r="G31" s="496" t="s">
        <v>2285</v>
      </c>
    </row>
    <row r="32" spans="1:7">
      <c r="A32" s="480" t="s">
        <v>2286</v>
      </c>
      <c r="B32" s="480">
        <v>6100001969</v>
      </c>
      <c r="C32" s="496" t="s">
        <v>631</v>
      </c>
      <c r="D32" s="497">
        <v>44203</v>
      </c>
      <c r="E32" s="498">
        <v>160000</v>
      </c>
      <c r="F32" s="496">
        <v>1001010014</v>
      </c>
      <c r="G32" s="496" t="s">
        <v>2285</v>
      </c>
    </row>
    <row r="33" spans="1:7">
      <c r="A33" s="480" t="s">
        <v>2291</v>
      </c>
      <c r="B33" s="480">
        <v>3400000406</v>
      </c>
      <c r="C33" s="496" t="s">
        <v>1293</v>
      </c>
      <c r="D33" s="497">
        <v>43854</v>
      </c>
      <c r="E33" s="498">
        <v>92332</v>
      </c>
      <c r="F33" s="496">
        <v>1001010016</v>
      </c>
      <c r="G33" s="496" t="s">
        <v>2292</v>
      </c>
    </row>
    <row r="34" spans="1:7">
      <c r="A34" s="480" t="s">
        <v>2293</v>
      </c>
      <c r="B34" s="480">
        <v>3400000337</v>
      </c>
      <c r="C34" s="496" t="s">
        <v>1293</v>
      </c>
      <c r="D34" s="497">
        <v>44222</v>
      </c>
      <c r="E34" s="498">
        <v>92332</v>
      </c>
      <c r="F34" s="496">
        <v>1001010016</v>
      </c>
      <c r="G34" s="496" t="s">
        <v>2294</v>
      </c>
    </row>
    <row r="35" spans="1:7">
      <c r="A35" s="480" t="s">
        <v>2293</v>
      </c>
      <c r="B35" s="480">
        <v>3400000343</v>
      </c>
      <c r="C35" s="496" t="s">
        <v>1293</v>
      </c>
      <c r="D35" s="497">
        <v>44222</v>
      </c>
      <c r="E35" s="498">
        <v>92332</v>
      </c>
      <c r="F35" s="496">
        <v>1001010016</v>
      </c>
      <c r="G35" s="496" t="s">
        <v>2294</v>
      </c>
    </row>
    <row r="36" spans="1:7">
      <c r="A36" s="480" t="s">
        <v>2295</v>
      </c>
      <c r="B36" s="480">
        <v>3400000252</v>
      </c>
      <c r="C36" s="496" t="s">
        <v>1293</v>
      </c>
      <c r="D36" s="497">
        <v>43849</v>
      </c>
      <c r="E36" s="498">
        <v>87868</v>
      </c>
      <c r="F36" s="496">
        <v>1001010017</v>
      </c>
      <c r="G36" s="496" t="s">
        <v>2296</v>
      </c>
    </row>
    <row r="37" spans="1:7">
      <c r="A37" s="480" t="s">
        <v>2297</v>
      </c>
      <c r="B37" s="480">
        <v>3400000353</v>
      </c>
      <c r="C37" s="496" t="s">
        <v>1293</v>
      </c>
      <c r="D37" s="497">
        <v>44224</v>
      </c>
      <c r="E37" s="498">
        <v>76031</v>
      </c>
      <c r="F37" s="496">
        <v>1001010017</v>
      </c>
      <c r="G37" s="496" t="s">
        <v>2298</v>
      </c>
    </row>
    <row r="38" spans="1:7">
      <c r="A38" s="480" t="s">
        <v>2299</v>
      </c>
      <c r="B38" s="480">
        <v>3400000402</v>
      </c>
      <c r="C38" s="496" t="s">
        <v>1293</v>
      </c>
      <c r="D38" s="497">
        <v>43854</v>
      </c>
      <c r="E38" s="498">
        <v>86261</v>
      </c>
      <c r="F38" s="496">
        <v>1001010020</v>
      </c>
      <c r="G38" s="496" t="s">
        <v>2300</v>
      </c>
    </row>
    <row r="39" spans="1:7">
      <c r="A39" s="480" t="s">
        <v>2301</v>
      </c>
      <c r="B39" s="480">
        <v>3400000123</v>
      </c>
      <c r="C39" s="496" t="s">
        <v>1293</v>
      </c>
      <c r="D39" s="497">
        <v>43842</v>
      </c>
      <c r="E39" s="498">
        <v>54126</v>
      </c>
      <c r="F39" s="496">
        <v>1001010021</v>
      </c>
      <c r="G39" s="496" t="s">
        <v>2302</v>
      </c>
    </row>
    <row r="40" spans="1:7">
      <c r="A40" s="480" t="s">
        <v>2303</v>
      </c>
      <c r="B40" s="480">
        <v>3400000402</v>
      </c>
      <c r="C40" s="496" t="s">
        <v>1293</v>
      </c>
      <c r="D40" s="497">
        <v>44224</v>
      </c>
      <c r="E40" s="498">
        <v>29381</v>
      </c>
      <c r="F40" s="496">
        <v>1001010099</v>
      </c>
      <c r="G40" s="496" t="s">
        <v>2304</v>
      </c>
    </row>
    <row r="41" spans="1:7">
      <c r="A41" s="480" t="s">
        <v>2305</v>
      </c>
      <c r="B41" s="480">
        <v>3400000409</v>
      </c>
      <c r="C41" s="496" t="s">
        <v>1293</v>
      </c>
      <c r="D41" s="497">
        <v>44226</v>
      </c>
      <c r="E41" s="498">
        <v>99108</v>
      </c>
      <c r="F41" s="496">
        <v>1001010099</v>
      </c>
      <c r="G41" s="496" t="s">
        <v>2306</v>
      </c>
    </row>
    <row r="42" spans="1:7">
      <c r="A42" s="480" t="s">
        <v>2307</v>
      </c>
      <c r="B42" s="480">
        <v>3400000245</v>
      </c>
      <c r="C42" s="496" t="s">
        <v>1293</v>
      </c>
      <c r="D42" s="497">
        <v>43849</v>
      </c>
      <c r="E42" s="498">
        <v>109781</v>
      </c>
      <c r="F42" s="496">
        <v>1002020001</v>
      </c>
      <c r="G42" s="496" t="s">
        <v>2308</v>
      </c>
    </row>
    <row r="43" spans="1:7">
      <c r="A43" s="480" t="s">
        <v>2305</v>
      </c>
      <c r="B43" s="480">
        <v>3400000348</v>
      </c>
      <c r="C43" s="496" t="s">
        <v>1293</v>
      </c>
      <c r="D43" s="497">
        <v>44224</v>
      </c>
      <c r="E43" s="498">
        <v>121980</v>
      </c>
      <c r="F43" s="496">
        <v>1002020001</v>
      </c>
      <c r="G43" s="496" t="s">
        <v>2309</v>
      </c>
    </row>
    <row r="44" spans="1:7">
      <c r="A44" s="480" t="s">
        <v>2307</v>
      </c>
      <c r="B44" s="480">
        <v>3400000245</v>
      </c>
      <c r="C44" s="496" t="s">
        <v>1293</v>
      </c>
      <c r="D44" s="497">
        <v>43849</v>
      </c>
      <c r="E44" s="498">
        <v>109781</v>
      </c>
      <c r="F44" s="496">
        <v>1002020002</v>
      </c>
      <c r="G44" s="496" t="s">
        <v>2310</v>
      </c>
    </row>
    <row r="45" spans="1:7">
      <c r="A45" s="480" t="s">
        <v>2311</v>
      </c>
      <c r="B45" s="480">
        <v>3400000260</v>
      </c>
      <c r="C45" s="496" t="s">
        <v>1293</v>
      </c>
      <c r="D45" s="497">
        <v>43849</v>
      </c>
      <c r="E45" s="498">
        <v>131560</v>
      </c>
      <c r="F45" s="496">
        <v>1002020002</v>
      </c>
      <c r="G45" s="496" t="s">
        <v>2312</v>
      </c>
    </row>
    <row r="46" spans="1:7">
      <c r="A46" s="480" t="s">
        <v>2305</v>
      </c>
      <c r="B46" s="480">
        <v>3400000348</v>
      </c>
      <c r="C46" s="496" t="s">
        <v>1293</v>
      </c>
      <c r="D46" s="497">
        <v>44224</v>
      </c>
      <c r="E46" s="498">
        <v>121980</v>
      </c>
      <c r="F46" s="496">
        <v>1002020002</v>
      </c>
      <c r="G46" s="496" t="s">
        <v>2313</v>
      </c>
    </row>
    <row r="47" spans="1:7">
      <c r="A47" s="480" t="s">
        <v>2314</v>
      </c>
      <c r="B47" s="480">
        <v>3400000383</v>
      </c>
      <c r="C47" s="496" t="s">
        <v>1293</v>
      </c>
      <c r="D47" s="497">
        <v>44224</v>
      </c>
      <c r="E47" s="498">
        <v>131560</v>
      </c>
      <c r="F47" s="496">
        <v>1002020002</v>
      </c>
      <c r="G47" s="496" t="s">
        <v>2315</v>
      </c>
    </row>
    <row r="48" spans="1:7">
      <c r="A48" s="480" t="s">
        <v>2305</v>
      </c>
      <c r="B48" s="480">
        <v>3400000401</v>
      </c>
      <c r="C48" s="496" t="s">
        <v>1293</v>
      </c>
      <c r="D48" s="497">
        <v>44224</v>
      </c>
      <c r="E48" s="498">
        <v>99107</v>
      </c>
      <c r="F48" s="496">
        <v>1002020002</v>
      </c>
      <c r="G48" s="496" t="s">
        <v>2306</v>
      </c>
    </row>
    <row r="49" spans="1:7">
      <c r="A49" s="480" t="s">
        <v>2303</v>
      </c>
      <c r="B49" s="480">
        <v>3400000402</v>
      </c>
      <c r="C49" s="496" t="s">
        <v>1293</v>
      </c>
      <c r="D49" s="497">
        <v>44224</v>
      </c>
      <c r="E49" s="498">
        <v>29381</v>
      </c>
      <c r="F49" s="496">
        <v>1002020002</v>
      </c>
      <c r="G49" s="496" t="s">
        <v>2304</v>
      </c>
    </row>
    <row r="50" spans="1:7">
      <c r="A50" s="480" t="s">
        <v>2305</v>
      </c>
      <c r="B50" s="480">
        <v>3400000403</v>
      </c>
      <c r="C50" s="496" t="s">
        <v>1293</v>
      </c>
      <c r="D50" s="497">
        <v>44224</v>
      </c>
      <c r="E50" s="498">
        <v>99107</v>
      </c>
      <c r="F50" s="496">
        <v>1002020002</v>
      </c>
      <c r="G50" s="496" t="s">
        <v>2306</v>
      </c>
    </row>
    <row r="51" spans="1:7">
      <c r="A51" s="480" t="s">
        <v>2305</v>
      </c>
      <c r="B51" s="480">
        <v>3400000409</v>
      </c>
      <c r="C51" s="496" t="s">
        <v>1293</v>
      </c>
      <c r="D51" s="497">
        <v>44226</v>
      </c>
      <c r="E51" s="498">
        <v>99107</v>
      </c>
      <c r="F51" s="496">
        <v>1002020002</v>
      </c>
      <c r="G51" s="496" t="s">
        <v>2306</v>
      </c>
    </row>
    <row r="52" spans="1:7">
      <c r="A52" s="480" t="s">
        <v>2307</v>
      </c>
      <c r="B52" s="480">
        <v>3400000245</v>
      </c>
      <c r="C52" s="496" t="s">
        <v>1293</v>
      </c>
      <c r="D52" s="497">
        <v>43849</v>
      </c>
      <c r="E52" s="498">
        <v>109781</v>
      </c>
      <c r="F52" s="496">
        <v>1002020003</v>
      </c>
      <c r="G52" s="496" t="s">
        <v>2316</v>
      </c>
    </row>
    <row r="53" spans="1:7">
      <c r="A53" s="480" t="s">
        <v>2311</v>
      </c>
      <c r="B53" s="480">
        <v>3400000260</v>
      </c>
      <c r="C53" s="496" t="s">
        <v>1293</v>
      </c>
      <c r="D53" s="497">
        <v>43849</v>
      </c>
      <c r="E53" s="498">
        <v>131560</v>
      </c>
      <c r="F53" s="496">
        <v>1002020003</v>
      </c>
      <c r="G53" s="496" t="s">
        <v>2317</v>
      </c>
    </row>
    <row r="54" spans="1:7">
      <c r="A54" s="480" t="s">
        <v>2305</v>
      </c>
      <c r="B54" s="480">
        <v>3400000348</v>
      </c>
      <c r="C54" s="496" t="s">
        <v>1293</v>
      </c>
      <c r="D54" s="497">
        <v>44224</v>
      </c>
      <c r="E54" s="498">
        <v>121978</v>
      </c>
      <c r="F54" s="496">
        <v>1002020003</v>
      </c>
      <c r="G54" s="496" t="s">
        <v>2318</v>
      </c>
    </row>
    <row r="55" spans="1:7">
      <c r="A55" s="480" t="s">
        <v>2314</v>
      </c>
      <c r="B55" s="480">
        <v>3400000383</v>
      </c>
      <c r="C55" s="496" t="s">
        <v>1293</v>
      </c>
      <c r="D55" s="497">
        <v>44224</v>
      </c>
      <c r="E55" s="498">
        <v>131560</v>
      </c>
      <c r="F55" s="496">
        <v>1002020003</v>
      </c>
      <c r="G55" s="496" t="s">
        <v>2319</v>
      </c>
    </row>
    <row r="56" spans="1:7">
      <c r="A56" s="480" t="s">
        <v>2305</v>
      </c>
      <c r="B56" s="480">
        <v>3400000401</v>
      </c>
      <c r="C56" s="496" t="s">
        <v>1293</v>
      </c>
      <c r="D56" s="497">
        <v>44224</v>
      </c>
      <c r="E56" s="498">
        <v>99108</v>
      </c>
      <c r="F56" s="496">
        <v>1002020003</v>
      </c>
      <c r="G56" s="496" t="s">
        <v>2306</v>
      </c>
    </row>
    <row r="57" spans="1:7">
      <c r="A57" s="480" t="s">
        <v>2303</v>
      </c>
      <c r="B57" s="480">
        <v>3400000402</v>
      </c>
      <c r="C57" s="496" t="s">
        <v>1293</v>
      </c>
      <c r="D57" s="497">
        <v>44224</v>
      </c>
      <c r="E57" s="498">
        <v>29381</v>
      </c>
      <c r="F57" s="496">
        <v>1002020003</v>
      </c>
      <c r="G57" s="496" t="s">
        <v>2304</v>
      </c>
    </row>
    <row r="58" spans="1:7">
      <c r="A58" s="480" t="s">
        <v>2305</v>
      </c>
      <c r="B58" s="480">
        <v>3400000403</v>
      </c>
      <c r="C58" s="496" t="s">
        <v>1293</v>
      </c>
      <c r="D58" s="497">
        <v>44224</v>
      </c>
      <c r="E58" s="498">
        <v>99108</v>
      </c>
      <c r="F58" s="496">
        <v>1002020003</v>
      </c>
      <c r="G58" s="496" t="s">
        <v>2306</v>
      </c>
    </row>
    <row r="59" spans="1:7">
      <c r="A59" s="480" t="s">
        <v>2305</v>
      </c>
      <c r="B59" s="480">
        <v>3400000409</v>
      </c>
      <c r="C59" s="496" t="s">
        <v>1293</v>
      </c>
      <c r="D59" s="497">
        <v>44226</v>
      </c>
      <c r="E59" s="498">
        <v>99108</v>
      </c>
      <c r="F59" s="496">
        <v>1002020003</v>
      </c>
      <c r="G59" s="496" t="s">
        <v>2306</v>
      </c>
    </row>
    <row r="60" spans="1:7">
      <c r="A60" s="480" t="s">
        <v>2307</v>
      </c>
      <c r="B60" s="480">
        <v>3400000245</v>
      </c>
      <c r="C60" s="496" t="s">
        <v>1293</v>
      </c>
      <c r="D60" s="497">
        <v>43849</v>
      </c>
      <c r="E60" s="498">
        <v>109781</v>
      </c>
      <c r="F60" s="496">
        <v>1002030099</v>
      </c>
      <c r="G60" s="496" t="s">
        <v>2320</v>
      </c>
    </row>
    <row r="61" spans="1:7">
      <c r="A61" s="480" t="s">
        <v>2311</v>
      </c>
      <c r="B61" s="480">
        <v>3400000260</v>
      </c>
      <c r="C61" s="496" t="s">
        <v>1293</v>
      </c>
      <c r="D61" s="497">
        <v>43849</v>
      </c>
      <c r="E61" s="498">
        <v>131560</v>
      </c>
      <c r="F61" s="496">
        <v>1002030099</v>
      </c>
      <c r="G61" s="496" t="s">
        <v>2321</v>
      </c>
    </row>
    <row r="62" spans="1:7">
      <c r="A62" s="480" t="s">
        <v>2305</v>
      </c>
      <c r="B62" s="480">
        <v>3400000348</v>
      </c>
      <c r="C62" s="496" t="s">
        <v>1293</v>
      </c>
      <c r="D62" s="497">
        <v>44224</v>
      </c>
      <c r="E62" s="498">
        <v>121978</v>
      </c>
      <c r="F62" s="496">
        <v>1002030099</v>
      </c>
      <c r="G62" s="496" t="s">
        <v>2322</v>
      </c>
    </row>
    <row r="63" spans="1:7">
      <c r="A63" s="480" t="s">
        <v>2314</v>
      </c>
      <c r="B63" s="480">
        <v>3400000383</v>
      </c>
      <c r="C63" s="496" t="s">
        <v>1293</v>
      </c>
      <c r="D63" s="497">
        <v>44224</v>
      </c>
      <c r="E63" s="498">
        <v>131560</v>
      </c>
      <c r="F63" s="496">
        <v>1002030099</v>
      </c>
      <c r="G63" s="496" t="s">
        <v>2323</v>
      </c>
    </row>
    <row r="64" spans="1:7">
      <c r="A64" s="480" t="s">
        <v>2305</v>
      </c>
      <c r="B64" s="480">
        <v>3400000401</v>
      </c>
      <c r="C64" s="496" t="s">
        <v>1293</v>
      </c>
      <c r="D64" s="497">
        <v>44224</v>
      </c>
      <c r="E64" s="498">
        <v>99108</v>
      </c>
      <c r="F64" s="496">
        <v>1002030099</v>
      </c>
      <c r="G64" s="496" t="s">
        <v>2306</v>
      </c>
    </row>
    <row r="65" spans="1:7">
      <c r="A65" s="480" t="s">
        <v>2303</v>
      </c>
      <c r="B65" s="480">
        <v>3400000402</v>
      </c>
      <c r="C65" s="496" t="s">
        <v>1293</v>
      </c>
      <c r="D65" s="497">
        <v>44224</v>
      </c>
      <c r="E65" s="498">
        <v>29381</v>
      </c>
      <c r="F65" s="496">
        <v>1002030099</v>
      </c>
      <c r="G65" s="496" t="s">
        <v>2304</v>
      </c>
    </row>
    <row r="66" spans="1:7">
      <c r="A66" s="480" t="s">
        <v>2305</v>
      </c>
      <c r="B66" s="480">
        <v>3400000403</v>
      </c>
      <c r="C66" s="496" t="s">
        <v>1293</v>
      </c>
      <c r="D66" s="497">
        <v>44224</v>
      </c>
      <c r="E66" s="498">
        <v>99108</v>
      </c>
      <c r="F66" s="496">
        <v>1002030099</v>
      </c>
      <c r="G66" s="496" t="s">
        <v>2306</v>
      </c>
    </row>
    <row r="67" spans="1:7">
      <c r="A67" s="480" t="s">
        <v>2305</v>
      </c>
      <c r="B67" s="480">
        <v>3400000409</v>
      </c>
      <c r="C67" s="496" t="s">
        <v>1293</v>
      </c>
      <c r="D67" s="497">
        <v>44226</v>
      </c>
      <c r="E67" s="498">
        <v>99108</v>
      </c>
      <c r="F67" s="496">
        <v>1002030099</v>
      </c>
      <c r="G67" s="496" t="s">
        <v>2306</v>
      </c>
    </row>
    <row r="68" spans="1:7">
      <c r="A68" s="480" t="s">
        <v>2261</v>
      </c>
      <c r="B68" s="480">
        <v>3400000370</v>
      </c>
      <c r="C68" s="496" t="s">
        <v>1293</v>
      </c>
      <c r="D68" s="497">
        <v>44224</v>
      </c>
      <c r="E68" s="498">
        <v>46166</v>
      </c>
      <c r="F68" s="496">
        <v>1003010001</v>
      </c>
      <c r="G68" s="496" t="s">
        <v>2324</v>
      </c>
    </row>
    <row r="69" spans="1:7">
      <c r="A69" s="480" t="s">
        <v>2305</v>
      </c>
      <c r="B69" s="480">
        <v>3400000401</v>
      </c>
      <c r="C69" s="496" t="s">
        <v>1293</v>
      </c>
      <c r="D69" s="497">
        <v>44224</v>
      </c>
      <c r="E69" s="498">
        <v>99108</v>
      </c>
      <c r="F69" s="496">
        <v>1003010001</v>
      </c>
      <c r="G69" s="496" t="s">
        <v>2306</v>
      </c>
    </row>
    <row r="70" spans="1:7">
      <c r="A70" s="480" t="s">
        <v>2303</v>
      </c>
      <c r="B70" s="480">
        <v>3400000402</v>
      </c>
      <c r="C70" s="496" t="s">
        <v>1293</v>
      </c>
      <c r="D70" s="497">
        <v>44224</v>
      </c>
      <c r="E70" s="498">
        <v>29381</v>
      </c>
      <c r="F70" s="496">
        <v>1003010001</v>
      </c>
      <c r="G70" s="496" t="s">
        <v>2304</v>
      </c>
    </row>
    <row r="71" spans="1:7">
      <c r="A71" s="480" t="s">
        <v>2305</v>
      </c>
      <c r="B71" s="480">
        <v>3400000403</v>
      </c>
      <c r="C71" s="496" t="s">
        <v>1293</v>
      </c>
      <c r="D71" s="497">
        <v>44224</v>
      </c>
      <c r="E71" s="498">
        <v>99108</v>
      </c>
      <c r="F71" s="496">
        <v>1003010001</v>
      </c>
      <c r="G71" s="496" t="s">
        <v>2306</v>
      </c>
    </row>
    <row r="72" spans="1:7">
      <c r="A72" s="480" t="s">
        <v>2305</v>
      </c>
      <c r="B72" s="480">
        <v>3400000409</v>
      </c>
      <c r="C72" s="496" t="s">
        <v>1293</v>
      </c>
      <c r="D72" s="497">
        <v>44226</v>
      </c>
      <c r="E72" s="498">
        <v>99108</v>
      </c>
      <c r="F72" s="496">
        <v>1003010001</v>
      </c>
      <c r="G72" s="496" t="s">
        <v>2306</v>
      </c>
    </row>
    <row r="73" spans="1:7">
      <c r="A73" s="480" t="s">
        <v>2265</v>
      </c>
      <c r="B73" s="480">
        <v>3400000389</v>
      </c>
      <c r="C73" s="496" t="s">
        <v>1293</v>
      </c>
      <c r="D73" s="497">
        <v>44224</v>
      </c>
      <c r="E73" s="498">
        <v>68337</v>
      </c>
      <c r="F73" s="496">
        <v>1003010003</v>
      </c>
      <c r="G73" s="496" t="s">
        <v>2325</v>
      </c>
    </row>
    <row r="74" spans="1:7">
      <c r="A74" s="480" t="s">
        <v>2326</v>
      </c>
      <c r="B74" s="480">
        <v>3400000246</v>
      </c>
      <c r="C74" s="496" t="s">
        <v>1293</v>
      </c>
      <c r="D74" s="497">
        <v>43849</v>
      </c>
      <c r="E74" s="498">
        <v>92332</v>
      </c>
      <c r="F74" s="496">
        <v>1003010004</v>
      </c>
      <c r="G74" s="496" t="s">
        <v>2327</v>
      </c>
    </row>
    <row r="75" spans="1:7">
      <c r="A75" s="480" t="s">
        <v>2328</v>
      </c>
      <c r="B75" s="480">
        <v>3400000247</v>
      </c>
      <c r="C75" s="496" t="s">
        <v>1293</v>
      </c>
      <c r="D75" s="497">
        <v>43849</v>
      </c>
      <c r="E75" s="498">
        <v>92332</v>
      </c>
      <c r="F75" s="496">
        <v>1003010004</v>
      </c>
      <c r="G75" s="496" t="s">
        <v>2329</v>
      </c>
    </row>
    <row r="76" spans="1:7">
      <c r="A76" s="480" t="s">
        <v>2330</v>
      </c>
      <c r="B76" s="480">
        <v>3400000340</v>
      </c>
      <c r="C76" s="496" t="s">
        <v>1293</v>
      </c>
      <c r="D76" s="497">
        <v>44222</v>
      </c>
      <c r="E76" s="498">
        <v>92332</v>
      </c>
      <c r="F76" s="496">
        <v>1003010004</v>
      </c>
      <c r="G76" s="496" t="s">
        <v>2327</v>
      </c>
    </row>
    <row r="77" spans="1:7">
      <c r="A77" s="480" t="s">
        <v>2331</v>
      </c>
      <c r="B77" s="480">
        <v>3400000366</v>
      </c>
      <c r="C77" s="496" t="s">
        <v>1293</v>
      </c>
      <c r="D77" s="497">
        <v>44224</v>
      </c>
      <c r="E77" s="498">
        <v>92332</v>
      </c>
      <c r="F77" s="496">
        <v>1003010004</v>
      </c>
      <c r="G77" s="496" t="s">
        <v>2332</v>
      </c>
    </row>
    <row r="78" spans="1:7">
      <c r="A78" s="480" t="s">
        <v>2271</v>
      </c>
      <c r="B78" s="480">
        <v>3400000334</v>
      </c>
      <c r="C78" s="496" t="s">
        <v>1293</v>
      </c>
      <c r="D78" s="497">
        <v>44222</v>
      </c>
      <c r="E78" s="498">
        <v>46166</v>
      </c>
      <c r="F78" s="496">
        <v>1003010005</v>
      </c>
      <c r="G78" s="496" t="s">
        <v>2333</v>
      </c>
    </row>
    <row r="79" spans="1:7">
      <c r="A79" s="480" t="s">
        <v>2275</v>
      </c>
      <c r="B79" s="480">
        <v>3400000397</v>
      </c>
      <c r="C79" s="496" t="s">
        <v>1293</v>
      </c>
      <c r="D79" s="497">
        <v>43853</v>
      </c>
      <c r="E79" s="498">
        <v>68337</v>
      </c>
      <c r="F79" s="496">
        <v>1003010006</v>
      </c>
      <c r="G79" s="496" t="s">
        <v>2334</v>
      </c>
    </row>
    <row r="80" spans="1:7">
      <c r="A80" s="480" t="s">
        <v>2277</v>
      </c>
      <c r="B80" s="480">
        <v>3400000350</v>
      </c>
      <c r="C80" s="496" t="s">
        <v>1293</v>
      </c>
      <c r="D80" s="497">
        <v>44224</v>
      </c>
      <c r="E80" s="498">
        <v>68337</v>
      </c>
      <c r="F80" s="496">
        <v>1003010006</v>
      </c>
      <c r="G80" s="496" t="s">
        <v>2335</v>
      </c>
    </row>
    <row r="81" spans="1:7">
      <c r="A81" s="480" t="s">
        <v>2282</v>
      </c>
      <c r="B81" s="480">
        <v>3400000386</v>
      </c>
      <c r="C81" s="496" t="s">
        <v>1293</v>
      </c>
      <c r="D81" s="497">
        <v>44224</v>
      </c>
      <c r="E81" s="498">
        <v>46166</v>
      </c>
      <c r="F81" s="496">
        <v>1003010007</v>
      </c>
      <c r="G81" s="496" t="s">
        <v>2336</v>
      </c>
    </row>
    <row r="82" spans="1:7">
      <c r="A82" s="480" t="s">
        <v>2289</v>
      </c>
      <c r="B82" s="480">
        <v>3400000385</v>
      </c>
      <c r="C82" s="496" t="s">
        <v>1293</v>
      </c>
      <c r="D82" s="497">
        <v>44224</v>
      </c>
      <c r="E82" s="498">
        <v>46167</v>
      </c>
      <c r="F82" s="496">
        <v>1003010009</v>
      </c>
      <c r="G82" s="496" t="s">
        <v>2337</v>
      </c>
    </row>
    <row r="83" spans="1:7">
      <c r="A83" s="480" t="s">
        <v>2338</v>
      </c>
      <c r="B83" s="480">
        <v>6100002822</v>
      </c>
      <c r="C83" s="496" t="s">
        <v>631</v>
      </c>
      <c r="D83" s="497">
        <v>43840</v>
      </c>
      <c r="E83" s="498">
        <v>110000</v>
      </c>
      <c r="F83" s="496">
        <v>1003010011</v>
      </c>
      <c r="G83" s="496" t="s">
        <v>2339</v>
      </c>
    </row>
    <row r="84" spans="1:7">
      <c r="A84" s="480" t="s">
        <v>2340</v>
      </c>
      <c r="B84" s="480">
        <v>3400000396</v>
      </c>
      <c r="C84" s="496" t="s">
        <v>1293</v>
      </c>
      <c r="D84" s="497">
        <v>43853</v>
      </c>
      <c r="E84" s="498">
        <v>76031</v>
      </c>
      <c r="F84" s="496">
        <v>1003010015</v>
      </c>
      <c r="G84" s="496" t="s">
        <v>2341</v>
      </c>
    </row>
    <row r="85" spans="1:7">
      <c r="A85" s="480" t="s">
        <v>2342</v>
      </c>
      <c r="B85" s="480">
        <v>6100007385</v>
      </c>
      <c r="C85" s="496" t="s">
        <v>631</v>
      </c>
      <c r="D85" s="497">
        <v>43852</v>
      </c>
      <c r="E85" s="498">
        <v>199160</v>
      </c>
      <c r="F85" s="496">
        <v>1003010019</v>
      </c>
      <c r="G85" s="496" t="s">
        <v>2285</v>
      </c>
    </row>
    <row r="86" spans="1:7">
      <c r="A86" s="480" t="s">
        <v>2343</v>
      </c>
      <c r="B86" s="480">
        <v>6100007368</v>
      </c>
      <c r="C86" s="496" t="s">
        <v>631</v>
      </c>
      <c r="D86" s="497">
        <v>43852</v>
      </c>
      <c r="E86" s="498">
        <v>96310</v>
      </c>
      <c r="F86" s="496">
        <v>1003010020</v>
      </c>
      <c r="G86" s="496" t="s">
        <v>2285</v>
      </c>
    </row>
    <row r="87" spans="1:7">
      <c r="A87" s="480" t="s">
        <v>2344</v>
      </c>
      <c r="B87" s="480">
        <v>3400000395</v>
      </c>
      <c r="C87" s="496" t="s">
        <v>1293</v>
      </c>
      <c r="D87" s="497">
        <v>43853</v>
      </c>
      <c r="E87" s="498">
        <v>126480</v>
      </c>
      <c r="F87" s="496">
        <v>1003010021</v>
      </c>
      <c r="G87" s="496" t="s">
        <v>2345</v>
      </c>
    </row>
    <row r="88" spans="1:7">
      <c r="A88" s="480" t="s">
        <v>2346</v>
      </c>
      <c r="B88" s="480">
        <v>3400000257</v>
      </c>
      <c r="C88" s="496" t="s">
        <v>1293</v>
      </c>
      <c r="D88" s="497">
        <v>43849</v>
      </c>
      <c r="E88" s="498">
        <v>110479</v>
      </c>
      <c r="F88" s="496">
        <v>1003010023</v>
      </c>
      <c r="G88" s="496" t="s">
        <v>2347</v>
      </c>
    </row>
    <row r="89" spans="1:7">
      <c r="A89" s="480" t="s">
        <v>2348</v>
      </c>
      <c r="B89" s="480">
        <v>3400000259</v>
      </c>
      <c r="C89" s="496" t="s">
        <v>1293</v>
      </c>
      <c r="D89" s="497">
        <v>43849</v>
      </c>
      <c r="E89" s="498">
        <v>126480</v>
      </c>
      <c r="F89" s="496">
        <v>1003010024</v>
      </c>
      <c r="G89" s="496" t="s">
        <v>2349</v>
      </c>
    </row>
    <row r="90" spans="1:7">
      <c r="A90" s="480" t="s">
        <v>2350</v>
      </c>
      <c r="B90" s="480">
        <v>3400000251</v>
      </c>
      <c r="C90" s="496" t="s">
        <v>1293</v>
      </c>
      <c r="D90" s="497">
        <v>43849</v>
      </c>
      <c r="E90" s="498">
        <v>126480</v>
      </c>
      <c r="F90" s="496">
        <v>1003010025</v>
      </c>
      <c r="G90" s="496" t="s">
        <v>2351</v>
      </c>
    </row>
    <row r="91" spans="1:7">
      <c r="A91" s="480" t="s">
        <v>2352</v>
      </c>
      <c r="B91" s="480">
        <v>3400000253</v>
      </c>
      <c r="C91" s="496" t="s">
        <v>1293</v>
      </c>
      <c r="D91" s="497">
        <v>43849</v>
      </c>
      <c r="E91" s="498">
        <v>110479</v>
      </c>
      <c r="F91" s="496">
        <v>1003010027</v>
      </c>
      <c r="G91" s="496" t="s">
        <v>2353</v>
      </c>
    </row>
    <row r="92" spans="1:7">
      <c r="A92" s="480" t="s">
        <v>2354</v>
      </c>
      <c r="B92" s="480">
        <v>3400000250</v>
      </c>
      <c r="C92" s="496" t="s">
        <v>1293</v>
      </c>
      <c r="D92" s="497">
        <v>43849</v>
      </c>
      <c r="E92" s="498">
        <v>68223</v>
      </c>
      <c r="F92" s="496">
        <v>1003010028</v>
      </c>
      <c r="G92" s="496" t="s">
        <v>2355</v>
      </c>
    </row>
    <row r="93" spans="1:7">
      <c r="A93" s="480" t="s">
        <v>2356</v>
      </c>
      <c r="B93" s="480">
        <v>3400000262</v>
      </c>
      <c r="C93" s="496" t="s">
        <v>1293</v>
      </c>
      <c r="D93" s="497">
        <v>43849</v>
      </c>
      <c r="E93" s="498">
        <v>92332</v>
      </c>
      <c r="F93" s="496">
        <v>1003030004</v>
      </c>
      <c r="G93" s="496" t="s">
        <v>2357</v>
      </c>
    </row>
    <row r="94" spans="1:7">
      <c r="A94" s="480" t="s">
        <v>2358</v>
      </c>
      <c r="B94" s="480">
        <v>3400000351</v>
      </c>
      <c r="C94" s="496" t="s">
        <v>1293</v>
      </c>
      <c r="D94" s="497">
        <v>44224</v>
      </c>
      <c r="E94" s="498">
        <v>92332</v>
      </c>
      <c r="F94" s="496">
        <v>1003030004</v>
      </c>
      <c r="G94" s="496" t="s">
        <v>2359</v>
      </c>
    </row>
    <row r="95" spans="1:7">
      <c r="A95" s="480" t="s">
        <v>2358</v>
      </c>
      <c r="B95" s="480">
        <v>3400000352</v>
      </c>
      <c r="C95" s="496" t="s">
        <v>1293</v>
      </c>
      <c r="D95" s="497">
        <v>44224</v>
      </c>
      <c r="E95" s="498">
        <v>92332</v>
      </c>
      <c r="F95" s="496">
        <v>1003030004</v>
      </c>
      <c r="G95" s="496" t="s">
        <v>2359</v>
      </c>
    </row>
    <row r="96" spans="1:7">
      <c r="A96" s="480" t="s">
        <v>2305</v>
      </c>
      <c r="B96" s="480">
        <v>3400000401</v>
      </c>
      <c r="C96" s="496" t="s">
        <v>1293</v>
      </c>
      <c r="D96" s="497">
        <v>44224</v>
      </c>
      <c r="E96" s="498">
        <v>99107</v>
      </c>
      <c r="F96" s="496">
        <v>1003990001</v>
      </c>
      <c r="G96" s="496" t="s">
        <v>2306</v>
      </c>
    </row>
    <row r="97" spans="1:7">
      <c r="A97" s="480" t="s">
        <v>2303</v>
      </c>
      <c r="B97" s="480">
        <v>3400000402</v>
      </c>
      <c r="C97" s="496" t="s">
        <v>1293</v>
      </c>
      <c r="D97" s="497">
        <v>44224</v>
      </c>
      <c r="E97" s="498">
        <v>29381</v>
      </c>
      <c r="F97" s="496">
        <v>1003990001</v>
      </c>
      <c r="G97" s="496" t="s">
        <v>2304</v>
      </c>
    </row>
    <row r="98" spans="1:7">
      <c r="A98" s="480" t="s">
        <v>2305</v>
      </c>
      <c r="B98" s="480">
        <v>3400000403</v>
      </c>
      <c r="C98" s="496" t="s">
        <v>1293</v>
      </c>
      <c r="D98" s="497">
        <v>44224</v>
      </c>
      <c r="E98" s="498">
        <v>99107</v>
      </c>
      <c r="F98" s="496">
        <v>1003990001</v>
      </c>
      <c r="G98" s="496" t="s">
        <v>2306</v>
      </c>
    </row>
    <row r="99" spans="1:7">
      <c r="A99" s="480" t="s">
        <v>2360</v>
      </c>
      <c r="B99" s="480">
        <v>3400000407</v>
      </c>
      <c r="C99" s="496" t="s">
        <v>1293</v>
      </c>
      <c r="D99" s="497">
        <v>44225</v>
      </c>
      <c r="E99" s="498">
        <v>96311</v>
      </c>
      <c r="F99" s="496">
        <v>1003990001</v>
      </c>
      <c r="G99" s="496" t="s">
        <v>2361</v>
      </c>
    </row>
    <row r="100" spans="1:7">
      <c r="A100" s="480" t="s">
        <v>2305</v>
      </c>
      <c r="B100" s="480">
        <v>3400000409</v>
      </c>
      <c r="C100" s="496" t="s">
        <v>1293</v>
      </c>
      <c r="D100" s="497">
        <v>44226</v>
      </c>
      <c r="E100" s="498">
        <v>99107</v>
      </c>
      <c r="F100" s="496">
        <v>1003990001</v>
      </c>
      <c r="G100" s="496" t="s">
        <v>2306</v>
      </c>
    </row>
    <row r="101" spans="1:7">
      <c r="A101" s="480" t="s">
        <v>2362</v>
      </c>
      <c r="B101" s="480">
        <v>6100007649</v>
      </c>
      <c r="C101" s="496" t="s">
        <v>631</v>
      </c>
      <c r="D101" s="497">
        <v>44214</v>
      </c>
      <c r="E101" s="498">
        <v>29141</v>
      </c>
      <c r="F101" s="496">
        <v>1003990001</v>
      </c>
      <c r="G101" s="496" t="s">
        <v>2285</v>
      </c>
    </row>
    <row r="102" spans="1:7">
      <c r="A102" s="480" t="s">
        <v>2303</v>
      </c>
      <c r="B102" s="480">
        <v>3400000402</v>
      </c>
      <c r="C102" s="496" t="s">
        <v>1293</v>
      </c>
      <c r="D102" s="497">
        <v>44224</v>
      </c>
      <c r="E102" s="498">
        <v>29381</v>
      </c>
      <c r="F102" s="496">
        <v>1003990007</v>
      </c>
      <c r="G102" s="496" t="s">
        <v>2304</v>
      </c>
    </row>
    <row r="103" spans="1:7">
      <c r="A103" s="480" t="s">
        <v>2307</v>
      </c>
      <c r="B103" s="480">
        <v>3400000245</v>
      </c>
      <c r="C103" s="496" t="s">
        <v>1293</v>
      </c>
      <c r="D103" s="497">
        <v>43849</v>
      </c>
      <c r="E103" s="498">
        <v>158573</v>
      </c>
      <c r="F103" s="496">
        <v>1004010001</v>
      </c>
      <c r="G103" s="496" t="s">
        <v>2363</v>
      </c>
    </row>
    <row r="104" spans="1:7">
      <c r="A104" s="480" t="s">
        <v>2305</v>
      </c>
      <c r="B104" s="480">
        <v>3400000348</v>
      </c>
      <c r="C104" s="496" t="s">
        <v>1293</v>
      </c>
      <c r="D104" s="497">
        <v>44224</v>
      </c>
      <c r="E104" s="498">
        <v>121980</v>
      </c>
      <c r="F104" s="496">
        <v>1004010001</v>
      </c>
      <c r="G104" s="496" t="s">
        <v>2364</v>
      </c>
    </row>
    <row r="105" spans="1:7">
      <c r="A105" s="480" t="s">
        <v>2305</v>
      </c>
      <c r="B105" s="480">
        <v>3400000401</v>
      </c>
      <c r="C105" s="496" t="s">
        <v>1293</v>
      </c>
      <c r="D105" s="497">
        <v>44224</v>
      </c>
      <c r="E105" s="498">
        <v>99108</v>
      </c>
      <c r="F105" s="496">
        <v>1004010001</v>
      </c>
      <c r="G105" s="496" t="s">
        <v>2306</v>
      </c>
    </row>
    <row r="106" spans="1:7">
      <c r="A106" s="480" t="s">
        <v>2303</v>
      </c>
      <c r="B106" s="480">
        <v>3400000402</v>
      </c>
      <c r="C106" s="496" t="s">
        <v>1293</v>
      </c>
      <c r="D106" s="497">
        <v>44224</v>
      </c>
      <c r="E106" s="498">
        <v>29381</v>
      </c>
      <c r="F106" s="496">
        <v>1004010001</v>
      </c>
      <c r="G106" s="496" t="s">
        <v>2304</v>
      </c>
    </row>
    <row r="107" spans="1:7">
      <c r="A107" s="480" t="s">
        <v>2305</v>
      </c>
      <c r="B107" s="480">
        <v>3400000403</v>
      </c>
      <c r="C107" s="496" t="s">
        <v>1293</v>
      </c>
      <c r="D107" s="497">
        <v>44224</v>
      </c>
      <c r="E107" s="498">
        <v>99108</v>
      </c>
      <c r="F107" s="496">
        <v>1004010001</v>
      </c>
      <c r="G107" s="496" t="s">
        <v>2306</v>
      </c>
    </row>
    <row r="108" spans="1:7">
      <c r="A108" s="480" t="s">
        <v>2305</v>
      </c>
      <c r="B108" s="480">
        <v>3400000409</v>
      </c>
      <c r="C108" s="496" t="s">
        <v>1293</v>
      </c>
      <c r="D108" s="497">
        <v>44226</v>
      </c>
      <c r="E108" s="498">
        <v>99108</v>
      </c>
      <c r="F108" s="496">
        <v>1004010001</v>
      </c>
      <c r="G108" s="496" t="s">
        <v>2306</v>
      </c>
    </row>
    <row r="109" spans="1:7">
      <c r="A109" s="480" t="s">
        <v>2365</v>
      </c>
      <c r="B109" s="480">
        <v>3400000254</v>
      </c>
      <c r="C109" s="496" t="s">
        <v>1293</v>
      </c>
      <c r="D109" s="497">
        <v>43849</v>
      </c>
      <c r="E109" s="498">
        <v>92332</v>
      </c>
      <c r="F109" s="496">
        <v>1004010004</v>
      </c>
      <c r="G109" s="496" t="s">
        <v>2366</v>
      </c>
    </row>
    <row r="110" spans="1:7">
      <c r="A110" s="480" t="s">
        <v>2367</v>
      </c>
      <c r="B110" s="480">
        <v>3400000393</v>
      </c>
      <c r="C110" s="496" t="s">
        <v>1293</v>
      </c>
      <c r="D110" s="497">
        <v>43853</v>
      </c>
      <c r="E110" s="498">
        <v>126480</v>
      </c>
      <c r="F110" s="496">
        <v>1004010005</v>
      </c>
      <c r="G110" s="496" t="s">
        <v>2368</v>
      </c>
    </row>
    <row r="111" spans="1:7">
      <c r="A111" s="480" t="s">
        <v>2269</v>
      </c>
      <c r="B111" s="480">
        <v>3400000346</v>
      </c>
      <c r="C111" s="496" t="s">
        <v>1293</v>
      </c>
      <c r="D111" s="497">
        <v>44224</v>
      </c>
      <c r="E111" s="498">
        <v>92332</v>
      </c>
      <c r="F111" s="496">
        <v>1004010005</v>
      </c>
      <c r="G111" s="496" t="s">
        <v>2270</v>
      </c>
    </row>
    <row r="112" spans="1:7">
      <c r="A112" s="480" t="s">
        <v>2369</v>
      </c>
      <c r="B112" s="480">
        <v>3400000356</v>
      </c>
      <c r="C112" s="496" t="s">
        <v>1293</v>
      </c>
      <c r="D112" s="497">
        <v>44224</v>
      </c>
      <c r="E112" s="498">
        <v>126480</v>
      </c>
      <c r="F112" s="496">
        <v>1004010005</v>
      </c>
      <c r="G112" s="496" t="s">
        <v>2370</v>
      </c>
    </row>
    <row r="113" spans="1:7">
      <c r="A113" s="480" t="s">
        <v>2371</v>
      </c>
      <c r="B113" s="480">
        <v>6100007893</v>
      </c>
      <c r="C113" s="496" t="s">
        <v>631</v>
      </c>
      <c r="D113" s="497">
        <v>43854</v>
      </c>
      <c r="E113" s="498">
        <v>75282</v>
      </c>
      <c r="F113" s="496">
        <v>1004010006</v>
      </c>
      <c r="G113" s="496" t="s">
        <v>2285</v>
      </c>
    </row>
    <row r="114" spans="1:7">
      <c r="A114" s="480" t="s">
        <v>2303</v>
      </c>
      <c r="B114" s="480">
        <v>3400000402</v>
      </c>
      <c r="C114" s="496" t="s">
        <v>1293</v>
      </c>
      <c r="D114" s="497">
        <v>44224</v>
      </c>
      <c r="E114" s="498">
        <v>29381</v>
      </c>
      <c r="F114" s="496">
        <v>1005010099</v>
      </c>
      <c r="G114" s="496" t="s">
        <v>2304</v>
      </c>
    </row>
    <row r="115" spans="1:7">
      <c r="A115" s="480" t="s">
        <v>2372</v>
      </c>
      <c r="B115" s="480">
        <v>3400000190</v>
      </c>
      <c r="C115" s="496" t="s">
        <v>1293</v>
      </c>
      <c r="D115" s="497">
        <v>43848</v>
      </c>
      <c r="E115" s="498">
        <v>47452</v>
      </c>
      <c r="F115" s="496">
        <v>1007010001</v>
      </c>
      <c r="G115" s="496" t="s">
        <v>2373</v>
      </c>
    </row>
    <row r="116" spans="1:7">
      <c r="A116" s="480" t="s">
        <v>2372</v>
      </c>
      <c r="B116" s="480">
        <v>3400000190</v>
      </c>
      <c r="C116" s="496" t="s">
        <v>1293</v>
      </c>
      <c r="D116" s="497">
        <v>43848</v>
      </c>
      <c r="E116" s="498">
        <v>78</v>
      </c>
      <c r="F116" s="496">
        <v>1007010001</v>
      </c>
      <c r="G116" s="496" t="s">
        <v>2373</v>
      </c>
    </row>
    <row r="117" spans="1:7">
      <c r="A117" s="480" t="s">
        <v>2372</v>
      </c>
      <c r="B117" s="480">
        <v>3400000190</v>
      </c>
      <c r="C117" s="496" t="s">
        <v>1293</v>
      </c>
      <c r="D117" s="497">
        <v>43848</v>
      </c>
      <c r="E117" s="498">
        <v>28098</v>
      </c>
      <c r="F117" s="496">
        <v>1007010001</v>
      </c>
      <c r="G117" s="496" t="s">
        <v>2373</v>
      </c>
    </row>
    <row r="118" spans="1:7">
      <c r="A118" s="480" t="s">
        <v>2374</v>
      </c>
      <c r="B118" s="480">
        <v>3400000191</v>
      </c>
      <c r="C118" s="496" t="s">
        <v>1293</v>
      </c>
      <c r="D118" s="497">
        <v>43848</v>
      </c>
      <c r="E118" s="498">
        <v>47452</v>
      </c>
      <c r="F118" s="496">
        <v>1007010001</v>
      </c>
      <c r="G118" s="496" t="s">
        <v>2373</v>
      </c>
    </row>
    <row r="119" spans="1:7">
      <c r="A119" s="480" t="s">
        <v>2374</v>
      </c>
      <c r="B119" s="480">
        <v>3400000191</v>
      </c>
      <c r="C119" s="496" t="s">
        <v>1293</v>
      </c>
      <c r="D119" s="497">
        <v>43848</v>
      </c>
      <c r="E119" s="498">
        <v>78</v>
      </c>
      <c r="F119" s="496">
        <v>1007010001</v>
      </c>
      <c r="G119" s="496" t="s">
        <v>2373</v>
      </c>
    </row>
    <row r="120" spans="1:7">
      <c r="A120" s="480" t="s">
        <v>2374</v>
      </c>
      <c r="B120" s="480">
        <v>3400000191</v>
      </c>
      <c r="C120" s="496" t="s">
        <v>1293</v>
      </c>
      <c r="D120" s="497">
        <v>43848</v>
      </c>
      <c r="E120" s="498">
        <v>28098</v>
      </c>
      <c r="F120" s="496">
        <v>1007010001</v>
      </c>
      <c r="G120" s="496" t="s">
        <v>2373</v>
      </c>
    </row>
    <row r="121" spans="1:7">
      <c r="A121" s="480" t="s">
        <v>2307</v>
      </c>
      <c r="B121" s="480">
        <v>3400000245</v>
      </c>
      <c r="C121" s="496" t="s">
        <v>1293</v>
      </c>
      <c r="D121" s="497">
        <v>43849</v>
      </c>
      <c r="E121" s="498">
        <v>109781</v>
      </c>
      <c r="F121" s="496">
        <v>1007010001</v>
      </c>
      <c r="G121" s="496" t="s">
        <v>2375</v>
      </c>
    </row>
    <row r="122" spans="1:7">
      <c r="A122" s="480" t="s">
        <v>2311</v>
      </c>
      <c r="B122" s="480">
        <v>3400000260</v>
      </c>
      <c r="C122" s="496" t="s">
        <v>1293</v>
      </c>
      <c r="D122" s="497">
        <v>43849</v>
      </c>
      <c r="E122" s="498">
        <v>131560</v>
      </c>
      <c r="F122" s="496">
        <v>1007010001</v>
      </c>
      <c r="G122" s="496" t="s">
        <v>2376</v>
      </c>
    </row>
    <row r="123" spans="1:7">
      <c r="A123" s="480" t="s">
        <v>2377</v>
      </c>
      <c r="B123" s="480">
        <v>6100004433</v>
      </c>
      <c r="C123" s="496" t="s">
        <v>631</v>
      </c>
      <c r="D123" s="497">
        <v>43843</v>
      </c>
      <c r="E123" s="498">
        <v>148933</v>
      </c>
      <c r="F123" s="496">
        <v>1007010001</v>
      </c>
      <c r="G123" s="496" t="s">
        <v>2285</v>
      </c>
    </row>
    <row r="124" spans="1:7">
      <c r="A124" s="480" t="s">
        <v>2378</v>
      </c>
      <c r="B124" s="480">
        <v>3400000121</v>
      </c>
      <c r="C124" s="496" t="s">
        <v>1293</v>
      </c>
      <c r="D124" s="497">
        <v>44210</v>
      </c>
      <c r="E124" s="498">
        <v>70499</v>
      </c>
      <c r="F124" s="496">
        <v>1007010001</v>
      </c>
      <c r="G124" s="496" t="s">
        <v>2379</v>
      </c>
    </row>
    <row r="125" spans="1:7">
      <c r="A125" s="480" t="s">
        <v>2378</v>
      </c>
      <c r="B125" s="480">
        <v>3400000121</v>
      </c>
      <c r="C125" s="496" t="s">
        <v>1293</v>
      </c>
      <c r="D125" s="497">
        <v>44210</v>
      </c>
      <c r="E125" s="498">
        <v>640</v>
      </c>
      <c r="F125" s="496">
        <v>1007010001</v>
      </c>
      <c r="G125" s="496" t="s">
        <v>2379</v>
      </c>
    </row>
    <row r="126" spans="1:7">
      <c r="A126" s="480" t="s">
        <v>2380</v>
      </c>
      <c r="B126" s="480">
        <v>3400000122</v>
      </c>
      <c r="C126" s="496" t="s">
        <v>1293</v>
      </c>
      <c r="D126" s="497">
        <v>44210</v>
      </c>
      <c r="E126" s="498">
        <v>70499</v>
      </c>
      <c r="F126" s="496">
        <v>1007010001</v>
      </c>
      <c r="G126" s="496" t="s">
        <v>2379</v>
      </c>
    </row>
    <row r="127" spans="1:7">
      <c r="A127" s="480" t="s">
        <v>2380</v>
      </c>
      <c r="B127" s="480">
        <v>3400000122</v>
      </c>
      <c r="C127" s="496" t="s">
        <v>1293</v>
      </c>
      <c r="D127" s="497">
        <v>44210</v>
      </c>
      <c r="E127" s="498">
        <v>640</v>
      </c>
      <c r="F127" s="496">
        <v>1007010001</v>
      </c>
      <c r="G127" s="496" t="s">
        <v>2379</v>
      </c>
    </row>
    <row r="128" spans="1:7">
      <c r="A128" s="480" t="s">
        <v>2305</v>
      </c>
      <c r="B128" s="480">
        <v>3400000348</v>
      </c>
      <c r="C128" s="496" t="s">
        <v>1293</v>
      </c>
      <c r="D128" s="497">
        <v>44224</v>
      </c>
      <c r="E128" s="498">
        <v>121980</v>
      </c>
      <c r="F128" s="496">
        <v>1007010001</v>
      </c>
      <c r="G128" s="496" t="s">
        <v>2381</v>
      </c>
    </row>
    <row r="129" spans="1:7">
      <c r="A129" s="480" t="s">
        <v>2382</v>
      </c>
      <c r="B129" s="480">
        <v>3400000377</v>
      </c>
      <c r="C129" s="496" t="s">
        <v>1293</v>
      </c>
      <c r="D129" s="497">
        <v>44224</v>
      </c>
      <c r="E129" s="498">
        <v>227141</v>
      </c>
      <c r="F129" s="496">
        <v>1007010001</v>
      </c>
      <c r="G129" s="496" t="s">
        <v>2383</v>
      </c>
    </row>
    <row r="130" spans="1:7">
      <c r="A130" s="480" t="s">
        <v>2314</v>
      </c>
      <c r="B130" s="480">
        <v>3400000383</v>
      </c>
      <c r="C130" s="496" t="s">
        <v>1293</v>
      </c>
      <c r="D130" s="497">
        <v>44224</v>
      </c>
      <c r="E130" s="498">
        <v>131560</v>
      </c>
      <c r="F130" s="496">
        <v>1007010001</v>
      </c>
      <c r="G130" s="496" t="s">
        <v>2384</v>
      </c>
    </row>
    <row r="131" spans="1:7">
      <c r="A131" s="480" t="s">
        <v>2305</v>
      </c>
      <c r="B131" s="480">
        <v>3400000401</v>
      </c>
      <c r="C131" s="496" t="s">
        <v>1293</v>
      </c>
      <c r="D131" s="497">
        <v>44224</v>
      </c>
      <c r="E131" s="498">
        <v>99108</v>
      </c>
      <c r="F131" s="496">
        <v>1007010001</v>
      </c>
      <c r="G131" s="496" t="s">
        <v>2306</v>
      </c>
    </row>
    <row r="132" spans="1:7">
      <c r="A132" s="480" t="s">
        <v>2305</v>
      </c>
      <c r="B132" s="480">
        <v>3400000403</v>
      </c>
      <c r="C132" s="496" t="s">
        <v>1293</v>
      </c>
      <c r="D132" s="497">
        <v>44224</v>
      </c>
      <c r="E132" s="498">
        <v>99108</v>
      </c>
      <c r="F132" s="496">
        <v>1007010001</v>
      </c>
      <c r="G132" s="496" t="s">
        <v>2306</v>
      </c>
    </row>
    <row r="133" spans="1:7">
      <c r="A133" s="480" t="s">
        <v>2305</v>
      </c>
      <c r="B133" s="480">
        <v>3400000409</v>
      </c>
      <c r="C133" s="496" t="s">
        <v>1293</v>
      </c>
      <c r="D133" s="497">
        <v>44226</v>
      </c>
      <c r="E133" s="498">
        <v>99108</v>
      </c>
      <c r="F133" s="496">
        <v>1007010001</v>
      </c>
      <c r="G133" s="496" t="s">
        <v>2306</v>
      </c>
    </row>
    <row r="134" spans="1:7">
      <c r="A134" s="480" t="s">
        <v>2385</v>
      </c>
      <c r="B134" s="480">
        <v>6100007407</v>
      </c>
      <c r="C134" s="496" t="s">
        <v>631</v>
      </c>
      <c r="D134" s="497">
        <v>44214</v>
      </c>
      <c r="E134" s="498">
        <v>155685</v>
      </c>
      <c r="F134" s="496">
        <v>1007010001</v>
      </c>
      <c r="G134" s="496" t="s">
        <v>2285</v>
      </c>
    </row>
    <row r="135" spans="1:7">
      <c r="A135" s="480" t="s">
        <v>2307</v>
      </c>
      <c r="B135" s="480">
        <v>3400000245</v>
      </c>
      <c r="C135" s="496" t="s">
        <v>1293</v>
      </c>
      <c r="D135" s="497">
        <v>43849</v>
      </c>
      <c r="E135" s="498">
        <v>109781</v>
      </c>
      <c r="F135" s="496">
        <v>1007010002</v>
      </c>
      <c r="G135" s="496" t="s">
        <v>2386</v>
      </c>
    </row>
    <row r="136" spans="1:7">
      <c r="A136" s="480" t="s">
        <v>2311</v>
      </c>
      <c r="B136" s="480">
        <v>3400000260</v>
      </c>
      <c r="C136" s="496" t="s">
        <v>1293</v>
      </c>
      <c r="D136" s="497">
        <v>43849</v>
      </c>
      <c r="E136" s="498">
        <v>131560</v>
      </c>
      <c r="F136" s="496">
        <v>1007010002</v>
      </c>
      <c r="G136" s="496" t="s">
        <v>2387</v>
      </c>
    </row>
    <row r="137" spans="1:7">
      <c r="A137" s="480" t="s">
        <v>2377</v>
      </c>
      <c r="B137" s="480">
        <v>6100004433</v>
      </c>
      <c r="C137" s="496" t="s">
        <v>631</v>
      </c>
      <c r="D137" s="497">
        <v>43843</v>
      </c>
      <c r="E137" s="498">
        <v>148934</v>
      </c>
      <c r="F137" s="496">
        <v>1007010002</v>
      </c>
      <c r="G137" s="496" t="s">
        <v>2285</v>
      </c>
    </row>
    <row r="138" spans="1:7">
      <c r="A138" s="480" t="s">
        <v>2305</v>
      </c>
      <c r="B138" s="480">
        <v>3400000348</v>
      </c>
      <c r="C138" s="496" t="s">
        <v>1293</v>
      </c>
      <c r="D138" s="497">
        <v>44224</v>
      </c>
      <c r="E138" s="498">
        <v>121980</v>
      </c>
      <c r="F138" s="496">
        <v>1007010002</v>
      </c>
      <c r="G138" s="496" t="s">
        <v>2388</v>
      </c>
    </row>
    <row r="139" spans="1:7">
      <c r="A139" s="480" t="s">
        <v>2314</v>
      </c>
      <c r="B139" s="480">
        <v>3400000383</v>
      </c>
      <c r="C139" s="496" t="s">
        <v>1293</v>
      </c>
      <c r="D139" s="497">
        <v>44224</v>
      </c>
      <c r="E139" s="498">
        <v>131560</v>
      </c>
      <c r="F139" s="496">
        <v>1007010002</v>
      </c>
      <c r="G139" s="496" t="s">
        <v>2389</v>
      </c>
    </row>
    <row r="140" spans="1:7">
      <c r="A140" s="480" t="s">
        <v>2305</v>
      </c>
      <c r="B140" s="480">
        <v>3400000401</v>
      </c>
      <c r="C140" s="496" t="s">
        <v>1293</v>
      </c>
      <c r="D140" s="497">
        <v>44224</v>
      </c>
      <c r="E140" s="498">
        <v>99108</v>
      </c>
      <c r="F140" s="496">
        <v>1007010002</v>
      </c>
      <c r="G140" s="496" t="s">
        <v>2306</v>
      </c>
    </row>
    <row r="141" spans="1:7">
      <c r="A141" s="480" t="s">
        <v>2305</v>
      </c>
      <c r="B141" s="480">
        <v>3400000403</v>
      </c>
      <c r="C141" s="496" t="s">
        <v>1293</v>
      </c>
      <c r="D141" s="497">
        <v>44224</v>
      </c>
      <c r="E141" s="498">
        <v>99108</v>
      </c>
      <c r="F141" s="496">
        <v>1007010002</v>
      </c>
      <c r="G141" s="496" t="s">
        <v>2306</v>
      </c>
    </row>
    <row r="142" spans="1:7">
      <c r="A142" s="480" t="s">
        <v>2305</v>
      </c>
      <c r="B142" s="480">
        <v>3400000409</v>
      </c>
      <c r="C142" s="496" t="s">
        <v>1293</v>
      </c>
      <c r="D142" s="497">
        <v>44226</v>
      </c>
      <c r="E142" s="498">
        <v>99108</v>
      </c>
      <c r="F142" s="496">
        <v>1007010002</v>
      </c>
      <c r="G142" s="496" t="s">
        <v>2306</v>
      </c>
    </row>
    <row r="143" spans="1:7">
      <c r="A143" s="480" t="s">
        <v>2385</v>
      </c>
      <c r="B143" s="480">
        <v>6100007407</v>
      </c>
      <c r="C143" s="496" t="s">
        <v>631</v>
      </c>
      <c r="D143" s="497">
        <v>44214</v>
      </c>
      <c r="E143" s="498">
        <v>155586</v>
      </c>
      <c r="F143" s="496">
        <v>1007010002</v>
      </c>
      <c r="G143" s="496" t="s">
        <v>2285</v>
      </c>
    </row>
    <row r="144" spans="1:7">
      <c r="A144" s="480" t="s">
        <v>2307</v>
      </c>
      <c r="B144" s="480">
        <v>3400000245</v>
      </c>
      <c r="C144" s="496" t="s">
        <v>1293</v>
      </c>
      <c r="D144" s="497">
        <v>43849</v>
      </c>
      <c r="E144" s="498">
        <v>109781</v>
      </c>
      <c r="F144" s="496">
        <v>1007010003</v>
      </c>
      <c r="G144" s="496" t="s">
        <v>2390</v>
      </c>
    </row>
    <row r="145" spans="1:7">
      <c r="A145" s="480" t="s">
        <v>2311</v>
      </c>
      <c r="B145" s="480">
        <v>3400000260</v>
      </c>
      <c r="C145" s="496" t="s">
        <v>1293</v>
      </c>
      <c r="D145" s="497">
        <v>43849</v>
      </c>
      <c r="E145" s="498">
        <v>131560</v>
      </c>
      <c r="F145" s="496">
        <v>1007010003</v>
      </c>
      <c r="G145" s="496" t="s">
        <v>2391</v>
      </c>
    </row>
    <row r="146" spans="1:7">
      <c r="A146" s="480" t="s">
        <v>2307</v>
      </c>
      <c r="B146" s="480">
        <v>3400000245</v>
      </c>
      <c r="C146" s="496" t="s">
        <v>1293</v>
      </c>
      <c r="D146" s="497">
        <v>43849</v>
      </c>
      <c r="E146" s="498">
        <v>109781</v>
      </c>
      <c r="F146" s="496">
        <v>1007010004</v>
      </c>
      <c r="G146" s="496" t="s">
        <v>2392</v>
      </c>
    </row>
    <row r="147" spans="1:7">
      <c r="A147" s="480" t="s">
        <v>2311</v>
      </c>
      <c r="B147" s="480">
        <v>3400000260</v>
      </c>
      <c r="C147" s="496" t="s">
        <v>1293</v>
      </c>
      <c r="D147" s="497">
        <v>43849</v>
      </c>
      <c r="E147" s="498">
        <v>131560</v>
      </c>
      <c r="F147" s="496">
        <v>1007010004</v>
      </c>
      <c r="G147" s="496" t="s">
        <v>2393</v>
      </c>
    </row>
    <row r="148" spans="1:7">
      <c r="A148" s="480" t="s">
        <v>2305</v>
      </c>
      <c r="B148" s="480">
        <v>3400000348</v>
      </c>
      <c r="C148" s="496" t="s">
        <v>1293</v>
      </c>
      <c r="D148" s="497">
        <v>44224</v>
      </c>
      <c r="E148" s="498">
        <v>121978</v>
      </c>
      <c r="F148" s="496">
        <v>1007010004</v>
      </c>
      <c r="G148" s="496" t="s">
        <v>2394</v>
      </c>
    </row>
    <row r="149" spans="1:7">
      <c r="A149" s="480" t="s">
        <v>2314</v>
      </c>
      <c r="B149" s="480">
        <v>3400000383</v>
      </c>
      <c r="C149" s="496" t="s">
        <v>1293</v>
      </c>
      <c r="D149" s="497">
        <v>44224</v>
      </c>
      <c r="E149" s="498">
        <v>131561</v>
      </c>
      <c r="F149" s="496">
        <v>1007010004</v>
      </c>
      <c r="G149" s="496" t="s">
        <v>2395</v>
      </c>
    </row>
    <row r="150" spans="1:7">
      <c r="A150" s="480" t="s">
        <v>2305</v>
      </c>
      <c r="B150" s="480">
        <v>3400000401</v>
      </c>
      <c r="C150" s="496" t="s">
        <v>1293</v>
      </c>
      <c r="D150" s="497">
        <v>44224</v>
      </c>
      <c r="E150" s="498">
        <v>99108</v>
      </c>
      <c r="F150" s="496">
        <v>1007010004</v>
      </c>
      <c r="G150" s="496" t="s">
        <v>2306</v>
      </c>
    </row>
    <row r="151" spans="1:7">
      <c r="A151" s="480" t="s">
        <v>2305</v>
      </c>
      <c r="B151" s="480">
        <v>3400000403</v>
      </c>
      <c r="C151" s="496" t="s">
        <v>1293</v>
      </c>
      <c r="D151" s="497">
        <v>44224</v>
      </c>
      <c r="E151" s="498">
        <v>99108</v>
      </c>
      <c r="F151" s="496">
        <v>1007010004</v>
      </c>
      <c r="G151" s="496" t="s">
        <v>2306</v>
      </c>
    </row>
    <row r="152" spans="1:7">
      <c r="A152" s="480" t="s">
        <v>2305</v>
      </c>
      <c r="B152" s="480">
        <v>3400000409</v>
      </c>
      <c r="C152" s="496" t="s">
        <v>1293</v>
      </c>
      <c r="D152" s="497">
        <v>44226</v>
      </c>
      <c r="E152" s="498">
        <v>99108</v>
      </c>
      <c r="F152" s="496">
        <v>1007010004</v>
      </c>
      <c r="G152" s="496" t="s">
        <v>2306</v>
      </c>
    </row>
    <row r="153" spans="1:7">
      <c r="A153" s="480" t="s">
        <v>2305</v>
      </c>
      <c r="B153" s="480">
        <v>3400000401</v>
      </c>
      <c r="C153" s="496" t="s">
        <v>1293</v>
      </c>
      <c r="D153" s="497">
        <v>44224</v>
      </c>
      <c r="E153" s="498">
        <v>99108</v>
      </c>
      <c r="F153" s="496">
        <v>1007010004</v>
      </c>
      <c r="G153" s="496" t="s">
        <v>2306</v>
      </c>
    </row>
    <row r="154" spans="1:7">
      <c r="A154" s="480" t="s">
        <v>2305</v>
      </c>
      <c r="B154" s="480">
        <v>3400000403</v>
      </c>
      <c r="C154" s="496" t="s">
        <v>1293</v>
      </c>
      <c r="D154" s="497">
        <v>44224</v>
      </c>
      <c r="E154" s="498">
        <v>99108</v>
      </c>
      <c r="F154" s="496">
        <v>1007010004</v>
      </c>
      <c r="G154" s="496" t="s">
        <v>2306</v>
      </c>
    </row>
    <row r="155" spans="1:7">
      <c r="A155" s="480" t="s">
        <v>2307</v>
      </c>
      <c r="B155" s="480">
        <v>3400000245</v>
      </c>
      <c r="C155" s="496" t="s">
        <v>1293</v>
      </c>
      <c r="D155" s="497">
        <v>43849</v>
      </c>
      <c r="E155" s="498">
        <v>109781</v>
      </c>
      <c r="F155" s="496">
        <v>1007010006</v>
      </c>
      <c r="G155" s="496" t="s">
        <v>2396</v>
      </c>
    </row>
    <row r="156" spans="1:7">
      <c r="A156" s="480" t="s">
        <v>2305</v>
      </c>
      <c r="B156" s="480">
        <v>3400000348</v>
      </c>
      <c r="C156" s="496" t="s">
        <v>1293</v>
      </c>
      <c r="D156" s="497">
        <v>44224</v>
      </c>
      <c r="E156" s="498">
        <v>121978</v>
      </c>
      <c r="F156" s="496">
        <v>1007010006</v>
      </c>
      <c r="G156" s="496" t="s">
        <v>2397</v>
      </c>
    </row>
    <row r="157" spans="1:7">
      <c r="A157" s="480" t="s">
        <v>2314</v>
      </c>
      <c r="B157" s="480">
        <v>3400000383</v>
      </c>
      <c r="C157" s="496" t="s">
        <v>1293</v>
      </c>
      <c r="D157" s="497">
        <v>44224</v>
      </c>
      <c r="E157" s="498">
        <v>131560</v>
      </c>
      <c r="F157" s="496">
        <v>1007010006</v>
      </c>
      <c r="G157" s="496" t="s">
        <v>2398</v>
      </c>
    </row>
    <row r="158" spans="1:7">
      <c r="A158" s="480" t="s">
        <v>2305</v>
      </c>
      <c r="B158" s="480">
        <v>3400000401</v>
      </c>
      <c r="C158" s="496" t="s">
        <v>1293</v>
      </c>
      <c r="D158" s="497">
        <v>44224</v>
      </c>
      <c r="E158" s="498">
        <v>99108</v>
      </c>
      <c r="F158" s="496">
        <v>1007010006</v>
      </c>
      <c r="G158" s="496" t="s">
        <v>2306</v>
      </c>
    </row>
    <row r="159" spans="1:7">
      <c r="A159" s="480" t="s">
        <v>2305</v>
      </c>
      <c r="B159" s="480">
        <v>3400000403</v>
      </c>
      <c r="C159" s="496" t="s">
        <v>1293</v>
      </c>
      <c r="D159" s="497">
        <v>44224</v>
      </c>
      <c r="E159" s="498">
        <v>99108</v>
      </c>
      <c r="F159" s="496">
        <v>1007010006</v>
      </c>
      <c r="G159" s="496" t="s">
        <v>2306</v>
      </c>
    </row>
    <row r="160" spans="1:7">
      <c r="A160" s="480" t="s">
        <v>2305</v>
      </c>
      <c r="B160" s="480">
        <v>3400000409</v>
      </c>
      <c r="C160" s="496" t="s">
        <v>1293</v>
      </c>
      <c r="D160" s="497">
        <v>44226</v>
      </c>
      <c r="E160" s="498">
        <v>99108</v>
      </c>
      <c r="F160" s="496">
        <v>1007010006</v>
      </c>
      <c r="G160" s="496" t="s">
        <v>2306</v>
      </c>
    </row>
    <row r="161" spans="1:7">
      <c r="A161" s="480" t="s">
        <v>2307</v>
      </c>
      <c r="B161" s="480">
        <v>3400000245</v>
      </c>
      <c r="C161" s="496" t="s">
        <v>1293</v>
      </c>
      <c r="D161" s="497">
        <v>43849</v>
      </c>
      <c r="E161" s="498">
        <v>109781</v>
      </c>
      <c r="F161" s="496">
        <v>1007010009</v>
      </c>
      <c r="G161" s="496" t="s">
        <v>2399</v>
      </c>
    </row>
    <row r="162" spans="1:7">
      <c r="A162" s="480" t="s">
        <v>2311</v>
      </c>
      <c r="B162" s="480">
        <v>3400000260</v>
      </c>
      <c r="C162" s="496" t="s">
        <v>1293</v>
      </c>
      <c r="D162" s="497">
        <v>43849</v>
      </c>
      <c r="E162" s="498">
        <v>131560</v>
      </c>
      <c r="F162" s="496">
        <v>1007010009</v>
      </c>
      <c r="G162" s="496" t="s">
        <v>2391</v>
      </c>
    </row>
    <row r="163" spans="1:7">
      <c r="A163" s="480" t="s">
        <v>2305</v>
      </c>
      <c r="B163" s="480">
        <v>3400000348</v>
      </c>
      <c r="C163" s="496" t="s">
        <v>1293</v>
      </c>
      <c r="D163" s="497">
        <v>44224</v>
      </c>
      <c r="E163" s="498">
        <v>121978</v>
      </c>
      <c r="F163" s="496">
        <v>1007010009</v>
      </c>
      <c r="G163" s="496" t="s">
        <v>2400</v>
      </c>
    </row>
    <row r="164" spans="1:7">
      <c r="A164" s="480" t="s">
        <v>2314</v>
      </c>
      <c r="B164" s="480">
        <v>3400000383</v>
      </c>
      <c r="C164" s="496" t="s">
        <v>1293</v>
      </c>
      <c r="D164" s="497">
        <v>44224</v>
      </c>
      <c r="E164" s="498">
        <v>131560</v>
      </c>
      <c r="F164" s="496">
        <v>1007010009</v>
      </c>
      <c r="G164" s="496" t="s">
        <v>2401</v>
      </c>
    </row>
    <row r="165" spans="1:7">
      <c r="A165" s="480" t="s">
        <v>2305</v>
      </c>
      <c r="B165" s="480">
        <v>3400000401</v>
      </c>
      <c r="C165" s="496" t="s">
        <v>1293</v>
      </c>
      <c r="D165" s="497">
        <v>44224</v>
      </c>
      <c r="E165" s="498">
        <v>99108</v>
      </c>
      <c r="F165" s="496">
        <v>1007010009</v>
      </c>
      <c r="G165" s="496" t="s">
        <v>2306</v>
      </c>
    </row>
    <row r="166" spans="1:7">
      <c r="A166" s="480" t="s">
        <v>2305</v>
      </c>
      <c r="B166" s="480">
        <v>3400000403</v>
      </c>
      <c r="C166" s="496" t="s">
        <v>1293</v>
      </c>
      <c r="D166" s="497">
        <v>44224</v>
      </c>
      <c r="E166" s="498">
        <v>99108</v>
      </c>
      <c r="F166" s="496">
        <v>1007010009</v>
      </c>
      <c r="G166" s="496" t="s">
        <v>2306</v>
      </c>
    </row>
    <row r="167" spans="1:7">
      <c r="A167" s="480" t="s">
        <v>2305</v>
      </c>
      <c r="B167" s="480">
        <v>3400000409</v>
      </c>
      <c r="C167" s="496" t="s">
        <v>1293</v>
      </c>
      <c r="D167" s="497">
        <v>44226</v>
      </c>
      <c r="E167" s="498">
        <v>99108</v>
      </c>
      <c r="F167" s="496">
        <v>1007010009</v>
      </c>
      <c r="G167" s="496" t="s">
        <v>2306</v>
      </c>
    </row>
    <row r="168" spans="1:7">
      <c r="A168" s="480" t="s">
        <v>2307</v>
      </c>
      <c r="B168" s="480">
        <v>3400000245</v>
      </c>
      <c r="C168" s="496" t="s">
        <v>1293</v>
      </c>
      <c r="D168" s="497">
        <v>43849</v>
      </c>
      <c r="E168" s="498">
        <v>109781</v>
      </c>
      <c r="F168" s="496">
        <v>1007010010</v>
      </c>
      <c r="G168" s="496" t="s">
        <v>2402</v>
      </c>
    </row>
    <row r="169" spans="1:7">
      <c r="A169" s="480" t="s">
        <v>2305</v>
      </c>
      <c r="B169" s="480">
        <v>3400000348</v>
      </c>
      <c r="C169" s="496" t="s">
        <v>1293</v>
      </c>
      <c r="D169" s="497">
        <v>44224</v>
      </c>
      <c r="E169" s="498">
        <v>121978</v>
      </c>
      <c r="F169" s="496">
        <v>1007010010</v>
      </c>
      <c r="G169" s="496" t="s">
        <v>2403</v>
      </c>
    </row>
    <row r="170" spans="1:7">
      <c r="A170" s="480" t="s">
        <v>2305</v>
      </c>
      <c r="B170" s="480">
        <v>3400000401</v>
      </c>
      <c r="C170" s="496" t="s">
        <v>1293</v>
      </c>
      <c r="D170" s="497">
        <v>44224</v>
      </c>
      <c r="E170" s="498">
        <v>99108</v>
      </c>
      <c r="F170" s="496">
        <v>1007010010</v>
      </c>
      <c r="G170" s="496" t="s">
        <v>2306</v>
      </c>
    </row>
    <row r="171" spans="1:7">
      <c r="A171" s="480" t="s">
        <v>2305</v>
      </c>
      <c r="B171" s="480">
        <v>3400000403</v>
      </c>
      <c r="C171" s="496" t="s">
        <v>1293</v>
      </c>
      <c r="D171" s="497">
        <v>44224</v>
      </c>
      <c r="E171" s="498">
        <v>99108</v>
      </c>
      <c r="F171" s="496">
        <v>1007010010</v>
      </c>
      <c r="G171" s="496" t="s">
        <v>2306</v>
      </c>
    </row>
    <row r="172" spans="1:7">
      <c r="A172" s="480" t="s">
        <v>2305</v>
      </c>
      <c r="B172" s="480">
        <v>3400000409</v>
      </c>
      <c r="C172" s="496" t="s">
        <v>1293</v>
      </c>
      <c r="D172" s="497">
        <v>44226</v>
      </c>
      <c r="E172" s="498">
        <v>99108</v>
      </c>
      <c r="F172" s="496">
        <v>1007010010</v>
      </c>
      <c r="G172" s="496" t="s">
        <v>2306</v>
      </c>
    </row>
    <row r="173" spans="1:7">
      <c r="A173" s="480" t="s">
        <v>2307</v>
      </c>
      <c r="B173" s="480">
        <v>3400000245</v>
      </c>
      <c r="C173" s="496" t="s">
        <v>1293</v>
      </c>
      <c r="D173" s="497">
        <v>43849</v>
      </c>
      <c r="E173" s="498">
        <v>109781</v>
      </c>
      <c r="F173" s="496">
        <v>1007010011</v>
      </c>
      <c r="G173" s="496" t="s">
        <v>2404</v>
      </c>
    </row>
    <row r="174" spans="1:7">
      <c r="A174" s="480" t="s">
        <v>2311</v>
      </c>
      <c r="B174" s="480">
        <v>3400000260</v>
      </c>
      <c r="C174" s="496" t="s">
        <v>1293</v>
      </c>
      <c r="D174" s="497">
        <v>43849</v>
      </c>
      <c r="E174" s="498">
        <v>131560</v>
      </c>
      <c r="F174" s="496">
        <v>1007010011</v>
      </c>
      <c r="G174" s="496" t="s">
        <v>2405</v>
      </c>
    </row>
    <row r="175" spans="1:7">
      <c r="A175" s="480" t="s">
        <v>2305</v>
      </c>
      <c r="B175" s="480">
        <v>3400000348</v>
      </c>
      <c r="C175" s="496" t="s">
        <v>1293</v>
      </c>
      <c r="D175" s="497">
        <v>44224</v>
      </c>
      <c r="E175" s="498">
        <v>121978</v>
      </c>
      <c r="F175" s="496">
        <v>1007010011</v>
      </c>
      <c r="G175" s="496" t="s">
        <v>2406</v>
      </c>
    </row>
    <row r="176" spans="1:7">
      <c r="A176" s="480" t="s">
        <v>2314</v>
      </c>
      <c r="B176" s="480">
        <v>3400000383</v>
      </c>
      <c r="C176" s="496" t="s">
        <v>1293</v>
      </c>
      <c r="D176" s="497">
        <v>44224</v>
      </c>
      <c r="E176" s="498">
        <v>131560</v>
      </c>
      <c r="F176" s="496">
        <v>1007010011</v>
      </c>
      <c r="G176" s="496" t="s">
        <v>2407</v>
      </c>
    </row>
    <row r="177" spans="1:7">
      <c r="A177" s="480" t="s">
        <v>2305</v>
      </c>
      <c r="B177" s="480">
        <v>3400000409</v>
      </c>
      <c r="C177" s="496" t="s">
        <v>1293</v>
      </c>
      <c r="D177" s="497">
        <v>44226</v>
      </c>
      <c r="E177" s="498">
        <v>99108</v>
      </c>
      <c r="F177" s="496">
        <v>1007010011</v>
      </c>
      <c r="G177" s="496" t="s">
        <v>2306</v>
      </c>
    </row>
    <row r="178" spans="1:7">
      <c r="A178" s="480" t="s">
        <v>2305</v>
      </c>
      <c r="B178" s="480">
        <v>3400000401</v>
      </c>
      <c r="C178" s="496" t="s">
        <v>1293</v>
      </c>
      <c r="D178" s="497">
        <v>44224</v>
      </c>
      <c r="E178" s="498">
        <v>99108</v>
      </c>
      <c r="F178" s="496">
        <v>1007010011</v>
      </c>
      <c r="G178" s="496" t="s">
        <v>2306</v>
      </c>
    </row>
    <row r="179" spans="1:7">
      <c r="A179" s="480" t="s">
        <v>2305</v>
      </c>
      <c r="B179" s="480">
        <v>3400000403</v>
      </c>
      <c r="C179" s="496" t="s">
        <v>1293</v>
      </c>
      <c r="D179" s="497">
        <v>44224</v>
      </c>
      <c r="E179" s="498">
        <v>99108</v>
      </c>
      <c r="F179" s="496">
        <v>1007010011</v>
      </c>
      <c r="G179" s="496" t="s">
        <v>2306</v>
      </c>
    </row>
    <row r="180" spans="1:7">
      <c r="A180" s="480" t="s">
        <v>2307</v>
      </c>
      <c r="B180" s="480">
        <v>3400000245</v>
      </c>
      <c r="C180" s="496" t="s">
        <v>1293</v>
      </c>
      <c r="D180" s="497">
        <v>43849</v>
      </c>
      <c r="E180" s="498">
        <v>109781</v>
      </c>
      <c r="F180" s="496">
        <v>1007010012</v>
      </c>
      <c r="G180" s="496" t="s">
        <v>2408</v>
      </c>
    </row>
    <row r="181" spans="1:7">
      <c r="A181" s="480" t="s">
        <v>2311</v>
      </c>
      <c r="B181" s="480">
        <v>3400000260</v>
      </c>
      <c r="C181" s="496" t="s">
        <v>1293</v>
      </c>
      <c r="D181" s="497">
        <v>43849</v>
      </c>
      <c r="E181" s="498">
        <v>131560</v>
      </c>
      <c r="F181" s="496">
        <v>1007010012</v>
      </c>
      <c r="G181" s="496" t="s">
        <v>2409</v>
      </c>
    </row>
    <row r="182" spans="1:7">
      <c r="A182" s="480" t="s">
        <v>2305</v>
      </c>
      <c r="B182" s="480">
        <v>3400000348</v>
      </c>
      <c r="C182" s="496" t="s">
        <v>1293</v>
      </c>
      <c r="D182" s="497">
        <v>44224</v>
      </c>
      <c r="E182" s="498">
        <v>121978</v>
      </c>
      <c r="F182" s="496">
        <v>1007010012</v>
      </c>
      <c r="G182" s="496" t="s">
        <v>2410</v>
      </c>
    </row>
    <row r="183" spans="1:7">
      <c r="A183" s="480" t="s">
        <v>633</v>
      </c>
      <c r="B183" s="480">
        <v>3400000383</v>
      </c>
      <c r="C183" s="496" t="s">
        <v>1293</v>
      </c>
      <c r="D183" s="497">
        <v>44224</v>
      </c>
      <c r="E183" s="498">
        <v>131560</v>
      </c>
      <c r="F183" s="496">
        <v>1007010012</v>
      </c>
      <c r="G183" s="496" t="s">
        <v>2411</v>
      </c>
    </row>
    <row r="184" spans="1:7">
      <c r="A184" s="480" t="s">
        <v>2305</v>
      </c>
      <c r="B184" s="480">
        <v>3400000401</v>
      </c>
      <c r="C184" s="496" t="s">
        <v>1293</v>
      </c>
      <c r="D184" s="497">
        <v>44224</v>
      </c>
      <c r="E184" s="498">
        <v>99108</v>
      </c>
      <c r="F184" s="496">
        <v>1007010012</v>
      </c>
      <c r="G184" s="496" t="s">
        <v>2306</v>
      </c>
    </row>
    <row r="185" spans="1:7">
      <c r="A185" s="480" t="s">
        <v>2305</v>
      </c>
      <c r="B185" s="480">
        <v>3400000403</v>
      </c>
      <c r="C185" s="496" t="s">
        <v>1293</v>
      </c>
      <c r="D185" s="497">
        <v>44224</v>
      </c>
      <c r="E185" s="498">
        <v>99108</v>
      </c>
      <c r="F185" s="496">
        <v>1007010012</v>
      </c>
      <c r="G185" s="496" t="s">
        <v>2306</v>
      </c>
    </row>
    <row r="186" spans="1:7">
      <c r="A186" s="480" t="s">
        <v>2305</v>
      </c>
      <c r="B186" s="480">
        <v>3400000409</v>
      </c>
      <c r="C186" s="496" t="s">
        <v>1293</v>
      </c>
      <c r="D186" s="497">
        <v>44226</v>
      </c>
      <c r="E186" s="498">
        <v>99108</v>
      </c>
      <c r="F186" s="496">
        <v>1007010012</v>
      </c>
      <c r="G186" s="496" t="s">
        <v>2306</v>
      </c>
    </row>
    <row r="187" spans="1:7">
      <c r="E187" s="545">
        <f>SUM(E7:E186)</f>
        <v>17916010</v>
      </c>
    </row>
    <row r="188" spans="1:7">
      <c r="E188" s="483">
        <f>+E187*(1+F188)</f>
        <v>20263007.309999999</v>
      </c>
      <c r="F188" s="500">
        <v>0.13100000000000001</v>
      </c>
      <c r="G188" s="501" t="s">
        <v>149</v>
      </c>
    </row>
    <row r="189" spans="1:7">
      <c r="F189" s="500"/>
      <c r="G189" s="501"/>
    </row>
    <row r="190" spans="1:7">
      <c r="E190" s="483">
        <f>+E188*(1+F190)</f>
        <v>23039039.311469998</v>
      </c>
      <c r="F190" s="500">
        <v>0.13700000000000001</v>
      </c>
      <c r="G190" s="501" t="s">
        <v>1952</v>
      </c>
    </row>
  </sheetData>
  <mergeCells count="5">
    <mergeCell ref="A4:G4"/>
    <mergeCell ref="I5:M5"/>
    <mergeCell ref="T7:AA10"/>
    <mergeCell ref="T11:AA12"/>
    <mergeCell ref="T13:AA16"/>
  </mergeCells>
  <phoneticPr fontId="30" type="noConversion"/>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AB518"/>
  <sheetViews>
    <sheetView showGridLines="0" topLeftCell="J1" workbookViewId="0">
      <pane ySplit="7" topLeftCell="A8" activePane="bottomLeft" state="frozen"/>
      <selection pane="bottomLeft" activeCell="Q13" sqref="Q13"/>
    </sheetView>
  </sheetViews>
  <sheetFormatPr baseColWidth="10" defaultRowHeight="15"/>
  <cols>
    <col min="1" max="1" width="14.85546875" style="483" customWidth="1"/>
    <col min="2" max="4" width="11.42578125" style="483"/>
    <col min="5" max="5" width="14.140625" style="483" bestFit="1" customWidth="1"/>
    <col min="6" max="6" width="13.5703125" style="483" bestFit="1" customWidth="1"/>
    <col min="7" max="7" width="28.42578125" style="483" bestFit="1" customWidth="1"/>
    <col min="8" max="9" width="11.42578125" style="483"/>
    <col min="10" max="10" width="14.140625" style="483" bestFit="1" customWidth="1"/>
    <col min="11" max="11" width="14.28515625" style="483" bestFit="1" customWidth="1"/>
    <col min="12" max="12" width="15.5703125" style="483" customWidth="1"/>
    <col min="13" max="14" width="14.140625" style="483" bestFit="1" customWidth="1"/>
    <col min="15" max="19" width="14.140625" style="483" customWidth="1"/>
    <col min="20" max="16384" width="11.42578125" style="483"/>
  </cols>
  <sheetData>
    <row r="2" spans="1:28">
      <c r="K2" s="436" t="s">
        <v>436</v>
      </c>
      <c r="L2" s="436"/>
      <c r="M2" s="436"/>
      <c r="N2" s="436"/>
      <c r="O2" s="436"/>
      <c r="P2" s="436"/>
      <c r="Q2" s="436"/>
      <c r="R2" s="436"/>
      <c r="S2" s="436"/>
    </row>
    <row r="3" spans="1:28">
      <c r="K3" s="294">
        <v>2025</v>
      </c>
      <c r="L3" s="294">
        <v>2026</v>
      </c>
      <c r="M3" s="294">
        <v>2027</v>
      </c>
      <c r="N3" s="294">
        <v>2028</v>
      </c>
      <c r="O3" s="294">
        <v>2029</v>
      </c>
      <c r="P3" s="294">
        <v>2030</v>
      </c>
      <c r="Q3" s="294">
        <v>2031</v>
      </c>
      <c r="R3" s="294">
        <v>2032</v>
      </c>
      <c r="S3" s="294">
        <v>2033</v>
      </c>
    </row>
    <row r="4" spans="1:28">
      <c r="K4" s="481">
        <f>+'IPC - CAFÉ'!E24</f>
        <v>0.06</v>
      </c>
      <c r="L4" s="481">
        <f>+'IPC - CAFÉ'!F24</f>
        <v>4.5975144331782153E-2</v>
      </c>
      <c r="M4" s="481">
        <f>+'IPC - CAFÉ'!G24</f>
        <v>4.7225144331782154E-2</v>
      </c>
      <c r="N4" s="481">
        <f>+'IPC - CAFÉ'!H24</f>
        <v>4.8475144331782155E-2</v>
      </c>
      <c r="O4" s="481">
        <f>+'IPC - CAFÉ'!I24</f>
        <v>4.9725144331782156E-2</v>
      </c>
      <c r="P4" s="481">
        <f>+'IPC - CAFÉ'!J24</f>
        <v>5.0975144331782157E-2</v>
      </c>
      <c r="Q4" s="481">
        <f>+'IPC - CAFÉ'!K24</f>
        <v>5.2225144331782158E-2</v>
      </c>
      <c r="R4" s="481">
        <f>+'IPC - CAFÉ'!L24</f>
        <v>5.347514433178216E-2</v>
      </c>
      <c r="S4" s="481">
        <f>+'IPC - CAFÉ'!M24</f>
        <v>5.4725144331782161E-2</v>
      </c>
    </row>
    <row r="5" spans="1:28">
      <c r="A5" s="996" t="s">
        <v>2414</v>
      </c>
      <c r="B5" s="996"/>
      <c r="C5" s="996"/>
      <c r="D5" s="996"/>
      <c r="E5" s="996"/>
      <c r="F5" s="996"/>
      <c r="G5" s="996"/>
    </row>
    <row r="6" spans="1:28">
      <c r="J6" s="991" t="s">
        <v>2829</v>
      </c>
      <c r="K6" s="991"/>
      <c r="L6" s="991"/>
      <c r="M6" s="991"/>
      <c r="N6" s="991"/>
      <c r="O6" s="748"/>
      <c r="P6" s="748"/>
      <c r="Q6" s="748"/>
      <c r="R6" s="748"/>
      <c r="S6" s="748"/>
    </row>
    <row r="7" spans="1:28" ht="30">
      <c r="A7" s="543" t="s">
        <v>624</v>
      </c>
      <c r="B7" s="543" t="s">
        <v>625</v>
      </c>
      <c r="C7" s="543" t="s">
        <v>626</v>
      </c>
      <c r="D7" s="543" t="s">
        <v>627</v>
      </c>
      <c r="E7" s="543" t="s">
        <v>628</v>
      </c>
      <c r="F7" s="543" t="s">
        <v>629</v>
      </c>
      <c r="G7" s="543" t="s">
        <v>2415</v>
      </c>
      <c r="J7" s="546" t="s">
        <v>226</v>
      </c>
      <c r="K7" s="546" t="s">
        <v>227</v>
      </c>
      <c r="L7" s="546" t="s">
        <v>228</v>
      </c>
      <c r="M7" s="546" t="s">
        <v>229</v>
      </c>
      <c r="N7" s="546" t="s">
        <v>230</v>
      </c>
      <c r="O7" s="546" t="s">
        <v>231</v>
      </c>
      <c r="P7" s="546" t="s">
        <v>232</v>
      </c>
      <c r="Q7" s="546" t="s">
        <v>233</v>
      </c>
      <c r="R7" s="546" t="s">
        <v>3010</v>
      </c>
      <c r="S7" s="546" t="s">
        <v>3011</v>
      </c>
      <c r="U7" s="376" t="s">
        <v>439</v>
      </c>
      <c r="V7" s="149"/>
      <c r="W7" s="149"/>
      <c r="X7" s="149"/>
      <c r="Y7" s="149"/>
      <c r="Z7" s="149"/>
      <c r="AA7" s="149"/>
      <c r="AB7" s="149"/>
    </row>
    <row r="8" spans="1:28">
      <c r="A8" s="496" t="s">
        <v>2303</v>
      </c>
      <c r="B8" s="496">
        <v>3400000363</v>
      </c>
      <c r="C8" s="496" t="s">
        <v>1293</v>
      </c>
      <c r="D8" s="497">
        <v>44224</v>
      </c>
      <c r="E8" s="498">
        <v>53420</v>
      </c>
      <c r="F8" s="496">
        <v>1007010012</v>
      </c>
      <c r="G8" s="496" t="s">
        <v>2416</v>
      </c>
      <c r="J8" s="508">
        <f>+E516</f>
        <v>21391460.298</v>
      </c>
      <c r="K8" s="508">
        <f>+J8*(1+K4)</f>
        <v>22674947.915880002</v>
      </c>
      <c r="L8" s="551">
        <f t="shared" ref="L8:N8" si="0">+K8*(1+L4)</f>
        <v>23717431.91902823</v>
      </c>
      <c r="M8" s="551">
        <f t="shared" si="0"/>
        <v>24837491.064583555</v>
      </c>
      <c r="N8" s="508">
        <f t="shared" si="0"/>
        <v>26041492.02877859</v>
      </c>
      <c r="O8" s="508">
        <f t="shared" ref="O8" si="1">+N8*(1+O4)</f>
        <v>27336408.978524558</v>
      </c>
      <c r="P8" s="508">
        <f t="shared" ref="P8" si="2">+O8*(1+P4)</f>
        <v>28729886.371717472</v>
      </c>
      <c r="Q8" s="508">
        <f t="shared" ref="Q8" si="3">+P8*(1+Q4)</f>
        <v>30230308.834116116</v>
      </c>
      <c r="R8" s="508">
        <f t="shared" ref="R8" si="4">+Q8*(1+R4)</f>
        <v>31846878.962214828</v>
      </c>
      <c r="S8" s="508">
        <f t="shared" ref="S8" si="5">+R8*(1+S4)</f>
        <v>33589704.009938836</v>
      </c>
      <c r="U8" s="962" t="s">
        <v>646</v>
      </c>
      <c r="V8" s="963"/>
      <c r="W8" s="963"/>
      <c r="X8" s="963"/>
      <c r="Y8" s="963"/>
      <c r="Z8" s="963"/>
      <c r="AA8" s="963"/>
      <c r="AB8" s="964"/>
    </row>
    <row r="9" spans="1:28">
      <c r="A9" s="496" t="s">
        <v>2303</v>
      </c>
      <c r="B9" s="496">
        <v>3400000363</v>
      </c>
      <c r="C9" s="496" t="s">
        <v>1293</v>
      </c>
      <c r="D9" s="497">
        <v>44224</v>
      </c>
      <c r="E9" s="498">
        <v>53420</v>
      </c>
      <c r="F9" s="496">
        <v>1007010011</v>
      </c>
      <c r="G9" s="496" t="s">
        <v>2416</v>
      </c>
      <c r="U9" s="965"/>
      <c r="V9" s="966"/>
      <c r="W9" s="966"/>
      <c r="X9" s="966"/>
      <c r="Y9" s="966"/>
      <c r="Z9" s="966"/>
      <c r="AA9" s="966"/>
      <c r="AB9" s="967"/>
    </row>
    <row r="10" spans="1:28">
      <c r="A10" s="496" t="s">
        <v>2303</v>
      </c>
      <c r="B10" s="496">
        <v>3400000363</v>
      </c>
      <c r="C10" s="496" t="s">
        <v>1293</v>
      </c>
      <c r="D10" s="497">
        <v>44224</v>
      </c>
      <c r="E10" s="498">
        <v>53420</v>
      </c>
      <c r="F10" s="496">
        <v>1007010004</v>
      </c>
      <c r="G10" s="496" t="s">
        <v>2416</v>
      </c>
      <c r="U10" s="965"/>
      <c r="V10" s="966"/>
      <c r="W10" s="966"/>
      <c r="X10" s="966"/>
      <c r="Y10" s="966"/>
      <c r="Z10" s="966"/>
      <c r="AA10" s="966"/>
      <c r="AB10" s="967"/>
    </row>
    <row r="11" spans="1:28">
      <c r="A11" s="496" t="s">
        <v>2303</v>
      </c>
      <c r="B11" s="496">
        <v>3400000363</v>
      </c>
      <c r="C11" s="496" t="s">
        <v>1293</v>
      </c>
      <c r="D11" s="497">
        <v>44224</v>
      </c>
      <c r="E11" s="498">
        <v>53420</v>
      </c>
      <c r="F11" s="496">
        <v>1007010009</v>
      </c>
      <c r="G11" s="496" t="s">
        <v>2416</v>
      </c>
      <c r="U11" s="965"/>
      <c r="V11" s="966"/>
      <c r="W11" s="966"/>
      <c r="X11" s="966"/>
      <c r="Y11" s="966"/>
      <c r="Z11" s="966"/>
      <c r="AA11" s="966"/>
      <c r="AB11" s="967"/>
    </row>
    <row r="12" spans="1:28">
      <c r="A12" s="496" t="s">
        <v>2303</v>
      </c>
      <c r="B12" s="496">
        <v>3400000363</v>
      </c>
      <c r="C12" s="496" t="s">
        <v>1293</v>
      </c>
      <c r="D12" s="497">
        <v>44224</v>
      </c>
      <c r="E12" s="498">
        <v>53420</v>
      </c>
      <c r="F12" s="496">
        <v>1007010002</v>
      </c>
      <c r="G12" s="496" t="s">
        <v>2416</v>
      </c>
      <c r="U12" s="965"/>
      <c r="V12" s="966"/>
      <c r="W12" s="966"/>
      <c r="X12" s="966"/>
      <c r="Y12" s="966"/>
      <c r="Z12" s="966"/>
      <c r="AA12" s="966"/>
      <c r="AB12" s="967"/>
    </row>
    <row r="13" spans="1:28">
      <c r="A13" s="496" t="s">
        <v>2303</v>
      </c>
      <c r="B13" s="496">
        <v>3400000363</v>
      </c>
      <c r="C13" s="496" t="s">
        <v>1293</v>
      </c>
      <c r="D13" s="497">
        <v>44224</v>
      </c>
      <c r="E13" s="498">
        <v>53420</v>
      </c>
      <c r="F13" s="496">
        <v>1007010001</v>
      </c>
      <c r="G13" s="496" t="s">
        <v>2416</v>
      </c>
      <c r="U13" s="965"/>
      <c r="V13" s="966"/>
      <c r="W13" s="966"/>
      <c r="X13" s="966"/>
      <c r="Y13" s="966"/>
      <c r="Z13" s="966"/>
      <c r="AA13" s="966"/>
      <c r="AB13" s="967"/>
    </row>
    <row r="14" spans="1:28">
      <c r="A14" s="496" t="s">
        <v>2303</v>
      </c>
      <c r="B14" s="496">
        <v>3400000363</v>
      </c>
      <c r="C14" s="496" t="s">
        <v>1293</v>
      </c>
      <c r="D14" s="497">
        <v>44224</v>
      </c>
      <c r="E14" s="498">
        <v>53422</v>
      </c>
      <c r="F14" s="496">
        <v>1007010006</v>
      </c>
      <c r="G14" s="496" t="s">
        <v>2416</v>
      </c>
      <c r="U14" s="965"/>
      <c r="V14" s="966"/>
      <c r="W14" s="966"/>
      <c r="X14" s="966"/>
      <c r="Y14" s="966"/>
      <c r="Z14" s="966"/>
      <c r="AA14" s="966"/>
      <c r="AB14" s="967"/>
    </row>
    <row r="15" spans="1:28">
      <c r="A15" s="496" t="s">
        <v>2303</v>
      </c>
      <c r="B15" s="496">
        <v>3400000363</v>
      </c>
      <c r="C15" s="496" t="s">
        <v>1293</v>
      </c>
      <c r="D15" s="497">
        <v>44224</v>
      </c>
      <c r="E15" s="498">
        <v>53422</v>
      </c>
      <c r="F15" s="496">
        <v>1007010010</v>
      </c>
      <c r="G15" s="496" t="s">
        <v>2416</v>
      </c>
      <c r="U15" s="965"/>
      <c r="V15" s="966"/>
      <c r="W15" s="966"/>
      <c r="X15" s="966"/>
      <c r="Y15" s="966"/>
      <c r="Z15" s="966"/>
      <c r="AA15" s="966"/>
      <c r="AB15" s="967"/>
    </row>
    <row r="16" spans="1:28">
      <c r="A16" s="496" t="s">
        <v>2417</v>
      </c>
      <c r="B16" s="496">
        <v>3400000373</v>
      </c>
      <c r="C16" s="496" t="s">
        <v>1293</v>
      </c>
      <c r="D16" s="497">
        <v>44224</v>
      </c>
      <c r="E16" s="498">
        <v>22988</v>
      </c>
      <c r="F16" s="496">
        <v>1007010001</v>
      </c>
      <c r="G16" s="496" t="s">
        <v>2416</v>
      </c>
      <c r="U16" s="965"/>
      <c r="V16" s="966"/>
      <c r="W16" s="966"/>
      <c r="X16" s="966"/>
      <c r="Y16" s="966"/>
      <c r="Z16" s="966"/>
      <c r="AA16" s="966"/>
      <c r="AB16" s="967"/>
    </row>
    <row r="17" spans="1:28">
      <c r="A17" s="496" t="s">
        <v>2418</v>
      </c>
      <c r="B17" s="496">
        <v>3400000396</v>
      </c>
      <c r="C17" s="496" t="s">
        <v>1293</v>
      </c>
      <c r="D17" s="497">
        <v>44224</v>
      </c>
      <c r="E17" s="498">
        <v>112957</v>
      </c>
      <c r="F17" s="496">
        <v>1007010001</v>
      </c>
      <c r="G17" s="496" t="s">
        <v>2419</v>
      </c>
      <c r="U17" s="968"/>
      <c r="V17" s="969"/>
      <c r="W17" s="969"/>
      <c r="X17" s="969"/>
      <c r="Y17" s="969"/>
      <c r="Z17" s="969"/>
      <c r="AA17" s="969"/>
      <c r="AB17" s="970"/>
    </row>
    <row r="18" spans="1:28">
      <c r="A18" s="496" t="s">
        <v>2303</v>
      </c>
      <c r="B18" s="496">
        <v>3400000402</v>
      </c>
      <c r="C18" s="496" t="s">
        <v>1293</v>
      </c>
      <c r="D18" s="497">
        <v>44224</v>
      </c>
      <c r="E18" s="498">
        <v>29382</v>
      </c>
      <c r="F18" s="496">
        <v>1007010001</v>
      </c>
      <c r="G18" s="496" t="s">
        <v>2420</v>
      </c>
    </row>
    <row r="19" spans="1:28">
      <c r="A19" s="496" t="s">
        <v>2303</v>
      </c>
      <c r="B19" s="496">
        <v>3400000402</v>
      </c>
      <c r="C19" s="496" t="s">
        <v>1293</v>
      </c>
      <c r="D19" s="497">
        <v>44224</v>
      </c>
      <c r="E19" s="498">
        <v>29382</v>
      </c>
      <c r="F19" s="496">
        <v>1007010002</v>
      </c>
      <c r="G19" s="496" t="s">
        <v>2420</v>
      </c>
    </row>
    <row r="20" spans="1:28">
      <c r="A20" s="496" t="s">
        <v>2303</v>
      </c>
      <c r="B20" s="496">
        <v>3400000402</v>
      </c>
      <c r="C20" s="496" t="s">
        <v>1293</v>
      </c>
      <c r="D20" s="497">
        <v>44224</v>
      </c>
      <c r="E20" s="498">
        <v>29382</v>
      </c>
      <c r="F20" s="496">
        <v>1007010006</v>
      </c>
      <c r="G20" s="496" t="s">
        <v>2420</v>
      </c>
    </row>
    <row r="21" spans="1:28">
      <c r="A21" s="496" t="s">
        <v>2303</v>
      </c>
      <c r="B21" s="496">
        <v>3400000402</v>
      </c>
      <c r="C21" s="496" t="s">
        <v>1293</v>
      </c>
      <c r="D21" s="497">
        <v>44224</v>
      </c>
      <c r="E21" s="498">
        <v>29382</v>
      </c>
      <c r="F21" s="496">
        <v>1007010010</v>
      </c>
      <c r="G21" s="496" t="s">
        <v>2420</v>
      </c>
    </row>
    <row r="22" spans="1:28">
      <c r="A22" s="496" t="s">
        <v>2303</v>
      </c>
      <c r="B22" s="496">
        <v>3400000402</v>
      </c>
      <c r="C22" s="496" t="s">
        <v>1293</v>
      </c>
      <c r="D22" s="497">
        <v>44224</v>
      </c>
      <c r="E22" s="498">
        <v>29382</v>
      </c>
      <c r="F22" s="496">
        <v>1007010012</v>
      </c>
      <c r="G22" s="496" t="s">
        <v>2420</v>
      </c>
    </row>
    <row r="23" spans="1:28">
      <c r="A23" s="496" t="s">
        <v>2303</v>
      </c>
      <c r="B23" s="496">
        <v>3400000402</v>
      </c>
      <c r="C23" s="496" t="s">
        <v>1293</v>
      </c>
      <c r="D23" s="497">
        <v>44224</v>
      </c>
      <c r="E23" s="498">
        <v>29382</v>
      </c>
      <c r="F23" s="496">
        <v>1007010004</v>
      </c>
      <c r="G23" s="496" t="s">
        <v>2420</v>
      </c>
    </row>
    <row r="24" spans="1:28">
      <c r="A24" s="496" t="s">
        <v>2303</v>
      </c>
      <c r="B24" s="496">
        <v>3400000402</v>
      </c>
      <c r="C24" s="496" t="s">
        <v>1293</v>
      </c>
      <c r="D24" s="497">
        <v>44224</v>
      </c>
      <c r="E24" s="498">
        <v>29382</v>
      </c>
      <c r="F24" s="496">
        <v>1007010011</v>
      </c>
      <c r="G24" s="496" t="s">
        <v>2420</v>
      </c>
    </row>
    <row r="25" spans="1:28">
      <c r="A25" s="496" t="s">
        <v>2303</v>
      </c>
      <c r="B25" s="496">
        <v>3400000402</v>
      </c>
      <c r="C25" s="496" t="s">
        <v>1293</v>
      </c>
      <c r="D25" s="497">
        <v>44224</v>
      </c>
      <c r="E25" s="498">
        <v>29382</v>
      </c>
      <c r="F25" s="496">
        <v>1007010009</v>
      </c>
      <c r="G25" s="496" t="s">
        <v>2420</v>
      </c>
    </row>
    <row r="26" spans="1:28">
      <c r="A26" s="496" t="s">
        <v>2303</v>
      </c>
      <c r="B26" s="496">
        <v>3400000402</v>
      </c>
      <c r="C26" s="496" t="s">
        <v>1293</v>
      </c>
      <c r="D26" s="497">
        <v>44224</v>
      </c>
      <c r="E26" s="498">
        <v>29382</v>
      </c>
      <c r="F26" s="496">
        <v>1007010007</v>
      </c>
      <c r="G26" s="496" t="s">
        <v>2420</v>
      </c>
    </row>
    <row r="27" spans="1:28">
      <c r="A27" s="496" t="s">
        <v>2303</v>
      </c>
      <c r="B27" s="496">
        <v>3400000410</v>
      </c>
      <c r="C27" s="496" t="s">
        <v>1293</v>
      </c>
      <c r="D27" s="497">
        <v>44224</v>
      </c>
      <c r="E27" s="498">
        <v>29382</v>
      </c>
      <c r="F27" s="496">
        <v>1007010001</v>
      </c>
      <c r="G27" s="496" t="s">
        <v>2420</v>
      </c>
    </row>
    <row r="28" spans="1:28">
      <c r="A28" s="496" t="s">
        <v>2303</v>
      </c>
      <c r="B28" s="496">
        <v>3400000410</v>
      </c>
      <c r="C28" s="496" t="s">
        <v>1293</v>
      </c>
      <c r="D28" s="497">
        <v>44224</v>
      </c>
      <c r="E28" s="498">
        <v>29382</v>
      </c>
      <c r="F28" s="496">
        <v>1007010002</v>
      </c>
      <c r="G28" s="496" t="s">
        <v>2420</v>
      </c>
    </row>
    <row r="29" spans="1:28">
      <c r="A29" s="496" t="s">
        <v>2303</v>
      </c>
      <c r="B29" s="496">
        <v>3400000410</v>
      </c>
      <c r="C29" s="496" t="s">
        <v>1293</v>
      </c>
      <c r="D29" s="497">
        <v>44224</v>
      </c>
      <c r="E29" s="498">
        <v>29382</v>
      </c>
      <c r="F29" s="496">
        <v>1007010006</v>
      </c>
      <c r="G29" s="496" t="s">
        <v>2420</v>
      </c>
    </row>
    <row r="30" spans="1:28">
      <c r="A30" s="496" t="s">
        <v>2303</v>
      </c>
      <c r="B30" s="496">
        <v>3400000410</v>
      </c>
      <c r="C30" s="496" t="s">
        <v>1293</v>
      </c>
      <c r="D30" s="497">
        <v>44224</v>
      </c>
      <c r="E30" s="498">
        <v>29382</v>
      </c>
      <c r="F30" s="496">
        <v>1007010010</v>
      </c>
      <c r="G30" s="496" t="s">
        <v>2420</v>
      </c>
    </row>
    <row r="31" spans="1:28">
      <c r="A31" s="496" t="s">
        <v>2303</v>
      </c>
      <c r="B31" s="496">
        <v>3400000410</v>
      </c>
      <c r="C31" s="496" t="s">
        <v>1293</v>
      </c>
      <c r="D31" s="497">
        <v>44224</v>
      </c>
      <c r="E31" s="498">
        <v>29382</v>
      </c>
      <c r="F31" s="496">
        <v>1007010012</v>
      </c>
      <c r="G31" s="496" t="s">
        <v>2420</v>
      </c>
    </row>
    <row r="32" spans="1:28">
      <c r="A32" s="496" t="s">
        <v>2303</v>
      </c>
      <c r="B32" s="496">
        <v>3400000410</v>
      </c>
      <c r="C32" s="496" t="s">
        <v>1293</v>
      </c>
      <c r="D32" s="497">
        <v>44224</v>
      </c>
      <c r="E32" s="498">
        <v>29382</v>
      </c>
      <c r="F32" s="496">
        <v>1007010004</v>
      </c>
      <c r="G32" s="496" t="s">
        <v>2420</v>
      </c>
    </row>
    <row r="33" spans="1:7">
      <c r="A33" s="496" t="s">
        <v>2303</v>
      </c>
      <c r="B33" s="496">
        <v>3400000410</v>
      </c>
      <c r="C33" s="496" t="s">
        <v>1293</v>
      </c>
      <c r="D33" s="497">
        <v>44224</v>
      </c>
      <c r="E33" s="498">
        <v>29382</v>
      </c>
      <c r="F33" s="496">
        <v>1007010011</v>
      </c>
      <c r="G33" s="496" t="s">
        <v>2420</v>
      </c>
    </row>
    <row r="34" spans="1:7">
      <c r="A34" s="496" t="s">
        <v>2303</v>
      </c>
      <c r="B34" s="496">
        <v>3400000410</v>
      </c>
      <c r="C34" s="496" t="s">
        <v>1293</v>
      </c>
      <c r="D34" s="497">
        <v>44224</v>
      </c>
      <c r="E34" s="498">
        <v>29382</v>
      </c>
      <c r="F34" s="496">
        <v>1007010009</v>
      </c>
      <c r="G34" s="496" t="s">
        <v>2420</v>
      </c>
    </row>
    <row r="35" spans="1:7">
      <c r="A35" s="496" t="s">
        <v>2303</v>
      </c>
      <c r="B35" s="496">
        <v>3400000410</v>
      </c>
      <c r="C35" s="496" t="s">
        <v>1293</v>
      </c>
      <c r="D35" s="497">
        <v>44224</v>
      </c>
      <c r="E35" s="498">
        <v>29382</v>
      </c>
      <c r="F35" s="496">
        <v>1007010007</v>
      </c>
      <c r="G35" s="496" t="s">
        <v>2420</v>
      </c>
    </row>
    <row r="36" spans="1:7">
      <c r="A36" s="496" t="s">
        <v>2421</v>
      </c>
      <c r="B36" s="496">
        <v>3400000856</v>
      </c>
      <c r="C36" s="496" t="s">
        <v>1293</v>
      </c>
      <c r="D36" s="497">
        <v>44250</v>
      </c>
      <c r="E36" s="498">
        <v>112957</v>
      </c>
      <c r="F36" s="496">
        <v>1007010001</v>
      </c>
      <c r="G36" s="496" t="s">
        <v>2419</v>
      </c>
    </row>
    <row r="37" spans="1:7">
      <c r="A37" s="496" t="s">
        <v>2422</v>
      </c>
      <c r="B37" s="496">
        <v>3400000886</v>
      </c>
      <c r="C37" s="496" t="s">
        <v>1293</v>
      </c>
      <c r="D37" s="497">
        <v>44252</v>
      </c>
      <c r="E37" s="498">
        <v>22988</v>
      </c>
      <c r="F37" s="496">
        <v>1007010001</v>
      </c>
      <c r="G37" s="496" t="s">
        <v>2416</v>
      </c>
    </row>
    <row r="38" spans="1:7">
      <c r="A38" s="496" t="s">
        <v>2423</v>
      </c>
      <c r="B38" s="496">
        <v>3400000931</v>
      </c>
      <c r="C38" s="496" t="s">
        <v>1293</v>
      </c>
      <c r="D38" s="497">
        <v>44252</v>
      </c>
      <c r="E38" s="498">
        <v>30786</v>
      </c>
      <c r="F38" s="496">
        <v>1007010001</v>
      </c>
      <c r="G38" s="496" t="s">
        <v>2424</v>
      </c>
    </row>
    <row r="39" spans="1:7">
      <c r="A39" s="496" t="s">
        <v>2423</v>
      </c>
      <c r="B39" s="496">
        <v>3400000931</v>
      </c>
      <c r="C39" s="496" t="s">
        <v>1293</v>
      </c>
      <c r="D39" s="497">
        <v>44252</v>
      </c>
      <c r="E39" s="498">
        <v>30786</v>
      </c>
      <c r="F39" s="496">
        <v>1007010002</v>
      </c>
      <c r="G39" s="496" t="s">
        <v>2424</v>
      </c>
    </row>
    <row r="40" spans="1:7">
      <c r="A40" s="496" t="s">
        <v>2423</v>
      </c>
      <c r="B40" s="496">
        <v>3400000931</v>
      </c>
      <c r="C40" s="496" t="s">
        <v>1293</v>
      </c>
      <c r="D40" s="497">
        <v>44252</v>
      </c>
      <c r="E40" s="498">
        <v>30786</v>
      </c>
      <c r="F40" s="496">
        <v>1007010006</v>
      </c>
      <c r="G40" s="496" t="s">
        <v>2424</v>
      </c>
    </row>
    <row r="41" spans="1:7">
      <c r="A41" s="496" t="s">
        <v>2423</v>
      </c>
      <c r="B41" s="496">
        <v>3400000931</v>
      </c>
      <c r="C41" s="496" t="s">
        <v>1293</v>
      </c>
      <c r="D41" s="497">
        <v>44252</v>
      </c>
      <c r="E41" s="498">
        <v>30785</v>
      </c>
      <c r="F41" s="496">
        <v>1007010010</v>
      </c>
      <c r="G41" s="496" t="s">
        <v>2424</v>
      </c>
    </row>
    <row r="42" spans="1:7">
      <c r="A42" s="496" t="s">
        <v>2423</v>
      </c>
      <c r="B42" s="496">
        <v>3400000931</v>
      </c>
      <c r="C42" s="496" t="s">
        <v>1293</v>
      </c>
      <c r="D42" s="497">
        <v>44252</v>
      </c>
      <c r="E42" s="498">
        <v>30785</v>
      </c>
      <c r="F42" s="496">
        <v>1007010012</v>
      </c>
      <c r="G42" s="496" t="s">
        <v>2424</v>
      </c>
    </row>
    <row r="43" spans="1:7">
      <c r="A43" s="496" t="s">
        <v>2423</v>
      </c>
      <c r="B43" s="496">
        <v>3400000931</v>
      </c>
      <c r="C43" s="496" t="s">
        <v>1293</v>
      </c>
      <c r="D43" s="497">
        <v>44252</v>
      </c>
      <c r="E43" s="498">
        <v>30785</v>
      </c>
      <c r="F43" s="496">
        <v>1007010004</v>
      </c>
      <c r="G43" s="496" t="s">
        <v>2424</v>
      </c>
    </row>
    <row r="44" spans="1:7">
      <c r="A44" s="496" t="s">
        <v>2423</v>
      </c>
      <c r="B44" s="496">
        <v>3400000931</v>
      </c>
      <c r="C44" s="496" t="s">
        <v>1293</v>
      </c>
      <c r="D44" s="497">
        <v>44252</v>
      </c>
      <c r="E44" s="498">
        <v>30785</v>
      </c>
      <c r="F44" s="496">
        <v>1007010011</v>
      </c>
      <c r="G44" s="496" t="s">
        <v>2424</v>
      </c>
    </row>
    <row r="45" spans="1:7">
      <c r="A45" s="496" t="s">
        <v>2423</v>
      </c>
      <c r="B45" s="496">
        <v>3400000931</v>
      </c>
      <c r="C45" s="496" t="s">
        <v>1293</v>
      </c>
      <c r="D45" s="497">
        <v>44252</v>
      </c>
      <c r="E45" s="498">
        <v>30785</v>
      </c>
      <c r="F45" s="496">
        <v>1007010009</v>
      </c>
      <c r="G45" s="496" t="s">
        <v>2424</v>
      </c>
    </row>
    <row r="46" spans="1:7">
      <c r="A46" s="496" t="s">
        <v>2423</v>
      </c>
      <c r="B46" s="496">
        <v>3400000931</v>
      </c>
      <c r="C46" s="496" t="s">
        <v>1293</v>
      </c>
      <c r="D46" s="497">
        <v>44252</v>
      </c>
      <c r="E46" s="498">
        <v>30785</v>
      </c>
      <c r="F46" s="496">
        <v>1007010007</v>
      </c>
      <c r="G46" s="496" t="s">
        <v>2424</v>
      </c>
    </row>
    <row r="47" spans="1:7">
      <c r="A47" s="496" t="s">
        <v>2425</v>
      </c>
      <c r="B47" s="496">
        <v>3400001399</v>
      </c>
      <c r="C47" s="496" t="s">
        <v>1293</v>
      </c>
      <c r="D47" s="497">
        <v>44281</v>
      </c>
      <c r="E47" s="498">
        <v>112957</v>
      </c>
      <c r="F47" s="496">
        <v>1007010001</v>
      </c>
      <c r="G47" s="496" t="s">
        <v>2419</v>
      </c>
    </row>
    <row r="48" spans="1:7">
      <c r="A48" s="496" t="s">
        <v>2426</v>
      </c>
      <c r="B48" s="496">
        <v>3400001404</v>
      </c>
      <c r="C48" s="496" t="s">
        <v>1293</v>
      </c>
      <c r="D48" s="497">
        <v>44281</v>
      </c>
      <c r="E48" s="498">
        <v>22988</v>
      </c>
      <c r="F48" s="496">
        <v>1007010001</v>
      </c>
      <c r="G48" s="496" t="s">
        <v>2427</v>
      </c>
    </row>
    <row r="49" spans="1:7">
      <c r="A49" s="496" t="s">
        <v>2428</v>
      </c>
      <c r="B49" s="496">
        <v>3400001434</v>
      </c>
      <c r="C49" s="496" t="s">
        <v>1293</v>
      </c>
      <c r="D49" s="497">
        <v>44282</v>
      </c>
      <c r="E49" s="498">
        <v>36358</v>
      </c>
      <c r="F49" s="496">
        <v>1007010001</v>
      </c>
      <c r="G49" s="496" t="s">
        <v>2424</v>
      </c>
    </row>
    <row r="50" spans="1:7">
      <c r="A50" s="496" t="s">
        <v>2428</v>
      </c>
      <c r="B50" s="496">
        <v>3400001434</v>
      </c>
      <c r="C50" s="496" t="s">
        <v>1293</v>
      </c>
      <c r="D50" s="497">
        <v>44282</v>
      </c>
      <c r="E50" s="498">
        <v>36358</v>
      </c>
      <c r="F50" s="496">
        <v>1007010002</v>
      </c>
      <c r="G50" s="496" t="s">
        <v>2424</v>
      </c>
    </row>
    <row r="51" spans="1:7">
      <c r="A51" s="496" t="s">
        <v>2428</v>
      </c>
      <c r="B51" s="496">
        <v>3400001434</v>
      </c>
      <c r="C51" s="496" t="s">
        <v>1293</v>
      </c>
      <c r="D51" s="497">
        <v>44282</v>
      </c>
      <c r="E51" s="498">
        <v>36358</v>
      </c>
      <c r="F51" s="496">
        <v>1007010006</v>
      </c>
      <c r="G51" s="496" t="s">
        <v>2424</v>
      </c>
    </row>
    <row r="52" spans="1:7">
      <c r="A52" s="496" t="s">
        <v>2428</v>
      </c>
      <c r="B52" s="496">
        <v>3400001434</v>
      </c>
      <c r="C52" s="496" t="s">
        <v>1293</v>
      </c>
      <c r="D52" s="497">
        <v>44282</v>
      </c>
      <c r="E52" s="498">
        <v>36358</v>
      </c>
      <c r="F52" s="496">
        <v>1007010010</v>
      </c>
      <c r="G52" s="496" t="s">
        <v>2424</v>
      </c>
    </row>
    <row r="53" spans="1:7">
      <c r="A53" s="496" t="s">
        <v>2428</v>
      </c>
      <c r="B53" s="496">
        <v>3400001434</v>
      </c>
      <c r="C53" s="496" t="s">
        <v>1293</v>
      </c>
      <c r="D53" s="497">
        <v>44282</v>
      </c>
      <c r="E53" s="498">
        <v>36358</v>
      </c>
      <c r="F53" s="496">
        <v>1007010012</v>
      </c>
      <c r="G53" s="496" t="s">
        <v>2424</v>
      </c>
    </row>
    <row r="54" spans="1:7">
      <c r="A54" s="496" t="s">
        <v>2428</v>
      </c>
      <c r="B54" s="496">
        <v>3400001434</v>
      </c>
      <c r="C54" s="496" t="s">
        <v>1293</v>
      </c>
      <c r="D54" s="497">
        <v>44282</v>
      </c>
      <c r="E54" s="498">
        <v>36358</v>
      </c>
      <c r="F54" s="496">
        <v>1007010004</v>
      </c>
      <c r="G54" s="496" t="s">
        <v>2424</v>
      </c>
    </row>
    <row r="55" spans="1:7">
      <c r="A55" s="496" t="s">
        <v>2428</v>
      </c>
      <c r="B55" s="496">
        <v>3400001434</v>
      </c>
      <c r="C55" s="496" t="s">
        <v>1293</v>
      </c>
      <c r="D55" s="497">
        <v>44282</v>
      </c>
      <c r="E55" s="498">
        <v>36358</v>
      </c>
      <c r="F55" s="496">
        <v>1007010011</v>
      </c>
      <c r="G55" s="496" t="s">
        <v>2424</v>
      </c>
    </row>
    <row r="56" spans="1:7">
      <c r="A56" s="496" t="s">
        <v>2428</v>
      </c>
      <c r="B56" s="496">
        <v>3400001434</v>
      </c>
      <c r="C56" s="496" t="s">
        <v>1293</v>
      </c>
      <c r="D56" s="497">
        <v>44282</v>
      </c>
      <c r="E56" s="498">
        <v>36358</v>
      </c>
      <c r="F56" s="496">
        <v>1007010009</v>
      </c>
      <c r="G56" s="496" t="s">
        <v>2424</v>
      </c>
    </row>
    <row r="57" spans="1:7">
      <c r="A57" s="496" t="s">
        <v>2428</v>
      </c>
      <c r="B57" s="496">
        <v>3400001434</v>
      </c>
      <c r="C57" s="496" t="s">
        <v>1293</v>
      </c>
      <c r="D57" s="497">
        <v>44282</v>
      </c>
      <c r="E57" s="498">
        <v>36358</v>
      </c>
      <c r="F57" s="496">
        <v>1007010007</v>
      </c>
      <c r="G57" s="496" t="s">
        <v>2424</v>
      </c>
    </row>
    <row r="58" spans="1:7">
      <c r="A58" s="496" t="s">
        <v>2429</v>
      </c>
      <c r="B58" s="496">
        <v>3400001685</v>
      </c>
      <c r="C58" s="496" t="s">
        <v>1293</v>
      </c>
      <c r="D58" s="497">
        <v>44305</v>
      </c>
      <c r="E58" s="498">
        <v>22988</v>
      </c>
      <c r="F58" s="496">
        <v>1007010001</v>
      </c>
      <c r="G58" s="496" t="s">
        <v>2416</v>
      </c>
    </row>
    <row r="59" spans="1:7">
      <c r="A59" s="496" t="s">
        <v>2430</v>
      </c>
      <c r="B59" s="496">
        <v>3400001690</v>
      </c>
      <c r="C59" s="496" t="s">
        <v>1293</v>
      </c>
      <c r="D59" s="497">
        <v>44305</v>
      </c>
      <c r="E59" s="498">
        <v>30615</v>
      </c>
      <c r="F59" s="496">
        <v>1007010001</v>
      </c>
      <c r="G59" s="496" t="s">
        <v>2424</v>
      </c>
    </row>
    <row r="60" spans="1:7">
      <c r="A60" s="496" t="s">
        <v>2430</v>
      </c>
      <c r="B60" s="496">
        <v>3400001690</v>
      </c>
      <c r="C60" s="496" t="s">
        <v>1293</v>
      </c>
      <c r="D60" s="497">
        <v>44305</v>
      </c>
      <c r="E60" s="498">
        <v>30615</v>
      </c>
      <c r="F60" s="496">
        <v>1007010002</v>
      </c>
      <c r="G60" s="496" t="s">
        <v>2424</v>
      </c>
    </row>
    <row r="61" spans="1:7">
      <c r="A61" s="496" t="s">
        <v>2430</v>
      </c>
      <c r="B61" s="496">
        <v>3400001690</v>
      </c>
      <c r="C61" s="496" t="s">
        <v>1293</v>
      </c>
      <c r="D61" s="497">
        <v>44305</v>
      </c>
      <c r="E61" s="498">
        <v>30615</v>
      </c>
      <c r="F61" s="496">
        <v>1007010006</v>
      </c>
      <c r="G61" s="496" t="s">
        <v>2424</v>
      </c>
    </row>
    <row r="62" spans="1:7">
      <c r="A62" s="496" t="s">
        <v>2430</v>
      </c>
      <c r="B62" s="496">
        <v>3400001690</v>
      </c>
      <c r="C62" s="496" t="s">
        <v>1293</v>
      </c>
      <c r="D62" s="497">
        <v>44305</v>
      </c>
      <c r="E62" s="498">
        <v>30615</v>
      </c>
      <c r="F62" s="496">
        <v>1007010010</v>
      </c>
      <c r="G62" s="496" t="s">
        <v>2424</v>
      </c>
    </row>
    <row r="63" spans="1:7">
      <c r="A63" s="496" t="s">
        <v>2430</v>
      </c>
      <c r="B63" s="496">
        <v>3400001690</v>
      </c>
      <c r="C63" s="496" t="s">
        <v>1293</v>
      </c>
      <c r="D63" s="497">
        <v>44305</v>
      </c>
      <c r="E63" s="498">
        <v>30615</v>
      </c>
      <c r="F63" s="496">
        <v>1007010012</v>
      </c>
      <c r="G63" s="496" t="s">
        <v>2424</v>
      </c>
    </row>
    <row r="64" spans="1:7">
      <c r="A64" s="496" t="s">
        <v>2430</v>
      </c>
      <c r="B64" s="496">
        <v>3400001690</v>
      </c>
      <c r="C64" s="496" t="s">
        <v>1293</v>
      </c>
      <c r="D64" s="497">
        <v>44305</v>
      </c>
      <c r="E64" s="498">
        <v>30615</v>
      </c>
      <c r="F64" s="496">
        <v>1007010004</v>
      </c>
      <c r="G64" s="496" t="s">
        <v>2424</v>
      </c>
    </row>
    <row r="65" spans="1:7">
      <c r="A65" s="496" t="s">
        <v>2430</v>
      </c>
      <c r="B65" s="496">
        <v>3400001690</v>
      </c>
      <c r="C65" s="496" t="s">
        <v>1293</v>
      </c>
      <c r="D65" s="497">
        <v>44305</v>
      </c>
      <c r="E65" s="498">
        <v>30615</v>
      </c>
      <c r="F65" s="496">
        <v>1007010011</v>
      </c>
      <c r="G65" s="496" t="s">
        <v>2424</v>
      </c>
    </row>
    <row r="66" spans="1:7">
      <c r="A66" s="496" t="s">
        <v>2430</v>
      </c>
      <c r="B66" s="496">
        <v>3400001690</v>
      </c>
      <c r="C66" s="496" t="s">
        <v>1293</v>
      </c>
      <c r="D66" s="497">
        <v>44305</v>
      </c>
      <c r="E66" s="498">
        <v>30615</v>
      </c>
      <c r="F66" s="496">
        <v>1007010009</v>
      </c>
      <c r="G66" s="496" t="s">
        <v>2424</v>
      </c>
    </row>
    <row r="67" spans="1:7">
      <c r="A67" s="496" t="s">
        <v>2430</v>
      </c>
      <c r="B67" s="496">
        <v>3400001690</v>
      </c>
      <c r="C67" s="496" t="s">
        <v>1293</v>
      </c>
      <c r="D67" s="497">
        <v>44305</v>
      </c>
      <c r="E67" s="498">
        <v>30615</v>
      </c>
      <c r="F67" s="496">
        <v>1007010007</v>
      </c>
      <c r="G67" s="496" t="s">
        <v>2424</v>
      </c>
    </row>
    <row r="68" spans="1:7">
      <c r="A68" s="496" t="s">
        <v>2431</v>
      </c>
      <c r="B68" s="496">
        <v>3400001797</v>
      </c>
      <c r="C68" s="496" t="s">
        <v>1293</v>
      </c>
      <c r="D68" s="497">
        <v>44310</v>
      </c>
      <c r="E68" s="498">
        <v>112957</v>
      </c>
      <c r="F68" s="496">
        <v>1007010001</v>
      </c>
      <c r="G68" s="496" t="s">
        <v>2419</v>
      </c>
    </row>
    <row r="69" spans="1:7">
      <c r="A69" s="496" t="s">
        <v>2432</v>
      </c>
      <c r="B69" s="496">
        <v>3400002109</v>
      </c>
      <c r="C69" s="496" t="s">
        <v>1293</v>
      </c>
      <c r="D69" s="497">
        <v>44337</v>
      </c>
      <c r="E69" s="498">
        <v>31508</v>
      </c>
      <c r="F69" s="496">
        <v>1007010001</v>
      </c>
      <c r="G69" s="496" t="s">
        <v>2433</v>
      </c>
    </row>
    <row r="70" spans="1:7">
      <c r="A70" s="496" t="s">
        <v>2432</v>
      </c>
      <c r="B70" s="496">
        <v>3400002109</v>
      </c>
      <c r="C70" s="496" t="s">
        <v>1293</v>
      </c>
      <c r="D70" s="497">
        <v>44337</v>
      </c>
      <c r="E70" s="498">
        <v>31508</v>
      </c>
      <c r="F70" s="496">
        <v>1007010002</v>
      </c>
      <c r="G70" s="496" t="s">
        <v>2433</v>
      </c>
    </row>
    <row r="71" spans="1:7">
      <c r="A71" s="496" t="s">
        <v>2432</v>
      </c>
      <c r="B71" s="496">
        <v>3400002109</v>
      </c>
      <c r="C71" s="496" t="s">
        <v>1293</v>
      </c>
      <c r="D71" s="497">
        <v>44337</v>
      </c>
      <c r="E71" s="498">
        <v>31508</v>
      </c>
      <c r="F71" s="496">
        <v>1007010006</v>
      </c>
      <c r="G71" s="496" t="s">
        <v>2433</v>
      </c>
    </row>
    <row r="72" spans="1:7">
      <c r="A72" s="496" t="s">
        <v>2432</v>
      </c>
      <c r="B72" s="496">
        <v>3400002109</v>
      </c>
      <c r="C72" s="496" t="s">
        <v>1293</v>
      </c>
      <c r="D72" s="497">
        <v>44337</v>
      </c>
      <c r="E72" s="498">
        <v>31508</v>
      </c>
      <c r="F72" s="496">
        <v>1007010010</v>
      </c>
      <c r="G72" s="496" t="s">
        <v>2433</v>
      </c>
    </row>
    <row r="73" spans="1:7">
      <c r="A73" s="496" t="s">
        <v>2432</v>
      </c>
      <c r="B73" s="496">
        <v>3400002109</v>
      </c>
      <c r="C73" s="496" t="s">
        <v>1293</v>
      </c>
      <c r="D73" s="497">
        <v>44337</v>
      </c>
      <c r="E73" s="498">
        <v>31508</v>
      </c>
      <c r="F73" s="496">
        <v>1007010012</v>
      </c>
      <c r="G73" s="496" t="s">
        <v>2433</v>
      </c>
    </row>
    <row r="74" spans="1:7">
      <c r="A74" s="496" t="s">
        <v>2432</v>
      </c>
      <c r="B74" s="496">
        <v>3400002109</v>
      </c>
      <c r="C74" s="496" t="s">
        <v>1293</v>
      </c>
      <c r="D74" s="497">
        <v>44337</v>
      </c>
      <c r="E74" s="498">
        <v>31508</v>
      </c>
      <c r="F74" s="496">
        <v>1007010004</v>
      </c>
      <c r="G74" s="496" t="s">
        <v>2433</v>
      </c>
    </row>
    <row r="75" spans="1:7">
      <c r="A75" s="496" t="s">
        <v>2432</v>
      </c>
      <c r="B75" s="496">
        <v>3400002109</v>
      </c>
      <c r="C75" s="496" t="s">
        <v>1293</v>
      </c>
      <c r="D75" s="497">
        <v>44337</v>
      </c>
      <c r="E75" s="498">
        <v>31508</v>
      </c>
      <c r="F75" s="496">
        <v>1007010011</v>
      </c>
      <c r="G75" s="496" t="s">
        <v>2433</v>
      </c>
    </row>
    <row r="76" spans="1:7">
      <c r="A76" s="496" t="s">
        <v>2432</v>
      </c>
      <c r="B76" s="496">
        <v>3400002109</v>
      </c>
      <c r="C76" s="496" t="s">
        <v>1293</v>
      </c>
      <c r="D76" s="497">
        <v>44337</v>
      </c>
      <c r="E76" s="498">
        <v>31508</v>
      </c>
      <c r="F76" s="496">
        <v>1007010009</v>
      </c>
      <c r="G76" s="496" t="s">
        <v>2433</v>
      </c>
    </row>
    <row r="77" spans="1:7">
      <c r="A77" s="496" t="s">
        <v>2432</v>
      </c>
      <c r="B77" s="496">
        <v>3400002109</v>
      </c>
      <c r="C77" s="496" t="s">
        <v>1293</v>
      </c>
      <c r="D77" s="497">
        <v>44337</v>
      </c>
      <c r="E77" s="498">
        <v>31508</v>
      </c>
      <c r="F77" s="496">
        <v>1007010007</v>
      </c>
      <c r="G77" s="496" t="s">
        <v>2433</v>
      </c>
    </row>
    <row r="78" spans="1:7">
      <c r="A78" s="496" t="s">
        <v>2434</v>
      </c>
      <c r="B78" s="496">
        <v>3400002114</v>
      </c>
      <c r="C78" s="496" t="s">
        <v>1293</v>
      </c>
      <c r="D78" s="497">
        <v>44337</v>
      </c>
      <c r="E78" s="498">
        <v>22988</v>
      </c>
      <c r="F78" s="496">
        <v>1007010001</v>
      </c>
      <c r="G78" s="496" t="s">
        <v>2416</v>
      </c>
    </row>
    <row r="79" spans="1:7">
      <c r="A79" s="496" t="s">
        <v>2425</v>
      </c>
      <c r="B79" s="496">
        <v>3400002136</v>
      </c>
      <c r="C79" s="496" t="s">
        <v>1293</v>
      </c>
      <c r="D79" s="497">
        <v>44340</v>
      </c>
      <c r="E79" s="498">
        <v>112957</v>
      </c>
      <c r="F79" s="496">
        <v>1007010001</v>
      </c>
      <c r="G79" s="496" t="s">
        <v>2419</v>
      </c>
    </row>
    <row r="80" spans="1:7">
      <c r="A80" s="496" t="s">
        <v>2435</v>
      </c>
      <c r="B80" s="496">
        <v>3400002387</v>
      </c>
      <c r="C80" s="496" t="s">
        <v>1293</v>
      </c>
      <c r="D80" s="497">
        <v>44369</v>
      </c>
      <c r="E80" s="498">
        <v>32571</v>
      </c>
      <c r="F80" s="496">
        <v>1007010001</v>
      </c>
      <c r="G80" s="496" t="s">
        <v>2433</v>
      </c>
    </row>
    <row r="81" spans="1:7">
      <c r="A81" s="496" t="s">
        <v>2435</v>
      </c>
      <c r="B81" s="496">
        <v>3400002387</v>
      </c>
      <c r="C81" s="496" t="s">
        <v>1293</v>
      </c>
      <c r="D81" s="497">
        <v>44369</v>
      </c>
      <c r="E81" s="498">
        <v>32571</v>
      </c>
      <c r="F81" s="496">
        <v>1007010002</v>
      </c>
      <c r="G81" s="496" t="s">
        <v>2433</v>
      </c>
    </row>
    <row r="82" spans="1:7">
      <c r="A82" s="496" t="s">
        <v>2435</v>
      </c>
      <c r="B82" s="496">
        <v>3400002387</v>
      </c>
      <c r="C82" s="496" t="s">
        <v>1293</v>
      </c>
      <c r="D82" s="497">
        <v>44369</v>
      </c>
      <c r="E82" s="498">
        <v>32571</v>
      </c>
      <c r="F82" s="496">
        <v>1007010006</v>
      </c>
      <c r="G82" s="496" t="s">
        <v>2433</v>
      </c>
    </row>
    <row r="83" spans="1:7">
      <c r="A83" s="496" t="s">
        <v>2435</v>
      </c>
      <c r="B83" s="496">
        <v>3400002387</v>
      </c>
      <c r="C83" s="496" t="s">
        <v>1293</v>
      </c>
      <c r="D83" s="497">
        <v>44369</v>
      </c>
      <c r="E83" s="498">
        <v>32571</v>
      </c>
      <c r="F83" s="496">
        <v>1007010010</v>
      </c>
      <c r="G83" s="496" t="s">
        <v>2433</v>
      </c>
    </row>
    <row r="84" spans="1:7">
      <c r="A84" s="496" t="s">
        <v>2435</v>
      </c>
      <c r="B84" s="496">
        <v>3400002387</v>
      </c>
      <c r="C84" s="496" t="s">
        <v>1293</v>
      </c>
      <c r="D84" s="497">
        <v>44369</v>
      </c>
      <c r="E84" s="498">
        <v>32571</v>
      </c>
      <c r="F84" s="496">
        <v>1007010012</v>
      </c>
      <c r="G84" s="496" t="s">
        <v>2433</v>
      </c>
    </row>
    <row r="85" spans="1:7">
      <c r="A85" s="496" t="s">
        <v>2435</v>
      </c>
      <c r="B85" s="496">
        <v>3400002387</v>
      </c>
      <c r="C85" s="496" t="s">
        <v>1293</v>
      </c>
      <c r="D85" s="497">
        <v>44369</v>
      </c>
      <c r="E85" s="498">
        <v>32571</v>
      </c>
      <c r="F85" s="496">
        <v>1007010004</v>
      </c>
      <c r="G85" s="496" t="s">
        <v>2433</v>
      </c>
    </row>
    <row r="86" spans="1:7">
      <c r="A86" s="496" t="s">
        <v>2435</v>
      </c>
      <c r="B86" s="496">
        <v>3400002387</v>
      </c>
      <c r="C86" s="496" t="s">
        <v>1293</v>
      </c>
      <c r="D86" s="497">
        <v>44369</v>
      </c>
      <c r="E86" s="498">
        <v>32571</v>
      </c>
      <c r="F86" s="496">
        <v>1007010011</v>
      </c>
      <c r="G86" s="496" t="s">
        <v>2433</v>
      </c>
    </row>
    <row r="87" spans="1:7">
      <c r="A87" s="496" t="s">
        <v>2435</v>
      </c>
      <c r="B87" s="496">
        <v>3400002387</v>
      </c>
      <c r="C87" s="496" t="s">
        <v>1293</v>
      </c>
      <c r="D87" s="497">
        <v>44369</v>
      </c>
      <c r="E87" s="498">
        <v>32571</v>
      </c>
      <c r="F87" s="496">
        <v>1007010009</v>
      </c>
      <c r="G87" s="496" t="s">
        <v>2433</v>
      </c>
    </row>
    <row r="88" spans="1:7">
      <c r="A88" s="496" t="s">
        <v>2435</v>
      </c>
      <c r="B88" s="496">
        <v>3400002387</v>
      </c>
      <c r="C88" s="496" t="s">
        <v>1293</v>
      </c>
      <c r="D88" s="497">
        <v>44369</v>
      </c>
      <c r="E88" s="498">
        <v>32571</v>
      </c>
      <c r="F88" s="496">
        <v>1007010007</v>
      </c>
      <c r="G88" s="496" t="s">
        <v>2433</v>
      </c>
    </row>
    <row r="89" spans="1:7">
      <c r="A89" s="496" t="s">
        <v>2436</v>
      </c>
      <c r="B89" s="496">
        <v>3400002412</v>
      </c>
      <c r="C89" s="496" t="s">
        <v>1293</v>
      </c>
      <c r="D89" s="497">
        <v>44371</v>
      </c>
      <c r="E89" s="498">
        <v>112957</v>
      </c>
      <c r="F89" s="496">
        <v>1007010001</v>
      </c>
      <c r="G89" s="496" t="s">
        <v>2419</v>
      </c>
    </row>
    <row r="90" spans="1:7">
      <c r="A90" s="496" t="s">
        <v>2437</v>
      </c>
      <c r="B90" s="496">
        <v>3400002439</v>
      </c>
      <c r="C90" s="496" t="s">
        <v>1293</v>
      </c>
      <c r="D90" s="497">
        <v>44372</v>
      </c>
      <c r="E90" s="498">
        <v>22988</v>
      </c>
      <c r="F90" s="496">
        <v>1007010001</v>
      </c>
      <c r="G90" s="496" t="s">
        <v>2416</v>
      </c>
    </row>
    <row r="91" spans="1:7">
      <c r="A91" s="496" t="s">
        <v>2438</v>
      </c>
      <c r="B91" s="496">
        <v>3400002852</v>
      </c>
      <c r="C91" s="496" t="s">
        <v>1293</v>
      </c>
      <c r="D91" s="497">
        <v>44404</v>
      </c>
      <c r="E91" s="498">
        <v>112957</v>
      </c>
      <c r="F91" s="496">
        <v>1007010001</v>
      </c>
      <c r="G91" s="496" t="s">
        <v>2419</v>
      </c>
    </row>
    <row r="92" spans="1:7">
      <c r="A92" s="496" t="s">
        <v>2439</v>
      </c>
      <c r="B92" s="496">
        <v>3400002868</v>
      </c>
      <c r="C92" s="496" t="s">
        <v>1293</v>
      </c>
      <c r="D92" s="497">
        <v>44405</v>
      </c>
      <c r="E92" s="498">
        <v>22988</v>
      </c>
      <c r="F92" s="496">
        <v>1007010001</v>
      </c>
      <c r="G92" s="496" t="s">
        <v>2416</v>
      </c>
    </row>
    <row r="93" spans="1:7">
      <c r="A93" s="496" t="s">
        <v>2440</v>
      </c>
      <c r="B93" s="496">
        <v>3400002872</v>
      </c>
      <c r="C93" s="496" t="s">
        <v>1293</v>
      </c>
      <c r="D93" s="497">
        <v>44405</v>
      </c>
      <c r="E93" s="498">
        <v>32571</v>
      </c>
      <c r="F93" s="496">
        <v>1007010001</v>
      </c>
      <c r="G93" s="496" t="s">
        <v>2433</v>
      </c>
    </row>
    <row r="94" spans="1:7">
      <c r="A94" s="496" t="s">
        <v>2440</v>
      </c>
      <c r="B94" s="496">
        <v>3400002872</v>
      </c>
      <c r="C94" s="496" t="s">
        <v>1293</v>
      </c>
      <c r="D94" s="497">
        <v>44405</v>
      </c>
      <c r="E94" s="498">
        <v>32571</v>
      </c>
      <c r="F94" s="496">
        <v>1007010002</v>
      </c>
      <c r="G94" s="496" t="s">
        <v>2433</v>
      </c>
    </row>
    <row r="95" spans="1:7">
      <c r="A95" s="496" t="s">
        <v>2440</v>
      </c>
      <c r="B95" s="496">
        <v>3400002872</v>
      </c>
      <c r="C95" s="496" t="s">
        <v>1293</v>
      </c>
      <c r="D95" s="497">
        <v>44405</v>
      </c>
      <c r="E95" s="498">
        <v>32571</v>
      </c>
      <c r="F95" s="496">
        <v>1007010006</v>
      </c>
      <c r="G95" s="496" t="s">
        <v>2433</v>
      </c>
    </row>
    <row r="96" spans="1:7">
      <c r="A96" s="496" t="s">
        <v>2440</v>
      </c>
      <c r="B96" s="496">
        <v>3400002872</v>
      </c>
      <c r="C96" s="496" t="s">
        <v>1293</v>
      </c>
      <c r="D96" s="497">
        <v>44405</v>
      </c>
      <c r="E96" s="498">
        <v>32571</v>
      </c>
      <c r="F96" s="496">
        <v>1007010010</v>
      </c>
      <c r="G96" s="496" t="s">
        <v>2433</v>
      </c>
    </row>
    <row r="97" spans="1:7">
      <c r="A97" s="496" t="s">
        <v>2440</v>
      </c>
      <c r="B97" s="496">
        <v>3400002872</v>
      </c>
      <c r="C97" s="496" t="s">
        <v>1293</v>
      </c>
      <c r="D97" s="497">
        <v>44405</v>
      </c>
      <c r="E97" s="498">
        <v>32571</v>
      </c>
      <c r="F97" s="496">
        <v>1007010012</v>
      </c>
      <c r="G97" s="496" t="s">
        <v>2433</v>
      </c>
    </row>
    <row r="98" spans="1:7">
      <c r="A98" s="496" t="s">
        <v>2440</v>
      </c>
      <c r="B98" s="496">
        <v>3400002872</v>
      </c>
      <c r="C98" s="496" t="s">
        <v>1293</v>
      </c>
      <c r="D98" s="497">
        <v>44405</v>
      </c>
      <c r="E98" s="498">
        <v>32571</v>
      </c>
      <c r="F98" s="496">
        <v>1007010004</v>
      </c>
      <c r="G98" s="496" t="s">
        <v>2433</v>
      </c>
    </row>
    <row r="99" spans="1:7">
      <c r="A99" s="496" t="s">
        <v>2440</v>
      </c>
      <c r="B99" s="496">
        <v>3400002872</v>
      </c>
      <c r="C99" s="496" t="s">
        <v>1293</v>
      </c>
      <c r="D99" s="497">
        <v>44405</v>
      </c>
      <c r="E99" s="498">
        <v>32571</v>
      </c>
      <c r="F99" s="496">
        <v>1007010011</v>
      </c>
      <c r="G99" s="496" t="s">
        <v>2433</v>
      </c>
    </row>
    <row r="100" spans="1:7">
      <c r="A100" s="496" t="s">
        <v>2440</v>
      </c>
      <c r="B100" s="496">
        <v>3400002872</v>
      </c>
      <c r="C100" s="496" t="s">
        <v>1293</v>
      </c>
      <c r="D100" s="497">
        <v>44405</v>
      </c>
      <c r="E100" s="498">
        <v>32571</v>
      </c>
      <c r="F100" s="496">
        <v>1007010009</v>
      </c>
      <c r="G100" s="496" t="s">
        <v>2433</v>
      </c>
    </row>
    <row r="101" spans="1:7">
      <c r="A101" s="496" t="s">
        <v>2440</v>
      </c>
      <c r="B101" s="496">
        <v>3400002872</v>
      </c>
      <c r="C101" s="496" t="s">
        <v>1293</v>
      </c>
      <c r="D101" s="497">
        <v>44405</v>
      </c>
      <c r="E101" s="498">
        <v>32571</v>
      </c>
      <c r="F101" s="496">
        <v>1007010007</v>
      </c>
      <c r="G101" s="496" t="s">
        <v>2433</v>
      </c>
    </row>
    <row r="102" spans="1:7">
      <c r="A102" s="496" t="s">
        <v>2440</v>
      </c>
      <c r="B102" s="496">
        <v>3400002873</v>
      </c>
      <c r="C102" s="496" t="s">
        <v>1293</v>
      </c>
      <c r="D102" s="497">
        <v>44405</v>
      </c>
      <c r="E102" s="498">
        <v>31593</v>
      </c>
      <c r="F102" s="496">
        <v>1007010001</v>
      </c>
      <c r="G102" s="496" t="s">
        <v>2433</v>
      </c>
    </row>
    <row r="103" spans="1:7">
      <c r="A103" s="496" t="s">
        <v>2440</v>
      </c>
      <c r="B103" s="496">
        <v>3400002873</v>
      </c>
      <c r="C103" s="496" t="s">
        <v>1293</v>
      </c>
      <c r="D103" s="497">
        <v>44405</v>
      </c>
      <c r="E103" s="498">
        <v>31593</v>
      </c>
      <c r="F103" s="496">
        <v>1007010002</v>
      </c>
      <c r="G103" s="496" t="s">
        <v>2433</v>
      </c>
    </row>
    <row r="104" spans="1:7">
      <c r="A104" s="496" t="s">
        <v>2440</v>
      </c>
      <c r="B104" s="496">
        <v>3400002873</v>
      </c>
      <c r="C104" s="496" t="s">
        <v>1293</v>
      </c>
      <c r="D104" s="497">
        <v>44405</v>
      </c>
      <c r="E104" s="498">
        <v>31593</v>
      </c>
      <c r="F104" s="496">
        <v>1007010006</v>
      </c>
      <c r="G104" s="496" t="s">
        <v>2433</v>
      </c>
    </row>
    <row r="105" spans="1:7">
      <c r="A105" s="496" t="s">
        <v>2440</v>
      </c>
      <c r="B105" s="496">
        <v>3400002873</v>
      </c>
      <c r="C105" s="496" t="s">
        <v>1293</v>
      </c>
      <c r="D105" s="497">
        <v>44405</v>
      </c>
      <c r="E105" s="498">
        <v>31593</v>
      </c>
      <c r="F105" s="496">
        <v>1007010010</v>
      </c>
      <c r="G105" s="496" t="s">
        <v>2433</v>
      </c>
    </row>
    <row r="106" spans="1:7">
      <c r="A106" s="496" t="s">
        <v>2440</v>
      </c>
      <c r="B106" s="496">
        <v>3400002873</v>
      </c>
      <c r="C106" s="496" t="s">
        <v>1293</v>
      </c>
      <c r="D106" s="497">
        <v>44405</v>
      </c>
      <c r="E106" s="498">
        <v>31593</v>
      </c>
      <c r="F106" s="496">
        <v>1007010012</v>
      </c>
      <c r="G106" s="496" t="s">
        <v>2433</v>
      </c>
    </row>
    <row r="107" spans="1:7">
      <c r="A107" s="496" t="s">
        <v>2440</v>
      </c>
      <c r="B107" s="496">
        <v>3400002873</v>
      </c>
      <c r="C107" s="496" t="s">
        <v>1293</v>
      </c>
      <c r="D107" s="497">
        <v>44405</v>
      </c>
      <c r="E107" s="498">
        <v>31593</v>
      </c>
      <c r="F107" s="496">
        <v>1007010004</v>
      </c>
      <c r="G107" s="496" t="s">
        <v>2433</v>
      </c>
    </row>
    <row r="108" spans="1:7">
      <c r="A108" s="496" t="s">
        <v>2440</v>
      </c>
      <c r="B108" s="496">
        <v>3400002873</v>
      </c>
      <c r="C108" s="496" t="s">
        <v>1293</v>
      </c>
      <c r="D108" s="497">
        <v>44405</v>
      </c>
      <c r="E108" s="498">
        <v>31593</v>
      </c>
      <c r="F108" s="496">
        <v>1007010011</v>
      </c>
      <c r="G108" s="496" t="s">
        <v>2433</v>
      </c>
    </row>
    <row r="109" spans="1:7">
      <c r="A109" s="496" t="s">
        <v>2440</v>
      </c>
      <c r="B109" s="496">
        <v>3400002873</v>
      </c>
      <c r="C109" s="496" t="s">
        <v>1293</v>
      </c>
      <c r="D109" s="497">
        <v>44405</v>
      </c>
      <c r="E109" s="498">
        <v>31593</v>
      </c>
      <c r="F109" s="496">
        <v>1007010009</v>
      </c>
      <c r="G109" s="496" t="s">
        <v>2433</v>
      </c>
    </row>
    <row r="110" spans="1:7">
      <c r="A110" s="496" t="s">
        <v>2440</v>
      </c>
      <c r="B110" s="496">
        <v>3400002873</v>
      </c>
      <c r="C110" s="496" t="s">
        <v>1293</v>
      </c>
      <c r="D110" s="497">
        <v>44405</v>
      </c>
      <c r="E110" s="498">
        <v>31594</v>
      </c>
      <c r="F110" s="496">
        <v>1007010007</v>
      </c>
      <c r="G110" s="496" t="s">
        <v>2433</v>
      </c>
    </row>
    <row r="111" spans="1:7">
      <c r="A111" s="496" t="s">
        <v>2441</v>
      </c>
      <c r="B111" s="496">
        <v>3400003208</v>
      </c>
      <c r="C111" s="496" t="s">
        <v>1293</v>
      </c>
      <c r="D111" s="497">
        <v>44431</v>
      </c>
      <c r="E111" s="498">
        <v>22988</v>
      </c>
      <c r="F111" s="496">
        <v>1007010001</v>
      </c>
      <c r="G111" s="496" t="s">
        <v>2442</v>
      </c>
    </row>
    <row r="112" spans="1:7">
      <c r="A112" s="496" t="s">
        <v>2443</v>
      </c>
      <c r="B112" s="496">
        <v>3400003221</v>
      </c>
      <c r="C112" s="496" t="s">
        <v>1293</v>
      </c>
      <c r="D112" s="497">
        <v>44431</v>
      </c>
      <c r="E112" s="498">
        <v>33635</v>
      </c>
      <c r="F112" s="496">
        <v>1007010001</v>
      </c>
      <c r="G112" s="496" t="s">
        <v>2442</v>
      </c>
    </row>
    <row r="113" spans="1:7">
      <c r="A113" s="496" t="s">
        <v>2443</v>
      </c>
      <c r="B113" s="496">
        <v>3400003221</v>
      </c>
      <c r="C113" s="496" t="s">
        <v>1293</v>
      </c>
      <c r="D113" s="497">
        <v>44431</v>
      </c>
      <c r="E113" s="498">
        <v>33635</v>
      </c>
      <c r="F113" s="496">
        <v>1007010002</v>
      </c>
      <c r="G113" s="496" t="s">
        <v>2442</v>
      </c>
    </row>
    <row r="114" spans="1:7">
      <c r="A114" s="496" t="s">
        <v>2443</v>
      </c>
      <c r="B114" s="496">
        <v>3400003221</v>
      </c>
      <c r="C114" s="496" t="s">
        <v>1293</v>
      </c>
      <c r="D114" s="497">
        <v>44431</v>
      </c>
      <c r="E114" s="498">
        <v>33635</v>
      </c>
      <c r="F114" s="496">
        <v>1007010006</v>
      </c>
      <c r="G114" s="496" t="s">
        <v>2442</v>
      </c>
    </row>
    <row r="115" spans="1:7">
      <c r="A115" s="496" t="s">
        <v>2443</v>
      </c>
      <c r="B115" s="496">
        <v>3400003221</v>
      </c>
      <c r="C115" s="496" t="s">
        <v>1293</v>
      </c>
      <c r="D115" s="497">
        <v>44431</v>
      </c>
      <c r="E115" s="498">
        <v>33635</v>
      </c>
      <c r="F115" s="496">
        <v>1007010010</v>
      </c>
      <c r="G115" s="496" t="s">
        <v>2442</v>
      </c>
    </row>
    <row r="116" spans="1:7">
      <c r="A116" s="496" t="s">
        <v>2443</v>
      </c>
      <c r="B116" s="496">
        <v>3400003221</v>
      </c>
      <c r="C116" s="496" t="s">
        <v>1293</v>
      </c>
      <c r="D116" s="497">
        <v>44431</v>
      </c>
      <c r="E116" s="498">
        <v>33635</v>
      </c>
      <c r="F116" s="496">
        <v>1007010012</v>
      </c>
      <c r="G116" s="496" t="s">
        <v>2442</v>
      </c>
    </row>
    <row r="117" spans="1:7">
      <c r="A117" s="496" t="s">
        <v>2443</v>
      </c>
      <c r="B117" s="496">
        <v>3400003221</v>
      </c>
      <c r="C117" s="496" t="s">
        <v>1293</v>
      </c>
      <c r="D117" s="497">
        <v>44431</v>
      </c>
      <c r="E117" s="498">
        <v>33635</v>
      </c>
      <c r="F117" s="496">
        <v>1007010004</v>
      </c>
      <c r="G117" s="496" t="s">
        <v>2442</v>
      </c>
    </row>
    <row r="118" spans="1:7">
      <c r="A118" s="496" t="s">
        <v>2443</v>
      </c>
      <c r="B118" s="496">
        <v>3400003221</v>
      </c>
      <c r="C118" s="496" t="s">
        <v>1293</v>
      </c>
      <c r="D118" s="497">
        <v>44431</v>
      </c>
      <c r="E118" s="498">
        <v>33635</v>
      </c>
      <c r="F118" s="496">
        <v>1007010011</v>
      </c>
      <c r="G118" s="496" t="s">
        <v>2442</v>
      </c>
    </row>
    <row r="119" spans="1:7">
      <c r="A119" s="496" t="s">
        <v>2443</v>
      </c>
      <c r="B119" s="496">
        <v>3400003221</v>
      </c>
      <c r="C119" s="496" t="s">
        <v>1293</v>
      </c>
      <c r="D119" s="497">
        <v>44431</v>
      </c>
      <c r="E119" s="498">
        <v>33635</v>
      </c>
      <c r="F119" s="496">
        <v>1007010009</v>
      </c>
      <c r="G119" s="496" t="s">
        <v>2442</v>
      </c>
    </row>
    <row r="120" spans="1:7">
      <c r="A120" s="496" t="s">
        <v>2443</v>
      </c>
      <c r="B120" s="496">
        <v>3400003221</v>
      </c>
      <c r="C120" s="496" t="s">
        <v>1293</v>
      </c>
      <c r="D120" s="497">
        <v>44431</v>
      </c>
      <c r="E120" s="498">
        <v>33635</v>
      </c>
      <c r="F120" s="496">
        <v>1007010007</v>
      </c>
      <c r="G120" s="496" t="s">
        <v>2442</v>
      </c>
    </row>
    <row r="121" spans="1:7">
      <c r="A121" s="496" t="s">
        <v>2444</v>
      </c>
      <c r="B121" s="496">
        <v>3400003308</v>
      </c>
      <c r="C121" s="496" t="s">
        <v>1293</v>
      </c>
      <c r="D121" s="497">
        <v>44435</v>
      </c>
      <c r="E121" s="498">
        <v>112957</v>
      </c>
      <c r="F121" s="496">
        <v>1007010001</v>
      </c>
      <c r="G121" s="496" t="s">
        <v>2419</v>
      </c>
    </row>
    <row r="122" spans="1:7">
      <c r="A122" s="496" t="s">
        <v>2445</v>
      </c>
      <c r="B122" s="496">
        <v>3400003697</v>
      </c>
      <c r="C122" s="496" t="s">
        <v>1293</v>
      </c>
      <c r="D122" s="497">
        <v>44463</v>
      </c>
      <c r="E122" s="498">
        <v>22988</v>
      </c>
      <c r="F122" s="496">
        <v>1007010001</v>
      </c>
      <c r="G122" s="496" t="s">
        <v>2442</v>
      </c>
    </row>
    <row r="123" spans="1:7">
      <c r="A123" s="496" t="s">
        <v>2446</v>
      </c>
      <c r="B123" s="496">
        <v>3400003750</v>
      </c>
      <c r="C123" s="496" t="s">
        <v>1293</v>
      </c>
      <c r="D123" s="497">
        <v>44466</v>
      </c>
      <c r="E123" s="498">
        <v>33590</v>
      </c>
      <c r="F123" s="496">
        <v>1007010001</v>
      </c>
      <c r="G123" s="496" t="s">
        <v>2442</v>
      </c>
    </row>
    <row r="124" spans="1:7">
      <c r="A124" s="496" t="s">
        <v>2446</v>
      </c>
      <c r="B124" s="496">
        <v>3400003750</v>
      </c>
      <c r="C124" s="496" t="s">
        <v>1293</v>
      </c>
      <c r="D124" s="497">
        <v>44466</v>
      </c>
      <c r="E124" s="498">
        <v>33593</v>
      </c>
      <c r="F124" s="496">
        <v>1007010002</v>
      </c>
      <c r="G124" s="496" t="s">
        <v>2442</v>
      </c>
    </row>
    <row r="125" spans="1:7">
      <c r="A125" s="496" t="s">
        <v>2446</v>
      </c>
      <c r="B125" s="496">
        <v>3400003750</v>
      </c>
      <c r="C125" s="496" t="s">
        <v>1293</v>
      </c>
      <c r="D125" s="497">
        <v>44466</v>
      </c>
      <c r="E125" s="498">
        <v>33593</v>
      </c>
      <c r="F125" s="496">
        <v>1007010006</v>
      </c>
      <c r="G125" s="496" t="s">
        <v>2442</v>
      </c>
    </row>
    <row r="126" spans="1:7">
      <c r="A126" s="496" t="s">
        <v>2446</v>
      </c>
      <c r="B126" s="496">
        <v>3400003750</v>
      </c>
      <c r="C126" s="496" t="s">
        <v>1293</v>
      </c>
      <c r="D126" s="497">
        <v>44466</v>
      </c>
      <c r="E126" s="498">
        <v>33593</v>
      </c>
      <c r="F126" s="496">
        <v>1007010010</v>
      </c>
      <c r="G126" s="496" t="s">
        <v>2442</v>
      </c>
    </row>
    <row r="127" spans="1:7">
      <c r="A127" s="496" t="s">
        <v>2446</v>
      </c>
      <c r="B127" s="496">
        <v>3400003750</v>
      </c>
      <c r="C127" s="496" t="s">
        <v>1293</v>
      </c>
      <c r="D127" s="497">
        <v>44466</v>
      </c>
      <c r="E127" s="498">
        <v>33593</v>
      </c>
      <c r="F127" s="496">
        <v>1007010012</v>
      </c>
      <c r="G127" s="496" t="s">
        <v>2442</v>
      </c>
    </row>
    <row r="128" spans="1:7">
      <c r="A128" s="496" t="s">
        <v>2446</v>
      </c>
      <c r="B128" s="496">
        <v>3400003750</v>
      </c>
      <c r="C128" s="496" t="s">
        <v>1293</v>
      </c>
      <c r="D128" s="497">
        <v>44466</v>
      </c>
      <c r="E128" s="498">
        <v>33593</v>
      </c>
      <c r="F128" s="496">
        <v>1007010004</v>
      </c>
      <c r="G128" s="496" t="s">
        <v>2442</v>
      </c>
    </row>
    <row r="129" spans="1:7">
      <c r="A129" s="496" t="s">
        <v>2446</v>
      </c>
      <c r="B129" s="496">
        <v>3400003750</v>
      </c>
      <c r="C129" s="496" t="s">
        <v>1293</v>
      </c>
      <c r="D129" s="497">
        <v>44466</v>
      </c>
      <c r="E129" s="498">
        <v>33593</v>
      </c>
      <c r="F129" s="496">
        <v>1007010011</v>
      </c>
      <c r="G129" s="496" t="s">
        <v>2442</v>
      </c>
    </row>
    <row r="130" spans="1:7">
      <c r="A130" s="496" t="s">
        <v>2446</v>
      </c>
      <c r="B130" s="496">
        <v>3400003750</v>
      </c>
      <c r="C130" s="496" t="s">
        <v>1293</v>
      </c>
      <c r="D130" s="497">
        <v>44466</v>
      </c>
      <c r="E130" s="498">
        <v>33593</v>
      </c>
      <c r="F130" s="496">
        <v>1007010009</v>
      </c>
      <c r="G130" s="496" t="s">
        <v>2442</v>
      </c>
    </row>
    <row r="131" spans="1:7">
      <c r="A131" s="496" t="s">
        <v>2446</v>
      </c>
      <c r="B131" s="496">
        <v>3400003750</v>
      </c>
      <c r="C131" s="496" t="s">
        <v>1293</v>
      </c>
      <c r="D131" s="497">
        <v>44466</v>
      </c>
      <c r="E131" s="498">
        <v>33593</v>
      </c>
      <c r="F131" s="496">
        <v>1007010007</v>
      </c>
      <c r="G131" s="496" t="s">
        <v>2442</v>
      </c>
    </row>
    <row r="132" spans="1:7">
      <c r="A132" s="496" t="s">
        <v>2447</v>
      </c>
      <c r="B132" s="496">
        <v>3400003751</v>
      </c>
      <c r="C132" s="496" t="s">
        <v>1293</v>
      </c>
      <c r="D132" s="497">
        <v>44466</v>
      </c>
      <c r="E132" s="498">
        <v>112957</v>
      </c>
      <c r="F132" s="496">
        <v>1007010001</v>
      </c>
      <c r="G132" s="496" t="s">
        <v>2419</v>
      </c>
    </row>
    <row r="133" spans="1:7">
      <c r="A133" s="496" t="s">
        <v>2448</v>
      </c>
      <c r="B133" s="496">
        <v>3400004073</v>
      </c>
      <c r="C133" s="496" t="s">
        <v>1293</v>
      </c>
      <c r="D133" s="497">
        <v>44485</v>
      </c>
      <c r="E133" s="498">
        <v>28871</v>
      </c>
      <c r="F133" s="496">
        <v>1007010001</v>
      </c>
      <c r="G133" s="496" t="s">
        <v>2442</v>
      </c>
    </row>
    <row r="134" spans="1:7">
      <c r="A134" s="496" t="s">
        <v>2448</v>
      </c>
      <c r="B134" s="496">
        <v>3400004073</v>
      </c>
      <c r="C134" s="496" t="s">
        <v>1293</v>
      </c>
      <c r="D134" s="497">
        <v>44485</v>
      </c>
      <c r="E134" s="498">
        <v>28871</v>
      </c>
      <c r="F134" s="496">
        <v>1007010002</v>
      </c>
      <c r="G134" s="496" t="s">
        <v>2442</v>
      </c>
    </row>
    <row r="135" spans="1:7">
      <c r="A135" s="496" t="s">
        <v>2448</v>
      </c>
      <c r="B135" s="496">
        <v>3400004073</v>
      </c>
      <c r="C135" s="496" t="s">
        <v>1293</v>
      </c>
      <c r="D135" s="497">
        <v>44485</v>
      </c>
      <c r="E135" s="498">
        <v>28871</v>
      </c>
      <c r="F135" s="496">
        <v>1007010006</v>
      </c>
      <c r="G135" s="496" t="s">
        <v>2442</v>
      </c>
    </row>
    <row r="136" spans="1:7">
      <c r="A136" s="496" t="s">
        <v>2448</v>
      </c>
      <c r="B136" s="496">
        <v>3400004073</v>
      </c>
      <c r="C136" s="496" t="s">
        <v>1293</v>
      </c>
      <c r="D136" s="497">
        <v>44485</v>
      </c>
      <c r="E136" s="498">
        <v>28871</v>
      </c>
      <c r="F136" s="496">
        <v>1007010010</v>
      </c>
      <c r="G136" s="496" t="s">
        <v>2442</v>
      </c>
    </row>
    <row r="137" spans="1:7">
      <c r="A137" s="496" t="s">
        <v>2448</v>
      </c>
      <c r="B137" s="496">
        <v>3400004073</v>
      </c>
      <c r="C137" s="496" t="s">
        <v>1293</v>
      </c>
      <c r="D137" s="497">
        <v>44485</v>
      </c>
      <c r="E137" s="498">
        <v>28871</v>
      </c>
      <c r="F137" s="496">
        <v>1007010012</v>
      </c>
      <c r="G137" s="496" t="s">
        <v>2442</v>
      </c>
    </row>
    <row r="138" spans="1:7">
      <c r="A138" s="496" t="s">
        <v>2448</v>
      </c>
      <c r="B138" s="496">
        <v>3400004073</v>
      </c>
      <c r="C138" s="496" t="s">
        <v>1293</v>
      </c>
      <c r="D138" s="497">
        <v>44485</v>
      </c>
      <c r="E138" s="498">
        <v>28871</v>
      </c>
      <c r="F138" s="496">
        <v>1007010004</v>
      </c>
      <c r="G138" s="496" t="s">
        <v>2442</v>
      </c>
    </row>
    <row r="139" spans="1:7">
      <c r="A139" s="496" t="s">
        <v>2448</v>
      </c>
      <c r="B139" s="496">
        <v>3400004073</v>
      </c>
      <c r="C139" s="496" t="s">
        <v>1293</v>
      </c>
      <c r="D139" s="497">
        <v>44485</v>
      </c>
      <c r="E139" s="498">
        <v>28871</v>
      </c>
      <c r="F139" s="496">
        <v>1007010011</v>
      </c>
      <c r="G139" s="496" t="s">
        <v>2442</v>
      </c>
    </row>
    <row r="140" spans="1:7">
      <c r="A140" s="496" t="s">
        <v>2448</v>
      </c>
      <c r="B140" s="496">
        <v>3400004073</v>
      </c>
      <c r="C140" s="496" t="s">
        <v>1293</v>
      </c>
      <c r="D140" s="497">
        <v>44485</v>
      </c>
      <c r="E140" s="498">
        <v>28871</v>
      </c>
      <c r="F140" s="496">
        <v>1007010009</v>
      </c>
      <c r="G140" s="496" t="s">
        <v>2442</v>
      </c>
    </row>
    <row r="141" spans="1:7">
      <c r="A141" s="496" t="s">
        <v>2448</v>
      </c>
      <c r="B141" s="496">
        <v>3400004073</v>
      </c>
      <c r="C141" s="496" t="s">
        <v>1293</v>
      </c>
      <c r="D141" s="497">
        <v>44485</v>
      </c>
      <c r="E141" s="498">
        <v>28871</v>
      </c>
      <c r="F141" s="496">
        <v>1007010007</v>
      </c>
      <c r="G141" s="496" t="s">
        <v>2442</v>
      </c>
    </row>
    <row r="142" spans="1:7">
      <c r="A142" s="496" t="s">
        <v>2449</v>
      </c>
      <c r="B142" s="496">
        <v>3400004080</v>
      </c>
      <c r="C142" s="496" t="s">
        <v>1293</v>
      </c>
      <c r="D142" s="497">
        <v>44485</v>
      </c>
      <c r="E142" s="498">
        <v>22988</v>
      </c>
      <c r="F142" s="496">
        <v>1007010001</v>
      </c>
      <c r="G142" s="496" t="s">
        <v>2442</v>
      </c>
    </row>
    <row r="143" spans="1:7">
      <c r="A143" s="496" t="s">
        <v>2450</v>
      </c>
      <c r="B143" s="496">
        <v>3400004178</v>
      </c>
      <c r="C143" s="496" t="s">
        <v>1293</v>
      </c>
      <c r="D143" s="497">
        <v>44493</v>
      </c>
      <c r="E143" s="498">
        <v>46000</v>
      </c>
      <c r="F143" s="496">
        <v>1007010001</v>
      </c>
      <c r="G143" s="496" t="s">
        <v>2419</v>
      </c>
    </row>
    <row r="144" spans="1:7">
      <c r="A144" s="496" t="s">
        <v>2450</v>
      </c>
      <c r="B144" s="496">
        <v>3400004178</v>
      </c>
      <c r="C144" s="496" t="s">
        <v>1293</v>
      </c>
      <c r="D144" s="497">
        <v>44493</v>
      </c>
      <c r="E144" s="498">
        <v>66957</v>
      </c>
      <c r="F144" s="496">
        <v>1007010002</v>
      </c>
      <c r="G144" s="496" t="s">
        <v>2419</v>
      </c>
    </row>
    <row r="145" spans="1:7">
      <c r="A145" s="496" t="s">
        <v>2451</v>
      </c>
      <c r="B145" s="496">
        <v>3400004594</v>
      </c>
      <c r="C145" s="496" t="s">
        <v>1293</v>
      </c>
      <c r="D145" s="497">
        <v>44521</v>
      </c>
      <c r="E145" s="498">
        <v>29708</v>
      </c>
      <c r="F145" s="496">
        <v>1007010001</v>
      </c>
      <c r="G145" s="496" t="s">
        <v>2442</v>
      </c>
    </row>
    <row r="146" spans="1:7">
      <c r="A146" s="496" t="s">
        <v>2451</v>
      </c>
      <c r="B146" s="496">
        <v>3400004594</v>
      </c>
      <c r="C146" s="496" t="s">
        <v>1293</v>
      </c>
      <c r="D146" s="497">
        <v>44521</v>
      </c>
      <c r="E146" s="498">
        <v>29708</v>
      </c>
      <c r="F146" s="496">
        <v>1007010002</v>
      </c>
      <c r="G146" s="496" t="s">
        <v>2442</v>
      </c>
    </row>
    <row r="147" spans="1:7">
      <c r="A147" s="496" t="s">
        <v>2451</v>
      </c>
      <c r="B147" s="496">
        <v>3400004594</v>
      </c>
      <c r="C147" s="496" t="s">
        <v>1293</v>
      </c>
      <c r="D147" s="497">
        <v>44521</v>
      </c>
      <c r="E147" s="498">
        <v>29716</v>
      </c>
      <c r="F147" s="496">
        <v>1007010006</v>
      </c>
      <c r="G147" s="496" t="s">
        <v>2442</v>
      </c>
    </row>
    <row r="148" spans="1:7">
      <c r="A148" s="496" t="s">
        <v>2451</v>
      </c>
      <c r="B148" s="496">
        <v>3400004594</v>
      </c>
      <c r="C148" s="496" t="s">
        <v>1293</v>
      </c>
      <c r="D148" s="497">
        <v>44521</v>
      </c>
      <c r="E148" s="498">
        <v>29708</v>
      </c>
      <c r="F148" s="496">
        <v>1007010010</v>
      </c>
      <c r="G148" s="496" t="s">
        <v>2442</v>
      </c>
    </row>
    <row r="149" spans="1:7">
      <c r="A149" s="496" t="s">
        <v>2451</v>
      </c>
      <c r="B149" s="496">
        <v>3400004594</v>
      </c>
      <c r="C149" s="496" t="s">
        <v>1293</v>
      </c>
      <c r="D149" s="497">
        <v>44521</v>
      </c>
      <c r="E149" s="498">
        <v>29708</v>
      </c>
      <c r="F149" s="496">
        <v>1007010012</v>
      </c>
      <c r="G149" s="496" t="s">
        <v>2442</v>
      </c>
    </row>
    <row r="150" spans="1:7">
      <c r="A150" s="496" t="s">
        <v>2451</v>
      </c>
      <c r="B150" s="496">
        <v>3400004594</v>
      </c>
      <c r="C150" s="496" t="s">
        <v>1293</v>
      </c>
      <c r="D150" s="497">
        <v>44521</v>
      </c>
      <c r="E150" s="498">
        <v>29708</v>
      </c>
      <c r="F150" s="496">
        <v>1007010004</v>
      </c>
      <c r="G150" s="496" t="s">
        <v>2442</v>
      </c>
    </row>
    <row r="151" spans="1:7">
      <c r="A151" s="496" t="s">
        <v>2451</v>
      </c>
      <c r="B151" s="496">
        <v>3400004594</v>
      </c>
      <c r="C151" s="496" t="s">
        <v>1293</v>
      </c>
      <c r="D151" s="497">
        <v>44521</v>
      </c>
      <c r="E151" s="498">
        <v>29708</v>
      </c>
      <c r="F151" s="496">
        <v>1007010011</v>
      </c>
      <c r="G151" s="496" t="s">
        <v>2442</v>
      </c>
    </row>
    <row r="152" spans="1:7">
      <c r="A152" s="496" t="s">
        <v>2451</v>
      </c>
      <c r="B152" s="496">
        <v>3400004594</v>
      </c>
      <c r="C152" s="496" t="s">
        <v>1293</v>
      </c>
      <c r="D152" s="497">
        <v>44521</v>
      </c>
      <c r="E152" s="498">
        <v>29708</v>
      </c>
      <c r="F152" s="496">
        <v>1007010009</v>
      </c>
      <c r="G152" s="496" t="s">
        <v>2442</v>
      </c>
    </row>
    <row r="153" spans="1:7">
      <c r="A153" s="496" t="s">
        <v>2451</v>
      </c>
      <c r="B153" s="496">
        <v>3400004594</v>
      </c>
      <c r="C153" s="496" t="s">
        <v>1293</v>
      </c>
      <c r="D153" s="497">
        <v>44521</v>
      </c>
      <c r="E153" s="498">
        <v>29708</v>
      </c>
      <c r="F153" s="496">
        <v>1007010007</v>
      </c>
      <c r="G153" s="496" t="s">
        <v>2442</v>
      </c>
    </row>
    <row r="154" spans="1:7">
      <c r="A154" s="496" t="s">
        <v>2452</v>
      </c>
      <c r="B154" s="496">
        <v>3400004602</v>
      </c>
      <c r="C154" s="496" t="s">
        <v>1293</v>
      </c>
      <c r="D154" s="497">
        <v>44521</v>
      </c>
      <c r="E154" s="498">
        <v>23655</v>
      </c>
      <c r="F154" s="496">
        <v>1007010001</v>
      </c>
      <c r="G154" s="496" t="s">
        <v>2442</v>
      </c>
    </row>
    <row r="155" spans="1:7">
      <c r="A155" s="496" t="s">
        <v>2450</v>
      </c>
      <c r="B155" s="496">
        <v>3400004656</v>
      </c>
      <c r="C155" s="496" t="s">
        <v>1293</v>
      </c>
      <c r="D155" s="497">
        <v>44524</v>
      </c>
      <c r="E155" s="498">
        <v>116233</v>
      </c>
      <c r="F155" s="496">
        <v>1007010001</v>
      </c>
      <c r="G155" s="496" t="s">
        <v>2419</v>
      </c>
    </row>
    <row r="156" spans="1:7">
      <c r="A156" s="496" t="s">
        <v>2453</v>
      </c>
      <c r="B156" s="496">
        <v>3400005095</v>
      </c>
      <c r="C156" s="496" t="s">
        <v>1293</v>
      </c>
      <c r="D156" s="497">
        <v>44551</v>
      </c>
      <c r="E156" s="498">
        <v>30884</v>
      </c>
      <c r="F156" s="496">
        <v>1007010001</v>
      </c>
      <c r="G156" s="496" t="s">
        <v>2442</v>
      </c>
    </row>
    <row r="157" spans="1:7">
      <c r="A157" s="496" t="s">
        <v>2453</v>
      </c>
      <c r="B157" s="496">
        <v>3400005095</v>
      </c>
      <c r="C157" s="496" t="s">
        <v>1293</v>
      </c>
      <c r="D157" s="497">
        <v>44551</v>
      </c>
      <c r="E157" s="498">
        <v>30884</v>
      </c>
      <c r="F157" s="496">
        <v>1007010002</v>
      </c>
      <c r="G157" s="496" t="s">
        <v>2442</v>
      </c>
    </row>
    <row r="158" spans="1:7">
      <c r="A158" s="496" t="s">
        <v>2453</v>
      </c>
      <c r="B158" s="496">
        <v>3400005095</v>
      </c>
      <c r="C158" s="496" t="s">
        <v>1293</v>
      </c>
      <c r="D158" s="497">
        <v>44551</v>
      </c>
      <c r="E158" s="498">
        <v>30884</v>
      </c>
      <c r="F158" s="496">
        <v>1007010006</v>
      </c>
      <c r="G158" s="496" t="s">
        <v>2442</v>
      </c>
    </row>
    <row r="159" spans="1:7">
      <c r="A159" s="496" t="s">
        <v>2453</v>
      </c>
      <c r="B159" s="496">
        <v>3400005095</v>
      </c>
      <c r="C159" s="496" t="s">
        <v>1293</v>
      </c>
      <c r="D159" s="497">
        <v>44551</v>
      </c>
      <c r="E159" s="498">
        <v>30884</v>
      </c>
      <c r="F159" s="496">
        <v>1007010010</v>
      </c>
      <c r="G159" s="496" t="s">
        <v>2442</v>
      </c>
    </row>
    <row r="160" spans="1:7">
      <c r="A160" s="496" t="s">
        <v>2453</v>
      </c>
      <c r="B160" s="496">
        <v>3400005095</v>
      </c>
      <c r="C160" s="496" t="s">
        <v>1293</v>
      </c>
      <c r="D160" s="497">
        <v>44551</v>
      </c>
      <c r="E160" s="498">
        <v>30884</v>
      </c>
      <c r="F160" s="496">
        <v>1007010012</v>
      </c>
      <c r="G160" s="496" t="s">
        <v>2442</v>
      </c>
    </row>
    <row r="161" spans="1:7">
      <c r="A161" s="496" t="s">
        <v>2453</v>
      </c>
      <c r="B161" s="496">
        <v>3400005095</v>
      </c>
      <c r="C161" s="496" t="s">
        <v>1293</v>
      </c>
      <c r="D161" s="497">
        <v>44551</v>
      </c>
      <c r="E161" s="498">
        <v>30884</v>
      </c>
      <c r="F161" s="496">
        <v>1007010004</v>
      </c>
      <c r="G161" s="496" t="s">
        <v>2442</v>
      </c>
    </row>
    <row r="162" spans="1:7">
      <c r="A162" s="496" t="s">
        <v>2453</v>
      </c>
      <c r="B162" s="496">
        <v>3400005095</v>
      </c>
      <c r="C162" s="496" t="s">
        <v>1293</v>
      </c>
      <c r="D162" s="497">
        <v>44551</v>
      </c>
      <c r="E162" s="498">
        <v>30884</v>
      </c>
      <c r="F162" s="496">
        <v>1007010011</v>
      </c>
      <c r="G162" s="496" t="s">
        <v>2442</v>
      </c>
    </row>
    <row r="163" spans="1:7">
      <c r="A163" s="496" t="s">
        <v>2453</v>
      </c>
      <c r="B163" s="496">
        <v>3400005095</v>
      </c>
      <c r="C163" s="496" t="s">
        <v>1293</v>
      </c>
      <c r="D163" s="497">
        <v>44551</v>
      </c>
      <c r="E163" s="498">
        <v>30884</v>
      </c>
      <c r="F163" s="496">
        <v>1007010009</v>
      </c>
      <c r="G163" s="496" t="s">
        <v>2442</v>
      </c>
    </row>
    <row r="164" spans="1:7">
      <c r="A164" s="496" t="s">
        <v>2453</v>
      </c>
      <c r="B164" s="496">
        <v>3400005095</v>
      </c>
      <c r="C164" s="496" t="s">
        <v>1293</v>
      </c>
      <c r="D164" s="497">
        <v>44551</v>
      </c>
      <c r="E164" s="498">
        <v>30884</v>
      </c>
      <c r="F164" s="496">
        <v>1007010007</v>
      </c>
      <c r="G164" s="496" t="s">
        <v>2442</v>
      </c>
    </row>
    <row r="165" spans="1:7">
      <c r="A165" s="496" t="s">
        <v>2454</v>
      </c>
      <c r="B165" s="496">
        <v>3400005173</v>
      </c>
      <c r="C165" s="496" t="s">
        <v>1293</v>
      </c>
      <c r="D165" s="497">
        <v>44554</v>
      </c>
      <c r="E165" s="498">
        <v>116233</v>
      </c>
      <c r="F165" s="496">
        <v>1007010001</v>
      </c>
      <c r="G165" s="496" t="s">
        <v>2419</v>
      </c>
    </row>
    <row r="166" spans="1:7">
      <c r="A166" s="496" t="s">
        <v>2303</v>
      </c>
      <c r="B166" s="496">
        <v>3900000147</v>
      </c>
      <c r="C166" s="496" t="s">
        <v>2455</v>
      </c>
      <c r="D166" s="497">
        <v>44224</v>
      </c>
      <c r="E166" s="498">
        <v>-53420</v>
      </c>
      <c r="F166" s="496">
        <v>1007010012</v>
      </c>
      <c r="G166" s="496" t="s">
        <v>2416</v>
      </c>
    </row>
    <row r="167" spans="1:7">
      <c r="A167" s="496" t="s">
        <v>2303</v>
      </c>
      <c r="B167" s="496">
        <v>3900000147</v>
      </c>
      <c r="C167" s="496" t="s">
        <v>2455</v>
      </c>
      <c r="D167" s="497">
        <v>44224</v>
      </c>
      <c r="E167" s="498">
        <v>-53420</v>
      </c>
      <c r="F167" s="496">
        <v>1007010011</v>
      </c>
      <c r="G167" s="496" t="s">
        <v>2416</v>
      </c>
    </row>
    <row r="168" spans="1:7">
      <c r="A168" s="496" t="s">
        <v>2303</v>
      </c>
      <c r="B168" s="496">
        <v>3900000147</v>
      </c>
      <c r="C168" s="496" t="s">
        <v>2455</v>
      </c>
      <c r="D168" s="497">
        <v>44224</v>
      </c>
      <c r="E168" s="498">
        <v>-53420</v>
      </c>
      <c r="F168" s="496">
        <v>1007010004</v>
      </c>
      <c r="G168" s="496" t="s">
        <v>2416</v>
      </c>
    </row>
    <row r="169" spans="1:7">
      <c r="A169" s="496" t="s">
        <v>2303</v>
      </c>
      <c r="B169" s="496">
        <v>3900000147</v>
      </c>
      <c r="C169" s="496" t="s">
        <v>2455</v>
      </c>
      <c r="D169" s="497">
        <v>44224</v>
      </c>
      <c r="E169" s="498">
        <v>-53420</v>
      </c>
      <c r="F169" s="496">
        <v>1007010009</v>
      </c>
      <c r="G169" s="496" t="s">
        <v>2416</v>
      </c>
    </row>
    <row r="170" spans="1:7">
      <c r="A170" s="496" t="s">
        <v>2303</v>
      </c>
      <c r="B170" s="496">
        <v>3900000147</v>
      </c>
      <c r="C170" s="496" t="s">
        <v>2455</v>
      </c>
      <c r="D170" s="497">
        <v>44224</v>
      </c>
      <c r="E170" s="498">
        <v>-53420</v>
      </c>
      <c r="F170" s="496">
        <v>1007010002</v>
      </c>
      <c r="G170" s="496" t="s">
        <v>2416</v>
      </c>
    </row>
    <row r="171" spans="1:7">
      <c r="A171" s="496" t="s">
        <v>2303</v>
      </c>
      <c r="B171" s="496">
        <v>3900000147</v>
      </c>
      <c r="C171" s="496" t="s">
        <v>2455</v>
      </c>
      <c r="D171" s="497">
        <v>44224</v>
      </c>
      <c r="E171" s="498">
        <v>-53420</v>
      </c>
      <c r="F171" s="496">
        <v>1007010001</v>
      </c>
      <c r="G171" s="496" t="s">
        <v>2416</v>
      </c>
    </row>
    <row r="172" spans="1:7">
      <c r="A172" s="496" t="s">
        <v>2303</v>
      </c>
      <c r="B172" s="496">
        <v>3900000147</v>
      </c>
      <c r="C172" s="496" t="s">
        <v>2455</v>
      </c>
      <c r="D172" s="497">
        <v>44224</v>
      </c>
      <c r="E172" s="498">
        <v>-53422</v>
      </c>
      <c r="F172" s="496">
        <v>1007010006</v>
      </c>
      <c r="G172" s="496" t="s">
        <v>2416</v>
      </c>
    </row>
    <row r="173" spans="1:7">
      <c r="A173" s="496" t="s">
        <v>2303</v>
      </c>
      <c r="B173" s="496">
        <v>3900000147</v>
      </c>
      <c r="C173" s="496" t="s">
        <v>2455</v>
      </c>
      <c r="D173" s="497">
        <v>44224</v>
      </c>
      <c r="E173" s="498">
        <v>-53422</v>
      </c>
      <c r="F173" s="496">
        <v>1007010010</v>
      </c>
      <c r="G173" s="496" t="s">
        <v>2416</v>
      </c>
    </row>
    <row r="174" spans="1:7">
      <c r="A174" s="496" t="s">
        <v>2303</v>
      </c>
      <c r="B174" s="496">
        <v>3900000157</v>
      </c>
      <c r="C174" s="496" t="s">
        <v>2455</v>
      </c>
      <c r="D174" s="497">
        <v>44224</v>
      </c>
      <c r="E174" s="498">
        <v>-29382</v>
      </c>
      <c r="F174" s="496">
        <v>1007010001</v>
      </c>
      <c r="G174" s="496" t="s">
        <v>2420</v>
      </c>
    </row>
    <row r="175" spans="1:7">
      <c r="A175" s="496" t="s">
        <v>2303</v>
      </c>
      <c r="B175" s="496">
        <v>3900000157</v>
      </c>
      <c r="C175" s="496" t="s">
        <v>2455</v>
      </c>
      <c r="D175" s="497">
        <v>44224</v>
      </c>
      <c r="E175" s="498">
        <v>-29382</v>
      </c>
      <c r="F175" s="496">
        <v>1007010002</v>
      </c>
      <c r="G175" s="496" t="s">
        <v>2420</v>
      </c>
    </row>
    <row r="176" spans="1:7">
      <c r="A176" s="496" t="s">
        <v>2303</v>
      </c>
      <c r="B176" s="496">
        <v>3900000157</v>
      </c>
      <c r="C176" s="496" t="s">
        <v>2455</v>
      </c>
      <c r="D176" s="497">
        <v>44224</v>
      </c>
      <c r="E176" s="498">
        <v>-29382</v>
      </c>
      <c r="F176" s="496">
        <v>1007010006</v>
      </c>
      <c r="G176" s="496" t="s">
        <v>2420</v>
      </c>
    </row>
    <row r="177" spans="1:7">
      <c r="A177" s="496" t="s">
        <v>2303</v>
      </c>
      <c r="B177" s="496">
        <v>3900000157</v>
      </c>
      <c r="C177" s="496" t="s">
        <v>2455</v>
      </c>
      <c r="D177" s="497">
        <v>44224</v>
      </c>
      <c r="E177" s="498">
        <v>-29382</v>
      </c>
      <c r="F177" s="496">
        <v>1007010010</v>
      </c>
      <c r="G177" s="496" t="s">
        <v>2420</v>
      </c>
    </row>
    <row r="178" spans="1:7">
      <c r="A178" s="496" t="s">
        <v>2303</v>
      </c>
      <c r="B178" s="496">
        <v>3900000157</v>
      </c>
      <c r="C178" s="496" t="s">
        <v>2455</v>
      </c>
      <c r="D178" s="497">
        <v>44224</v>
      </c>
      <c r="E178" s="498">
        <v>-29382</v>
      </c>
      <c r="F178" s="496">
        <v>1007010012</v>
      </c>
      <c r="G178" s="496" t="s">
        <v>2420</v>
      </c>
    </row>
    <row r="179" spans="1:7">
      <c r="A179" s="496" t="s">
        <v>2303</v>
      </c>
      <c r="B179" s="496">
        <v>3900000157</v>
      </c>
      <c r="C179" s="496" t="s">
        <v>2455</v>
      </c>
      <c r="D179" s="497">
        <v>44224</v>
      </c>
      <c r="E179" s="498">
        <v>-29382</v>
      </c>
      <c r="F179" s="496">
        <v>1007010004</v>
      </c>
      <c r="G179" s="496" t="s">
        <v>2420</v>
      </c>
    </row>
    <row r="180" spans="1:7">
      <c r="A180" s="496" t="s">
        <v>2303</v>
      </c>
      <c r="B180" s="496">
        <v>3900000157</v>
      </c>
      <c r="C180" s="496" t="s">
        <v>2455</v>
      </c>
      <c r="D180" s="497">
        <v>44224</v>
      </c>
      <c r="E180" s="498">
        <v>-29382</v>
      </c>
      <c r="F180" s="496">
        <v>1007010011</v>
      </c>
      <c r="G180" s="496" t="s">
        <v>2420</v>
      </c>
    </row>
    <row r="181" spans="1:7">
      <c r="A181" s="496" t="s">
        <v>2303</v>
      </c>
      <c r="B181" s="496">
        <v>3900000157</v>
      </c>
      <c r="C181" s="496" t="s">
        <v>2455</v>
      </c>
      <c r="D181" s="497">
        <v>44224</v>
      </c>
      <c r="E181" s="498">
        <v>-29382</v>
      </c>
      <c r="F181" s="496">
        <v>1007010009</v>
      </c>
      <c r="G181" s="496" t="s">
        <v>2420</v>
      </c>
    </row>
    <row r="182" spans="1:7">
      <c r="A182" s="496" t="s">
        <v>2303</v>
      </c>
      <c r="B182" s="496">
        <v>3900000157</v>
      </c>
      <c r="C182" s="496" t="s">
        <v>2455</v>
      </c>
      <c r="D182" s="497">
        <v>44224</v>
      </c>
      <c r="E182" s="498">
        <v>-29382</v>
      </c>
      <c r="F182" s="496">
        <v>1007010007</v>
      </c>
      <c r="G182" s="496" t="s">
        <v>2420</v>
      </c>
    </row>
    <row r="183" spans="1:7">
      <c r="A183" s="496" t="s">
        <v>2440</v>
      </c>
      <c r="B183" s="496">
        <v>3900000748</v>
      </c>
      <c r="C183" s="496" t="s">
        <v>2455</v>
      </c>
      <c r="D183" s="497">
        <v>44405</v>
      </c>
      <c r="E183" s="498">
        <v>-32571</v>
      </c>
      <c r="F183" s="496">
        <v>1007010001</v>
      </c>
      <c r="G183" s="496" t="s">
        <v>2433</v>
      </c>
    </row>
    <row r="184" spans="1:7">
      <c r="A184" s="496" t="s">
        <v>2440</v>
      </c>
      <c r="B184" s="496">
        <v>3900000748</v>
      </c>
      <c r="C184" s="496" t="s">
        <v>2455</v>
      </c>
      <c r="D184" s="497">
        <v>44405</v>
      </c>
      <c r="E184" s="498">
        <v>-32571</v>
      </c>
      <c r="F184" s="496">
        <v>1007010002</v>
      </c>
      <c r="G184" s="496" t="s">
        <v>2433</v>
      </c>
    </row>
    <row r="185" spans="1:7">
      <c r="A185" s="496" t="s">
        <v>2440</v>
      </c>
      <c r="B185" s="496">
        <v>3900000748</v>
      </c>
      <c r="C185" s="496" t="s">
        <v>2455</v>
      </c>
      <c r="D185" s="497">
        <v>44405</v>
      </c>
      <c r="E185" s="498">
        <v>-32571</v>
      </c>
      <c r="F185" s="496">
        <v>1007010006</v>
      </c>
      <c r="G185" s="496" t="s">
        <v>2433</v>
      </c>
    </row>
    <row r="186" spans="1:7">
      <c r="A186" s="496" t="s">
        <v>2440</v>
      </c>
      <c r="B186" s="496">
        <v>3900000748</v>
      </c>
      <c r="C186" s="496" t="s">
        <v>2455</v>
      </c>
      <c r="D186" s="497">
        <v>44405</v>
      </c>
      <c r="E186" s="498">
        <v>-32571</v>
      </c>
      <c r="F186" s="496">
        <v>1007010010</v>
      </c>
      <c r="G186" s="496" t="s">
        <v>2433</v>
      </c>
    </row>
    <row r="187" spans="1:7">
      <c r="A187" s="496" t="s">
        <v>2440</v>
      </c>
      <c r="B187" s="496">
        <v>3900000748</v>
      </c>
      <c r="C187" s="496" t="s">
        <v>2455</v>
      </c>
      <c r="D187" s="497">
        <v>44405</v>
      </c>
      <c r="E187" s="498">
        <v>-32571</v>
      </c>
      <c r="F187" s="496">
        <v>1007010012</v>
      </c>
      <c r="G187" s="496" t="s">
        <v>2433</v>
      </c>
    </row>
    <row r="188" spans="1:7">
      <c r="A188" s="496" t="s">
        <v>2440</v>
      </c>
      <c r="B188" s="496">
        <v>3900000748</v>
      </c>
      <c r="C188" s="496" t="s">
        <v>2455</v>
      </c>
      <c r="D188" s="497">
        <v>44405</v>
      </c>
      <c r="E188" s="498">
        <v>-32571</v>
      </c>
      <c r="F188" s="496">
        <v>1007010004</v>
      </c>
      <c r="G188" s="496" t="s">
        <v>2433</v>
      </c>
    </row>
    <row r="189" spans="1:7">
      <c r="A189" s="496" t="s">
        <v>2440</v>
      </c>
      <c r="B189" s="496">
        <v>3900000748</v>
      </c>
      <c r="C189" s="496" t="s">
        <v>2455</v>
      </c>
      <c r="D189" s="497">
        <v>44405</v>
      </c>
      <c r="E189" s="498">
        <v>-32571</v>
      </c>
      <c r="F189" s="496">
        <v>1007010011</v>
      </c>
      <c r="G189" s="496" t="s">
        <v>2433</v>
      </c>
    </row>
    <row r="190" spans="1:7">
      <c r="A190" s="496" t="s">
        <v>2440</v>
      </c>
      <c r="B190" s="496">
        <v>3900000748</v>
      </c>
      <c r="C190" s="496" t="s">
        <v>2455</v>
      </c>
      <c r="D190" s="497">
        <v>44405</v>
      </c>
      <c r="E190" s="498">
        <v>-32571</v>
      </c>
      <c r="F190" s="496">
        <v>1007010009</v>
      </c>
      <c r="G190" s="496" t="s">
        <v>2433</v>
      </c>
    </row>
    <row r="191" spans="1:7">
      <c r="A191" s="496" t="s">
        <v>2440</v>
      </c>
      <c r="B191" s="496">
        <v>3900000748</v>
      </c>
      <c r="C191" s="496" t="s">
        <v>2455</v>
      </c>
      <c r="D191" s="497">
        <v>44405</v>
      </c>
      <c r="E191" s="498">
        <v>-32571</v>
      </c>
      <c r="F191" s="496">
        <v>1007010007</v>
      </c>
      <c r="G191" s="496" t="s">
        <v>2433</v>
      </c>
    </row>
    <row r="192" spans="1:7">
      <c r="A192" s="496">
        <v>4700528605</v>
      </c>
      <c r="B192" s="496">
        <v>6100007409</v>
      </c>
      <c r="C192" s="496" t="s">
        <v>631</v>
      </c>
      <c r="D192" s="497">
        <v>44214</v>
      </c>
      <c r="E192" s="498">
        <v>21039</v>
      </c>
      <c r="F192" s="496">
        <v>1007010001</v>
      </c>
      <c r="G192" s="496" t="s">
        <v>633</v>
      </c>
    </row>
    <row r="193" spans="1:7">
      <c r="A193" s="496">
        <v>4700528605</v>
      </c>
      <c r="B193" s="496">
        <v>6100007501</v>
      </c>
      <c r="C193" s="496" t="s">
        <v>631</v>
      </c>
      <c r="D193" s="497">
        <v>44214</v>
      </c>
      <c r="E193" s="498">
        <v>24576</v>
      </c>
      <c r="F193" s="496">
        <v>1007010001</v>
      </c>
      <c r="G193" s="496" t="s">
        <v>633</v>
      </c>
    </row>
    <row r="194" spans="1:7">
      <c r="A194" s="496">
        <v>4700528605</v>
      </c>
      <c r="B194" s="496">
        <v>6100007501</v>
      </c>
      <c r="C194" s="496" t="s">
        <v>631</v>
      </c>
      <c r="D194" s="497">
        <v>44214</v>
      </c>
      <c r="E194" s="498">
        <v>24574</v>
      </c>
      <c r="F194" s="496">
        <v>1007010002</v>
      </c>
      <c r="G194" s="496" t="s">
        <v>633</v>
      </c>
    </row>
    <row r="195" spans="1:7">
      <c r="A195" s="496">
        <v>4700541973</v>
      </c>
      <c r="B195" s="496">
        <v>6100017519</v>
      </c>
      <c r="C195" s="496" t="s">
        <v>631</v>
      </c>
      <c r="D195" s="497">
        <v>44242</v>
      </c>
      <c r="E195" s="498">
        <v>21039</v>
      </c>
      <c r="F195" s="496">
        <v>1007010001</v>
      </c>
      <c r="G195" s="496" t="s">
        <v>633</v>
      </c>
    </row>
    <row r="196" spans="1:7">
      <c r="A196" s="496">
        <v>4700541973</v>
      </c>
      <c r="B196" s="496">
        <v>6100017520</v>
      </c>
      <c r="C196" s="496" t="s">
        <v>631</v>
      </c>
      <c r="D196" s="497">
        <v>44242</v>
      </c>
      <c r="E196" s="498">
        <v>24576</v>
      </c>
      <c r="F196" s="496">
        <v>1007010001</v>
      </c>
      <c r="G196" s="496" t="s">
        <v>633</v>
      </c>
    </row>
    <row r="197" spans="1:7">
      <c r="A197" s="496">
        <v>4700541973</v>
      </c>
      <c r="B197" s="496">
        <v>6100017520</v>
      </c>
      <c r="C197" s="496" t="s">
        <v>631</v>
      </c>
      <c r="D197" s="497">
        <v>44242</v>
      </c>
      <c r="E197" s="498">
        <v>24574</v>
      </c>
      <c r="F197" s="496">
        <v>1007010002</v>
      </c>
      <c r="G197" s="496" t="s">
        <v>633</v>
      </c>
    </row>
    <row r="198" spans="1:7">
      <c r="A198" s="496">
        <v>4700558429</v>
      </c>
      <c r="B198" s="496">
        <v>6100025917</v>
      </c>
      <c r="C198" s="496" t="s">
        <v>631</v>
      </c>
      <c r="D198" s="497">
        <v>44273</v>
      </c>
      <c r="E198" s="498">
        <v>21039</v>
      </c>
      <c r="F198" s="496">
        <v>1007010001</v>
      </c>
      <c r="G198" s="496" t="s">
        <v>633</v>
      </c>
    </row>
    <row r="199" spans="1:7">
      <c r="A199" s="496">
        <v>4700558429</v>
      </c>
      <c r="B199" s="496">
        <v>6100025918</v>
      </c>
      <c r="C199" s="496" t="s">
        <v>631</v>
      </c>
      <c r="D199" s="497">
        <v>44273</v>
      </c>
      <c r="E199" s="498">
        <v>24576</v>
      </c>
      <c r="F199" s="496">
        <v>1007010001</v>
      </c>
      <c r="G199" s="496" t="s">
        <v>633</v>
      </c>
    </row>
    <row r="200" spans="1:7">
      <c r="A200" s="496">
        <v>4700558429</v>
      </c>
      <c r="B200" s="496">
        <v>6100025918</v>
      </c>
      <c r="C200" s="496" t="s">
        <v>631</v>
      </c>
      <c r="D200" s="497">
        <v>44273</v>
      </c>
      <c r="E200" s="498">
        <v>24574</v>
      </c>
      <c r="F200" s="496">
        <v>1007010002</v>
      </c>
      <c r="G200" s="496" t="s">
        <v>633</v>
      </c>
    </row>
    <row r="201" spans="1:7">
      <c r="A201" s="496">
        <v>4700570414</v>
      </c>
      <c r="B201" s="496">
        <v>6100031406</v>
      </c>
      <c r="C201" s="496" t="s">
        <v>631</v>
      </c>
      <c r="D201" s="497">
        <v>44299</v>
      </c>
      <c r="E201" s="498">
        <v>24576</v>
      </c>
      <c r="F201" s="496">
        <v>1007010001</v>
      </c>
      <c r="G201" s="496" t="s">
        <v>633</v>
      </c>
    </row>
    <row r="202" spans="1:7">
      <c r="A202" s="496">
        <v>4700570414</v>
      </c>
      <c r="B202" s="496">
        <v>6100031406</v>
      </c>
      <c r="C202" s="496" t="s">
        <v>631</v>
      </c>
      <c r="D202" s="497">
        <v>44299</v>
      </c>
      <c r="E202" s="498">
        <v>24574</v>
      </c>
      <c r="F202" s="496">
        <v>1007010002</v>
      </c>
      <c r="G202" s="496" t="s">
        <v>633</v>
      </c>
    </row>
    <row r="203" spans="1:7">
      <c r="A203" s="496">
        <v>4700570414</v>
      </c>
      <c r="B203" s="496">
        <v>6100031407</v>
      </c>
      <c r="C203" s="496" t="s">
        <v>631</v>
      </c>
      <c r="D203" s="497">
        <v>44299</v>
      </c>
      <c r="E203" s="498">
        <v>21039</v>
      </c>
      <c r="F203" s="496">
        <v>1007010001</v>
      </c>
      <c r="G203" s="496" t="s">
        <v>633</v>
      </c>
    </row>
    <row r="204" spans="1:7">
      <c r="A204" s="496">
        <v>4700583351</v>
      </c>
      <c r="B204" s="496">
        <v>6100038751</v>
      </c>
      <c r="C204" s="496" t="s">
        <v>631</v>
      </c>
      <c r="D204" s="497">
        <v>44334</v>
      </c>
      <c r="E204" s="498">
        <v>24576</v>
      </c>
      <c r="F204" s="496">
        <v>1007010001</v>
      </c>
      <c r="G204" s="496" t="s">
        <v>633</v>
      </c>
    </row>
    <row r="205" spans="1:7">
      <c r="A205" s="496">
        <v>4700583351</v>
      </c>
      <c r="B205" s="496">
        <v>6100038751</v>
      </c>
      <c r="C205" s="496" t="s">
        <v>631</v>
      </c>
      <c r="D205" s="497">
        <v>44334</v>
      </c>
      <c r="E205" s="498">
        <v>24574</v>
      </c>
      <c r="F205" s="496">
        <v>1007010002</v>
      </c>
      <c r="G205" s="496" t="s">
        <v>633</v>
      </c>
    </row>
    <row r="206" spans="1:7">
      <c r="A206" s="496">
        <v>4700583351</v>
      </c>
      <c r="B206" s="496">
        <v>6100038752</v>
      </c>
      <c r="C206" s="496" t="s">
        <v>631</v>
      </c>
      <c r="D206" s="497">
        <v>44334</v>
      </c>
      <c r="E206" s="498">
        <v>21039</v>
      </c>
      <c r="F206" s="496">
        <v>1007010001</v>
      </c>
      <c r="G206" s="496" t="s">
        <v>633</v>
      </c>
    </row>
    <row r="207" spans="1:7">
      <c r="A207" s="496">
        <v>4700593523</v>
      </c>
      <c r="B207" s="496">
        <v>6100042713</v>
      </c>
      <c r="C207" s="496" t="s">
        <v>631</v>
      </c>
      <c r="D207" s="497">
        <v>44357</v>
      </c>
      <c r="E207" s="498">
        <v>29307</v>
      </c>
      <c r="F207" s="496">
        <v>1007010001</v>
      </c>
      <c r="G207" s="496" t="s">
        <v>633</v>
      </c>
    </row>
    <row r="208" spans="1:7">
      <c r="A208" s="496">
        <v>4700593523</v>
      </c>
      <c r="B208" s="496">
        <v>6100042713</v>
      </c>
      <c r="C208" s="496" t="s">
        <v>631</v>
      </c>
      <c r="D208" s="497">
        <v>44357</v>
      </c>
      <c r="E208" s="498">
        <v>29308</v>
      </c>
      <c r="F208" s="496">
        <v>1007010002</v>
      </c>
      <c r="G208" s="496" t="s">
        <v>633</v>
      </c>
    </row>
    <row r="209" spans="1:7">
      <c r="A209" s="496">
        <v>4700593523</v>
      </c>
      <c r="B209" s="496">
        <v>6100042714</v>
      </c>
      <c r="C209" s="496" t="s">
        <v>631</v>
      </c>
      <c r="D209" s="497">
        <v>44357</v>
      </c>
      <c r="E209" s="498">
        <v>22027</v>
      </c>
      <c r="F209" s="496">
        <v>1007010001</v>
      </c>
      <c r="G209" s="496" t="s">
        <v>633</v>
      </c>
    </row>
    <row r="210" spans="1:7">
      <c r="A210" s="496">
        <v>4700593523</v>
      </c>
      <c r="B210" s="496">
        <v>6100043087</v>
      </c>
      <c r="C210" s="496" t="s">
        <v>631</v>
      </c>
      <c r="D210" s="497">
        <v>44357</v>
      </c>
      <c r="E210" s="498">
        <v>-22027</v>
      </c>
      <c r="F210" s="496">
        <v>1007010001</v>
      </c>
      <c r="G210" s="496" t="s">
        <v>633</v>
      </c>
    </row>
    <row r="211" spans="1:7">
      <c r="A211" s="496">
        <v>4700593523</v>
      </c>
      <c r="B211" s="496">
        <v>6100043090</v>
      </c>
      <c r="C211" s="496" t="s">
        <v>631</v>
      </c>
      <c r="D211" s="497">
        <v>44357</v>
      </c>
      <c r="E211" s="498">
        <v>-29307</v>
      </c>
      <c r="F211" s="496">
        <v>1007010001</v>
      </c>
      <c r="G211" s="496" t="s">
        <v>633</v>
      </c>
    </row>
    <row r="212" spans="1:7">
      <c r="A212" s="496">
        <v>4700593523</v>
      </c>
      <c r="B212" s="496">
        <v>6100043090</v>
      </c>
      <c r="C212" s="496" t="s">
        <v>631</v>
      </c>
      <c r="D212" s="497">
        <v>44357</v>
      </c>
      <c r="E212" s="498">
        <v>-29308</v>
      </c>
      <c r="F212" s="496">
        <v>1007010002</v>
      </c>
      <c r="G212" s="496" t="s">
        <v>633</v>
      </c>
    </row>
    <row r="213" spans="1:7">
      <c r="A213" s="496">
        <v>4700593523</v>
      </c>
      <c r="B213" s="496">
        <v>6100043116</v>
      </c>
      <c r="C213" s="496" t="s">
        <v>631</v>
      </c>
      <c r="D213" s="497">
        <v>44359</v>
      </c>
      <c r="E213" s="498">
        <v>24591</v>
      </c>
      <c r="F213" s="496">
        <v>1007010001</v>
      </c>
      <c r="G213" s="496" t="s">
        <v>633</v>
      </c>
    </row>
    <row r="214" spans="1:7">
      <c r="A214" s="496">
        <v>4700593523</v>
      </c>
      <c r="B214" s="496">
        <v>6100043116</v>
      </c>
      <c r="C214" s="496" t="s">
        <v>631</v>
      </c>
      <c r="D214" s="497">
        <v>44359</v>
      </c>
      <c r="E214" s="498">
        <v>24591</v>
      </c>
      <c r="F214" s="496">
        <v>1007010002</v>
      </c>
      <c r="G214" s="496" t="s">
        <v>633</v>
      </c>
    </row>
    <row r="215" spans="1:7">
      <c r="A215" s="496">
        <v>4700593523</v>
      </c>
      <c r="B215" s="496">
        <v>6100043117</v>
      </c>
      <c r="C215" s="496" t="s">
        <v>631</v>
      </c>
      <c r="D215" s="497">
        <v>44359</v>
      </c>
      <c r="E215" s="498">
        <v>22114</v>
      </c>
      <c r="F215" s="496">
        <v>1007010001</v>
      </c>
      <c r="G215" s="496" t="s">
        <v>633</v>
      </c>
    </row>
    <row r="216" spans="1:7">
      <c r="A216" s="496">
        <v>4700612331</v>
      </c>
      <c r="B216" s="496">
        <v>6100049235</v>
      </c>
      <c r="C216" s="496" t="s">
        <v>631</v>
      </c>
      <c r="D216" s="497">
        <v>44396</v>
      </c>
      <c r="E216" s="498">
        <v>22000</v>
      </c>
      <c r="F216" s="496">
        <v>1007010001</v>
      </c>
      <c r="G216" s="496" t="s">
        <v>633</v>
      </c>
    </row>
    <row r="217" spans="1:7">
      <c r="A217" s="496">
        <v>4700612331</v>
      </c>
      <c r="B217" s="496">
        <v>6100049236</v>
      </c>
      <c r="C217" s="496" t="s">
        <v>631</v>
      </c>
      <c r="D217" s="497">
        <v>44396</v>
      </c>
      <c r="E217" s="498">
        <v>24592</v>
      </c>
      <c r="F217" s="496">
        <v>1007010001</v>
      </c>
      <c r="G217" s="496" t="s">
        <v>633</v>
      </c>
    </row>
    <row r="218" spans="1:7">
      <c r="A218" s="496">
        <v>4700612331</v>
      </c>
      <c r="B218" s="496">
        <v>6100049236</v>
      </c>
      <c r="C218" s="496" t="s">
        <v>631</v>
      </c>
      <c r="D218" s="497">
        <v>44396</v>
      </c>
      <c r="E218" s="498">
        <v>24591</v>
      </c>
      <c r="F218" s="496">
        <v>1007010002</v>
      </c>
      <c r="G218" s="496" t="s">
        <v>633</v>
      </c>
    </row>
    <row r="219" spans="1:7">
      <c r="A219" s="496">
        <v>4700630274</v>
      </c>
      <c r="B219" s="496">
        <v>6100055595</v>
      </c>
      <c r="C219" s="496" t="s">
        <v>631</v>
      </c>
      <c r="D219" s="497">
        <v>44429</v>
      </c>
      <c r="E219" s="498">
        <v>24735</v>
      </c>
      <c r="F219" s="496">
        <v>1007010001</v>
      </c>
      <c r="G219" s="496" t="s">
        <v>633</v>
      </c>
    </row>
    <row r="220" spans="1:7">
      <c r="A220" s="496">
        <v>4700630274</v>
      </c>
      <c r="B220" s="496">
        <v>6100055595</v>
      </c>
      <c r="C220" s="496" t="s">
        <v>631</v>
      </c>
      <c r="D220" s="497">
        <v>44429</v>
      </c>
      <c r="E220" s="498">
        <v>24740</v>
      </c>
      <c r="F220" s="496">
        <v>1007010002</v>
      </c>
      <c r="G220" s="496" t="s">
        <v>633</v>
      </c>
    </row>
    <row r="221" spans="1:7">
      <c r="A221" s="496">
        <v>4700630274</v>
      </c>
      <c r="B221" s="496">
        <v>6100055596</v>
      </c>
      <c r="C221" s="496" t="s">
        <v>631</v>
      </c>
      <c r="D221" s="497">
        <v>44429</v>
      </c>
      <c r="E221" s="498">
        <v>22000</v>
      </c>
      <c r="F221" s="496">
        <v>1007010001</v>
      </c>
      <c r="G221" s="496" t="s">
        <v>633</v>
      </c>
    </row>
    <row r="222" spans="1:7">
      <c r="A222" s="496">
        <v>4700642414</v>
      </c>
      <c r="B222" s="496">
        <v>6100061551</v>
      </c>
      <c r="C222" s="496" t="s">
        <v>631</v>
      </c>
      <c r="D222" s="497">
        <v>44454</v>
      </c>
      <c r="E222" s="498">
        <v>22042</v>
      </c>
      <c r="F222" s="496">
        <v>1007010001</v>
      </c>
      <c r="G222" s="496" t="s">
        <v>633</v>
      </c>
    </row>
    <row r="223" spans="1:7">
      <c r="A223" s="496">
        <v>4700642414</v>
      </c>
      <c r="B223" s="496">
        <v>6100061552</v>
      </c>
      <c r="C223" s="496" t="s">
        <v>631</v>
      </c>
      <c r="D223" s="497">
        <v>44454</v>
      </c>
      <c r="E223" s="498">
        <v>24647</v>
      </c>
      <c r="F223" s="496">
        <v>1007010001</v>
      </c>
      <c r="G223" s="496" t="s">
        <v>633</v>
      </c>
    </row>
    <row r="224" spans="1:7">
      <c r="A224" s="496">
        <v>4700642414</v>
      </c>
      <c r="B224" s="496">
        <v>6100061552</v>
      </c>
      <c r="C224" s="496" t="s">
        <v>631</v>
      </c>
      <c r="D224" s="497">
        <v>44454</v>
      </c>
      <c r="E224" s="498">
        <v>24647</v>
      </c>
      <c r="F224" s="496">
        <v>1007010002</v>
      </c>
      <c r="G224" s="496" t="s">
        <v>633</v>
      </c>
    </row>
    <row r="225" spans="1:7">
      <c r="A225" s="496">
        <v>4700657385</v>
      </c>
      <c r="B225" s="496">
        <v>6100072467</v>
      </c>
      <c r="C225" s="496" t="s">
        <v>631</v>
      </c>
      <c r="D225" s="497">
        <v>44488</v>
      </c>
      <c r="E225" s="498">
        <v>22042</v>
      </c>
      <c r="F225" s="496">
        <v>1007010001</v>
      </c>
      <c r="G225" s="496" t="s">
        <v>633</v>
      </c>
    </row>
    <row r="226" spans="1:7">
      <c r="A226" s="496">
        <v>4700657385</v>
      </c>
      <c r="B226" s="496">
        <v>6100072468</v>
      </c>
      <c r="C226" s="496" t="s">
        <v>631</v>
      </c>
      <c r="D226" s="497">
        <v>44488</v>
      </c>
      <c r="E226" s="498">
        <v>24556</v>
      </c>
      <c r="F226" s="496">
        <v>1007010001</v>
      </c>
      <c r="G226" s="496" t="s">
        <v>633</v>
      </c>
    </row>
    <row r="227" spans="1:7">
      <c r="A227" s="496">
        <v>4700657385</v>
      </c>
      <c r="B227" s="496">
        <v>6100072468</v>
      </c>
      <c r="C227" s="496" t="s">
        <v>631</v>
      </c>
      <c r="D227" s="497">
        <v>44488</v>
      </c>
      <c r="E227" s="498">
        <v>24592</v>
      </c>
      <c r="F227" s="496">
        <v>1007010002</v>
      </c>
      <c r="G227" s="496" t="s">
        <v>633</v>
      </c>
    </row>
    <row r="228" spans="1:7">
      <c r="A228" s="496">
        <v>4700669260</v>
      </c>
      <c r="B228" s="496">
        <v>6100080456</v>
      </c>
      <c r="C228" s="496" t="s">
        <v>631</v>
      </c>
      <c r="D228" s="497">
        <v>44508</v>
      </c>
      <c r="E228" s="498">
        <v>22055</v>
      </c>
      <c r="F228" s="496">
        <v>1007010001</v>
      </c>
      <c r="G228" s="496" t="s">
        <v>633</v>
      </c>
    </row>
    <row r="229" spans="1:7">
      <c r="A229" s="496">
        <v>4700669260</v>
      </c>
      <c r="B229" s="496">
        <v>6100080457</v>
      </c>
      <c r="C229" s="496" t="s">
        <v>631</v>
      </c>
      <c r="D229" s="497">
        <v>44508</v>
      </c>
      <c r="E229" s="498">
        <v>25378</v>
      </c>
      <c r="F229" s="496">
        <v>1007010001</v>
      </c>
      <c r="G229" s="496" t="s">
        <v>633</v>
      </c>
    </row>
    <row r="230" spans="1:7">
      <c r="A230" s="496">
        <v>4700669260</v>
      </c>
      <c r="B230" s="496">
        <v>6100080457</v>
      </c>
      <c r="C230" s="496" t="s">
        <v>631</v>
      </c>
      <c r="D230" s="497">
        <v>44508</v>
      </c>
      <c r="E230" s="498">
        <v>25378</v>
      </c>
      <c r="F230" s="496">
        <v>1007010002</v>
      </c>
      <c r="G230" s="496" t="s">
        <v>633</v>
      </c>
    </row>
    <row r="231" spans="1:7">
      <c r="A231" s="496">
        <v>4700687001</v>
      </c>
      <c r="B231" s="496">
        <v>6100094138</v>
      </c>
      <c r="C231" s="496" t="s">
        <v>631</v>
      </c>
      <c r="D231" s="497">
        <v>44544</v>
      </c>
      <c r="E231" s="498">
        <v>25305</v>
      </c>
      <c r="F231" s="496">
        <v>1007010001</v>
      </c>
      <c r="G231" s="496" t="s">
        <v>633</v>
      </c>
    </row>
    <row r="232" spans="1:7">
      <c r="A232" s="496">
        <v>4700687001</v>
      </c>
      <c r="B232" s="496">
        <v>6100094138</v>
      </c>
      <c r="C232" s="496" t="s">
        <v>631</v>
      </c>
      <c r="D232" s="497">
        <v>44544</v>
      </c>
      <c r="E232" s="498">
        <v>25304</v>
      </c>
      <c r="F232" s="496">
        <v>1007010002</v>
      </c>
      <c r="G232" s="496" t="s">
        <v>633</v>
      </c>
    </row>
    <row r="233" spans="1:7">
      <c r="A233" s="496">
        <v>4700687001</v>
      </c>
      <c r="B233" s="496">
        <v>6100094140</v>
      </c>
      <c r="C233" s="496" t="s">
        <v>631</v>
      </c>
      <c r="D233" s="497">
        <v>44544</v>
      </c>
      <c r="E233" s="498">
        <v>22000</v>
      </c>
      <c r="F233" s="496">
        <v>1007010001</v>
      </c>
      <c r="G233" s="496" t="s">
        <v>633</v>
      </c>
    </row>
    <row r="234" spans="1:7">
      <c r="A234" s="496" t="s">
        <v>2271</v>
      </c>
      <c r="B234" s="496">
        <v>3400000334</v>
      </c>
      <c r="C234" s="496" t="s">
        <v>1293</v>
      </c>
      <c r="D234" s="497">
        <v>44222</v>
      </c>
      <c r="E234" s="498">
        <v>59901</v>
      </c>
      <c r="F234" s="496">
        <v>1001010005</v>
      </c>
      <c r="G234" s="496" t="s">
        <v>2456</v>
      </c>
    </row>
    <row r="235" spans="1:7">
      <c r="A235" s="496" t="s">
        <v>2457</v>
      </c>
      <c r="B235" s="496">
        <v>3400000336</v>
      </c>
      <c r="C235" s="496" t="s">
        <v>1293</v>
      </c>
      <c r="D235" s="497">
        <v>44222</v>
      </c>
      <c r="E235" s="498">
        <v>22988</v>
      </c>
      <c r="F235" s="496">
        <v>1001010001</v>
      </c>
      <c r="G235" s="496" t="s">
        <v>2416</v>
      </c>
    </row>
    <row r="236" spans="1:7">
      <c r="A236" s="496" t="s">
        <v>2457</v>
      </c>
      <c r="B236" s="496">
        <v>3400000336</v>
      </c>
      <c r="C236" s="496" t="s">
        <v>1293</v>
      </c>
      <c r="D236" s="497">
        <v>44222</v>
      </c>
      <c r="E236" s="498">
        <v>1410</v>
      </c>
      <c r="F236" s="496">
        <v>1001010001</v>
      </c>
      <c r="G236" s="496" t="s">
        <v>2416</v>
      </c>
    </row>
    <row r="237" spans="1:7">
      <c r="A237" s="496" t="s">
        <v>2293</v>
      </c>
      <c r="B237" s="496">
        <v>3400000337</v>
      </c>
      <c r="C237" s="496" t="s">
        <v>1293</v>
      </c>
      <c r="D237" s="497">
        <v>44222</v>
      </c>
      <c r="E237" s="498">
        <v>50636</v>
      </c>
      <c r="F237" s="496">
        <v>1001010016</v>
      </c>
      <c r="G237" s="496" t="s">
        <v>2458</v>
      </c>
    </row>
    <row r="238" spans="1:7">
      <c r="A238" s="496" t="s">
        <v>2459</v>
      </c>
      <c r="B238" s="496">
        <v>3400000338</v>
      </c>
      <c r="C238" s="496" t="s">
        <v>1293</v>
      </c>
      <c r="D238" s="497">
        <v>44222</v>
      </c>
      <c r="E238" s="498">
        <v>22988</v>
      </c>
      <c r="F238" s="496">
        <v>1002020003</v>
      </c>
      <c r="G238" s="496" t="s">
        <v>2460</v>
      </c>
    </row>
    <row r="239" spans="1:7">
      <c r="A239" s="496" t="s">
        <v>2457</v>
      </c>
      <c r="B239" s="496">
        <v>3400000341</v>
      </c>
      <c r="C239" s="496" t="s">
        <v>1293</v>
      </c>
      <c r="D239" s="497">
        <v>44222</v>
      </c>
      <c r="E239" s="498">
        <v>22988</v>
      </c>
      <c r="F239" s="496">
        <v>1001010001</v>
      </c>
      <c r="G239" s="496" t="s">
        <v>2416</v>
      </c>
    </row>
    <row r="240" spans="1:7">
      <c r="A240" s="496" t="s">
        <v>2457</v>
      </c>
      <c r="B240" s="496">
        <v>3400000341</v>
      </c>
      <c r="C240" s="496" t="s">
        <v>1293</v>
      </c>
      <c r="D240" s="497">
        <v>44222</v>
      </c>
      <c r="E240" s="498">
        <v>1410</v>
      </c>
      <c r="F240" s="496">
        <v>1001010001</v>
      </c>
      <c r="G240" s="496" t="s">
        <v>2416</v>
      </c>
    </row>
    <row r="241" spans="1:7">
      <c r="A241" s="496" t="s">
        <v>2293</v>
      </c>
      <c r="B241" s="496">
        <v>3400000343</v>
      </c>
      <c r="C241" s="496" t="s">
        <v>1293</v>
      </c>
      <c r="D241" s="497">
        <v>44222</v>
      </c>
      <c r="E241" s="498">
        <v>50636</v>
      </c>
      <c r="F241" s="496">
        <v>1001010016</v>
      </c>
      <c r="G241" s="496" t="s">
        <v>2458</v>
      </c>
    </row>
    <row r="242" spans="1:7">
      <c r="A242" s="496" t="s">
        <v>2459</v>
      </c>
      <c r="B242" s="496">
        <v>3400000344</v>
      </c>
      <c r="C242" s="496" t="s">
        <v>1293</v>
      </c>
      <c r="D242" s="497">
        <v>44222</v>
      </c>
      <c r="E242" s="498">
        <v>22988</v>
      </c>
      <c r="F242" s="496">
        <v>1002020003</v>
      </c>
      <c r="G242" s="496" t="s">
        <v>2460</v>
      </c>
    </row>
    <row r="243" spans="1:7">
      <c r="A243" s="496" t="s">
        <v>2461</v>
      </c>
      <c r="B243" s="496">
        <v>3400000349</v>
      </c>
      <c r="C243" s="496" t="s">
        <v>1293</v>
      </c>
      <c r="D243" s="497">
        <v>44224</v>
      </c>
      <c r="E243" s="498">
        <v>23479</v>
      </c>
      <c r="F243" s="496">
        <v>1001010008</v>
      </c>
      <c r="G243" s="496" t="s">
        <v>2416</v>
      </c>
    </row>
    <row r="244" spans="1:7">
      <c r="A244" s="496" t="s">
        <v>2277</v>
      </c>
      <c r="B244" s="496">
        <v>3400000350</v>
      </c>
      <c r="C244" s="496" t="s">
        <v>1293</v>
      </c>
      <c r="D244" s="497">
        <v>44224</v>
      </c>
      <c r="E244" s="498">
        <v>59901</v>
      </c>
      <c r="F244" s="496">
        <v>1001010006</v>
      </c>
      <c r="G244" s="496" t="s">
        <v>2462</v>
      </c>
    </row>
    <row r="245" spans="1:7">
      <c r="A245" s="496" t="s">
        <v>2463</v>
      </c>
      <c r="B245" s="496">
        <v>3400000359</v>
      </c>
      <c r="C245" s="496" t="s">
        <v>1293</v>
      </c>
      <c r="D245" s="497">
        <v>44224</v>
      </c>
      <c r="E245" s="498">
        <v>55239</v>
      </c>
      <c r="F245" s="496">
        <v>1001010006</v>
      </c>
      <c r="G245" s="496" t="s">
        <v>2416</v>
      </c>
    </row>
    <row r="246" spans="1:7">
      <c r="A246" s="496" t="s">
        <v>2303</v>
      </c>
      <c r="B246" s="496">
        <v>3400000363</v>
      </c>
      <c r="C246" s="496" t="s">
        <v>1293</v>
      </c>
      <c r="D246" s="497">
        <v>44224</v>
      </c>
      <c r="E246" s="498">
        <v>53420</v>
      </c>
      <c r="F246" s="496">
        <v>1002020003</v>
      </c>
      <c r="G246" s="496" t="s">
        <v>2416</v>
      </c>
    </row>
    <row r="247" spans="1:7">
      <c r="A247" s="496" t="s">
        <v>2303</v>
      </c>
      <c r="B247" s="496">
        <v>3400000363</v>
      </c>
      <c r="C247" s="496" t="s">
        <v>1293</v>
      </c>
      <c r="D247" s="497">
        <v>44224</v>
      </c>
      <c r="E247" s="498">
        <v>53422</v>
      </c>
      <c r="F247" s="496">
        <v>1002030099</v>
      </c>
      <c r="G247" s="496" t="s">
        <v>2416</v>
      </c>
    </row>
    <row r="248" spans="1:7">
      <c r="A248" s="496" t="s">
        <v>2303</v>
      </c>
      <c r="B248" s="496">
        <v>3400000363</v>
      </c>
      <c r="C248" s="496" t="s">
        <v>1293</v>
      </c>
      <c r="D248" s="497">
        <v>44224</v>
      </c>
      <c r="E248" s="498">
        <v>53422</v>
      </c>
      <c r="F248" s="496">
        <v>1002020002</v>
      </c>
      <c r="G248" s="496" t="s">
        <v>2416</v>
      </c>
    </row>
    <row r="249" spans="1:7">
      <c r="A249" s="496" t="s">
        <v>2464</v>
      </c>
      <c r="B249" s="496">
        <v>3400000372</v>
      </c>
      <c r="C249" s="496" t="s">
        <v>1293</v>
      </c>
      <c r="D249" s="497">
        <v>44224</v>
      </c>
      <c r="E249" s="498">
        <v>39642</v>
      </c>
      <c r="F249" s="496">
        <v>1001010002</v>
      </c>
      <c r="G249" s="496" t="s">
        <v>2416</v>
      </c>
    </row>
    <row r="250" spans="1:7">
      <c r="A250" s="496" t="s">
        <v>2465</v>
      </c>
      <c r="B250" s="496">
        <v>3400000374</v>
      </c>
      <c r="C250" s="496" t="s">
        <v>1293</v>
      </c>
      <c r="D250" s="497">
        <v>44224</v>
      </c>
      <c r="E250" s="498">
        <v>112957</v>
      </c>
      <c r="F250" s="496">
        <v>1001010004</v>
      </c>
      <c r="G250" s="496" t="s">
        <v>2416</v>
      </c>
    </row>
    <row r="251" spans="1:7">
      <c r="A251" s="496" t="s">
        <v>2466</v>
      </c>
      <c r="B251" s="496">
        <v>3400000380</v>
      </c>
      <c r="C251" s="496" t="s">
        <v>1293</v>
      </c>
      <c r="D251" s="497">
        <v>44224</v>
      </c>
      <c r="E251" s="498">
        <v>83803</v>
      </c>
      <c r="F251" s="496">
        <v>1001010002</v>
      </c>
      <c r="G251" s="496" t="s">
        <v>2416</v>
      </c>
    </row>
    <row r="252" spans="1:7">
      <c r="A252" s="496" t="s">
        <v>2467</v>
      </c>
      <c r="B252" s="496">
        <v>3400000381</v>
      </c>
      <c r="C252" s="496" t="s">
        <v>1293</v>
      </c>
      <c r="D252" s="497">
        <v>44224</v>
      </c>
      <c r="E252" s="498">
        <v>23479</v>
      </c>
      <c r="F252" s="496">
        <v>1001010013</v>
      </c>
      <c r="G252" s="496" t="s">
        <v>2416</v>
      </c>
    </row>
    <row r="253" spans="1:7">
      <c r="A253" s="496" t="s">
        <v>2289</v>
      </c>
      <c r="B253" s="496">
        <v>3400000385</v>
      </c>
      <c r="C253" s="496" t="s">
        <v>1293</v>
      </c>
      <c r="D253" s="497">
        <v>44224</v>
      </c>
      <c r="E253" s="498">
        <v>41901</v>
      </c>
      <c r="F253" s="496">
        <v>1001010009</v>
      </c>
      <c r="G253" s="496" t="s">
        <v>2468</v>
      </c>
    </row>
    <row r="254" spans="1:7">
      <c r="A254" s="496" t="s">
        <v>2282</v>
      </c>
      <c r="B254" s="496">
        <v>3400000386</v>
      </c>
      <c r="C254" s="496" t="s">
        <v>1293</v>
      </c>
      <c r="D254" s="497">
        <v>44224</v>
      </c>
      <c r="E254" s="498">
        <v>55239</v>
      </c>
      <c r="F254" s="496">
        <v>1001010007</v>
      </c>
      <c r="G254" s="496" t="s">
        <v>2458</v>
      </c>
    </row>
    <row r="255" spans="1:7">
      <c r="A255" s="496" t="s">
        <v>2469</v>
      </c>
      <c r="B255" s="496">
        <v>3400000394</v>
      </c>
      <c r="C255" s="496" t="s">
        <v>1293</v>
      </c>
      <c r="D255" s="497">
        <v>44224</v>
      </c>
      <c r="E255" s="498">
        <v>64591</v>
      </c>
      <c r="F255" s="496">
        <v>1001010003</v>
      </c>
      <c r="G255" s="496" t="s">
        <v>2416</v>
      </c>
    </row>
    <row r="256" spans="1:7">
      <c r="A256" s="496" t="s">
        <v>2259</v>
      </c>
      <c r="B256" s="496">
        <v>3400000400</v>
      </c>
      <c r="C256" s="496" t="s">
        <v>1293</v>
      </c>
      <c r="D256" s="497">
        <v>44224</v>
      </c>
      <c r="E256" s="498">
        <v>110479</v>
      </c>
      <c r="F256" s="496">
        <v>1001010001</v>
      </c>
      <c r="G256" s="496" t="s">
        <v>2470</v>
      </c>
    </row>
    <row r="257" spans="1:7">
      <c r="A257" s="496" t="s">
        <v>2303</v>
      </c>
      <c r="B257" s="496">
        <v>3400000410</v>
      </c>
      <c r="C257" s="496" t="s">
        <v>1293</v>
      </c>
      <c r="D257" s="497">
        <v>44224</v>
      </c>
      <c r="E257" s="498">
        <v>29381</v>
      </c>
      <c r="F257" s="496">
        <v>1002020003</v>
      </c>
      <c r="G257" s="496" t="s">
        <v>2420</v>
      </c>
    </row>
    <row r="258" spans="1:7">
      <c r="A258" s="496" t="s">
        <v>2303</v>
      </c>
      <c r="B258" s="496">
        <v>3400000410</v>
      </c>
      <c r="C258" s="496" t="s">
        <v>1293</v>
      </c>
      <c r="D258" s="497">
        <v>44224</v>
      </c>
      <c r="E258" s="498">
        <v>29381</v>
      </c>
      <c r="F258" s="496">
        <v>1002030099</v>
      </c>
      <c r="G258" s="496" t="s">
        <v>2420</v>
      </c>
    </row>
    <row r="259" spans="1:7">
      <c r="A259" s="496" t="s">
        <v>2303</v>
      </c>
      <c r="B259" s="496">
        <v>3400000410</v>
      </c>
      <c r="C259" s="496" t="s">
        <v>1293</v>
      </c>
      <c r="D259" s="497">
        <v>44224</v>
      </c>
      <c r="E259" s="498">
        <v>29381</v>
      </c>
      <c r="F259" s="496">
        <v>1002020002</v>
      </c>
      <c r="G259" s="496" t="s">
        <v>2420</v>
      </c>
    </row>
    <row r="260" spans="1:7">
      <c r="A260" s="496" t="s">
        <v>2303</v>
      </c>
      <c r="B260" s="496">
        <v>3400000410</v>
      </c>
      <c r="C260" s="496" t="s">
        <v>1293</v>
      </c>
      <c r="D260" s="497">
        <v>44224</v>
      </c>
      <c r="E260" s="498">
        <v>29381</v>
      </c>
      <c r="F260" s="496">
        <v>1005010099</v>
      </c>
      <c r="G260" s="496" t="s">
        <v>2420</v>
      </c>
    </row>
    <row r="261" spans="1:7">
      <c r="A261" s="496" t="s">
        <v>2471</v>
      </c>
      <c r="B261" s="496">
        <v>3400000864</v>
      </c>
      <c r="C261" s="496" t="s">
        <v>1293</v>
      </c>
      <c r="D261" s="497">
        <v>44252</v>
      </c>
      <c r="E261" s="498">
        <v>41901</v>
      </c>
      <c r="F261" s="496">
        <v>1001010009</v>
      </c>
      <c r="G261" s="496" t="s">
        <v>2468</v>
      </c>
    </row>
    <row r="262" spans="1:7">
      <c r="A262" s="496" t="s">
        <v>2472</v>
      </c>
      <c r="B262" s="496">
        <v>3400000867</v>
      </c>
      <c r="C262" s="496" t="s">
        <v>1293</v>
      </c>
      <c r="D262" s="497">
        <v>44252</v>
      </c>
      <c r="E262" s="498">
        <v>39612</v>
      </c>
      <c r="F262" s="496">
        <v>1001010002</v>
      </c>
      <c r="G262" s="496" t="s">
        <v>2416</v>
      </c>
    </row>
    <row r="263" spans="1:7">
      <c r="A263" s="496" t="s">
        <v>2472</v>
      </c>
      <c r="B263" s="496">
        <v>3400000868</v>
      </c>
      <c r="C263" s="496" t="s">
        <v>1293</v>
      </c>
      <c r="D263" s="497">
        <v>44252</v>
      </c>
      <c r="E263" s="498">
        <v>39642</v>
      </c>
      <c r="F263" s="496">
        <v>1001010002</v>
      </c>
      <c r="G263" s="496" t="s">
        <v>2416</v>
      </c>
    </row>
    <row r="264" spans="1:7">
      <c r="A264" s="496" t="s">
        <v>2473</v>
      </c>
      <c r="B264" s="496">
        <v>3400000869</v>
      </c>
      <c r="C264" s="496" t="s">
        <v>1293</v>
      </c>
      <c r="D264" s="497">
        <v>44252</v>
      </c>
      <c r="E264" s="498">
        <v>23479</v>
      </c>
      <c r="F264" s="496">
        <v>1001010013</v>
      </c>
      <c r="G264" s="496" t="s">
        <v>2416</v>
      </c>
    </row>
    <row r="265" spans="1:7">
      <c r="A265" s="496" t="s">
        <v>2474</v>
      </c>
      <c r="B265" s="496">
        <v>3400000871</v>
      </c>
      <c r="C265" s="496" t="s">
        <v>1293</v>
      </c>
      <c r="D265" s="497">
        <v>44252</v>
      </c>
      <c r="E265" s="498">
        <v>112957</v>
      </c>
      <c r="F265" s="496">
        <v>1001010004</v>
      </c>
      <c r="G265" s="496" t="s">
        <v>2416</v>
      </c>
    </row>
    <row r="266" spans="1:7">
      <c r="A266" s="496" t="s">
        <v>2475</v>
      </c>
      <c r="B266" s="496">
        <v>3400000872</v>
      </c>
      <c r="C266" s="496" t="s">
        <v>1293</v>
      </c>
      <c r="D266" s="497">
        <v>44252</v>
      </c>
      <c r="E266" s="498">
        <v>59901</v>
      </c>
      <c r="F266" s="496">
        <v>1001010005</v>
      </c>
      <c r="G266" s="496" t="s">
        <v>2456</v>
      </c>
    </row>
    <row r="267" spans="1:7">
      <c r="A267" s="496" t="s">
        <v>2476</v>
      </c>
      <c r="B267" s="496">
        <v>3400000875</v>
      </c>
      <c r="C267" s="496" t="s">
        <v>1293</v>
      </c>
      <c r="D267" s="497">
        <v>44252</v>
      </c>
      <c r="E267" s="498">
        <v>55240</v>
      </c>
      <c r="F267" s="496">
        <v>1001010006</v>
      </c>
      <c r="G267" s="496" t="s">
        <v>2416</v>
      </c>
    </row>
    <row r="268" spans="1:7">
      <c r="A268" s="496" t="s">
        <v>2477</v>
      </c>
      <c r="B268" s="496">
        <v>3400000887</v>
      </c>
      <c r="C268" s="496" t="s">
        <v>1293</v>
      </c>
      <c r="D268" s="497">
        <v>44252</v>
      </c>
      <c r="E268" s="498">
        <v>110479</v>
      </c>
      <c r="F268" s="496">
        <v>1001010001</v>
      </c>
      <c r="G268" s="496" t="s">
        <v>2470</v>
      </c>
    </row>
    <row r="269" spans="1:7">
      <c r="A269" s="496" t="s">
        <v>2478</v>
      </c>
      <c r="B269" s="496">
        <v>3400000888</v>
      </c>
      <c r="C269" s="496" t="s">
        <v>1293</v>
      </c>
      <c r="D269" s="497">
        <v>44252</v>
      </c>
      <c r="E269" s="498">
        <v>83803</v>
      </c>
      <c r="F269" s="496">
        <v>1001010002</v>
      </c>
      <c r="G269" s="496" t="s">
        <v>2416</v>
      </c>
    </row>
    <row r="270" spans="1:7">
      <c r="A270" s="496" t="s">
        <v>2479</v>
      </c>
      <c r="B270" s="496">
        <v>3400000889</v>
      </c>
      <c r="C270" s="496" t="s">
        <v>1293</v>
      </c>
      <c r="D270" s="497">
        <v>44252</v>
      </c>
      <c r="E270" s="498">
        <v>64591</v>
      </c>
      <c r="F270" s="496">
        <v>1001010003</v>
      </c>
      <c r="G270" s="496" t="s">
        <v>2416</v>
      </c>
    </row>
    <row r="271" spans="1:7">
      <c r="A271" s="496" t="s">
        <v>2480</v>
      </c>
      <c r="B271" s="496">
        <v>3400000890</v>
      </c>
      <c r="C271" s="496" t="s">
        <v>1293</v>
      </c>
      <c r="D271" s="497">
        <v>44252</v>
      </c>
      <c r="E271" s="498">
        <v>55239</v>
      </c>
      <c r="F271" s="496">
        <v>1001010007</v>
      </c>
      <c r="G271" s="496" t="s">
        <v>2458</v>
      </c>
    </row>
    <row r="272" spans="1:7">
      <c r="A272" s="496" t="s">
        <v>2481</v>
      </c>
      <c r="B272" s="496">
        <v>3400000905</v>
      </c>
      <c r="C272" s="496" t="s">
        <v>1293</v>
      </c>
      <c r="D272" s="497">
        <v>44252</v>
      </c>
      <c r="E272" s="498">
        <v>24398</v>
      </c>
      <c r="F272" s="496">
        <v>1001010001</v>
      </c>
      <c r="G272" s="496" t="s">
        <v>2416</v>
      </c>
    </row>
    <row r="273" spans="1:7">
      <c r="A273" s="496" t="s">
        <v>2482</v>
      </c>
      <c r="B273" s="496">
        <v>3400000908</v>
      </c>
      <c r="C273" s="496" t="s">
        <v>1293</v>
      </c>
      <c r="D273" s="497">
        <v>44252</v>
      </c>
      <c r="E273" s="498">
        <v>50636</v>
      </c>
      <c r="F273" s="496">
        <v>1001010016</v>
      </c>
      <c r="G273" s="496" t="s">
        <v>2458</v>
      </c>
    </row>
    <row r="274" spans="1:7">
      <c r="A274" s="496" t="s">
        <v>2483</v>
      </c>
      <c r="B274" s="496">
        <v>3400000913</v>
      </c>
      <c r="C274" s="496" t="s">
        <v>1293</v>
      </c>
      <c r="D274" s="497">
        <v>44252</v>
      </c>
      <c r="E274" s="498">
        <v>22988</v>
      </c>
      <c r="F274" s="496">
        <v>1002020003</v>
      </c>
      <c r="G274" s="496" t="s">
        <v>2460</v>
      </c>
    </row>
    <row r="275" spans="1:7">
      <c r="A275" s="496" t="s">
        <v>2484</v>
      </c>
      <c r="B275" s="496">
        <v>3400000917</v>
      </c>
      <c r="C275" s="496" t="s">
        <v>1293</v>
      </c>
      <c r="D275" s="497">
        <v>44252</v>
      </c>
      <c r="E275" s="498">
        <v>23479</v>
      </c>
      <c r="F275" s="496">
        <v>1001010008</v>
      </c>
      <c r="G275" s="496" t="s">
        <v>2416</v>
      </c>
    </row>
    <row r="276" spans="1:7">
      <c r="A276" s="496" t="s">
        <v>2485</v>
      </c>
      <c r="B276" s="496">
        <v>3400000920</v>
      </c>
      <c r="C276" s="496" t="s">
        <v>1293</v>
      </c>
      <c r="D276" s="497">
        <v>44252</v>
      </c>
      <c r="E276" s="498">
        <v>59901</v>
      </c>
      <c r="F276" s="496">
        <v>1001010006</v>
      </c>
      <c r="G276" s="496" t="s">
        <v>2462</v>
      </c>
    </row>
    <row r="277" spans="1:7">
      <c r="A277" s="496" t="s">
        <v>2423</v>
      </c>
      <c r="B277" s="496">
        <v>3400000931</v>
      </c>
      <c r="C277" s="496" t="s">
        <v>1293</v>
      </c>
      <c r="D277" s="497">
        <v>44252</v>
      </c>
      <c r="E277" s="498">
        <v>30785</v>
      </c>
      <c r="F277" s="496">
        <v>1004010001</v>
      </c>
      <c r="G277" s="496" t="s">
        <v>2424</v>
      </c>
    </row>
    <row r="278" spans="1:7">
      <c r="A278" s="496" t="s">
        <v>2423</v>
      </c>
      <c r="B278" s="496">
        <v>3400000931</v>
      </c>
      <c r="C278" s="496" t="s">
        <v>1293</v>
      </c>
      <c r="D278" s="497">
        <v>44252</v>
      </c>
      <c r="E278" s="498">
        <v>30785</v>
      </c>
      <c r="F278" s="496">
        <v>1002020003</v>
      </c>
      <c r="G278" s="496" t="s">
        <v>2424</v>
      </c>
    </row>
    <row r="279" spans="1:7">
      <c r="A279" s="496" t="s">
        <v>2423</v>
      </c>
      <c r="B279" s="496">
        <v>3400000931</v>
      </c>
      <c r="C279" s="496" t="s">
        <v>1293</v>
      </c>
      <c r="D279" s="497">
        <v>44252</v>
      </c>
      <c r="E279" s="498">
        <v>30785</v>
      </c>
      <c r="F279" s="496">
        <v>1002030099</v>
      </c>
      <c r="G279" s="496" t="s">
        <v>2424</v>
      </c>
    </row>
    <row r="280" spans="1:7">
      <c r="A280" s="496" t="s">
        <v>2423</v>
      </c>
      <c r="B280" s="496">
        <v>3400000931</v>
      </c>
      <c r="C280" s="496" t="s">
        <v>1293</v>
      </c>
      <c r="D280" s="497">
        <v>44252</v>
      </c>
      <c r="E280" s="498">
        <v>30785</v>
      </c>
      <c r="F280" s="496">
        <v>1002020002</v>
      </c>
      <c r="G280" s="496" t="s">
        <v>2424</v>
      </c>
    </row>
    <row r="281" spans="1:7">
      <c r="A281" s="496" t="s">
        <v>2423</v>
      </c>
      <c r="B281" s="496">
        <v>3400000931</v>
      </c>
      <c r="C281" s="496" t="s">
        <v>1293</v>
      </c>
      <c r="D281" s="497">
        <v>44252</v>
      </c>
      <c r="E281" s="498">
        <v>30785</v>
      </c>
      <c r="F281" s="496">
        <v>1005010099</v>
      </c>
      <c r="G281" s="496" t="s">
        <v>2424</v>
      </c>
    </row>
    <row r="282" spans="1:7">
      <c r="A282" s="496" t="s">
        <v>2486</v>
      </c>
      <c r="B282" s="496">
        <v>3400001401</v>
      </c>
      <c r="C282" s="496" t="s">
        <v>1293</v>
      </c>
      <c r="D282" s="497">
        <v>44281</v>
      </c>
      <c r="E282" s="498">
        <v>41902</v>
      </c>
      <c r="F282" s="496">
        <v>1001010009</v>
      </c>
      <c r="G282" s="496" t="s">
        <v>2468</v>
      </c>
    </row>
    <row r="283" spans="1:7">
      <c r="A283" s="496" t="s">
        <v>2487</v>
      </c>
      <c r="B283" s="496">
        <v>3400001402</v>
      </c>
      <c r="C283" s="496" t="s">
        <v>1293</v>
      </c>
      <c r="D283" s="497">
        <v>44281</v>
      </c>
      <c r="E283" s="498">
        <v>112957</v>
      </c>
      <c r="F283" s="496">
        <v>1001010004</v>
      </c>
      <c r="G283" s="496" t="s">
        <v>2427</v>
      </c>
    </row>
    <row r="284" spans="1:7">
      <c r="A284" s="496" t="s">
        <v>2488</v>
      </c>
      <c r="B284" s="496">
        <v>3400001403</v>
      </c>
      <c r="C284" s="496" t="s">
        <v>1293</v>
      </c>
      <c r="D284" s="497">
        <v>44281</v>
      </c>
      <c r="E284" s="498">
        <v>39642</v>
      </c>
      <c r="F284" s="496">
        <v>1001010002</v>
      </c>
      <c r="G284" s="496" t="s">
        <v>2427</v>
      </c>
    </row>
    <row r="285" spans="1:7">
      <c r="A285" s="496" t="s">
        <v>2489</v>
      </c>
      <c r="B285" s="496">
        <v>3400001405</v>
      </c>
      <c r="C285" s="496" t="s">
        <v>1293</v>
      </c>
      <c r="D285" s="497">
        <v>44281</v>
      </c>
      <c r="E285" s="498">
        <v>64592</v>
      </c>
      <c r="F285" s="496">
        <v>1001010003</v>
      </c>
      <c r="G285" s="496" t="s">
        <v>2427</v>
      </c>
    </row>
    <row r="286" spans="1:7">
      <c r="A286" s="496" t="s">
        <v>2490</v>
      </c>
      <c r="B286" s="496">
        <v>3400001407</v>
      </c>
      <c r="C286" s="496" t="s">
        <v>1293</v>
      </c>
      <c r="D286" s="497">
        <v>44281</v>
      </c>
      <c r="E286" s="498">
        <v>110479</v>
      </c>
      <c r="F286" s="496">
        <v>1001010001</v>
      </c>
      <c r="G286" s="496" t="s">
        <v>2470</v>
      </c>
    </row>
    <row r="287" spans="1:7">
      <c r="A287" s="496" t="s">
        <v>2491</v>
      </c>
      <c r="B287" s="496">
        <v>3400001408</v>
      </c>
      <c r="C287" s="496" t="s">
        <v>1293</v>
      </c>
      <c r="D287" s="497">
        <v>44281</v>
      </c>
      <c r="E287" s="498">
        <v>23479</v>
      </c>
      <c r="F287" s="496">
        <v>1001010013</v>
      </c>
      <c r="G287" s="496" t="s">
        <v>2427</v>
      </c>
    </row>
    <row r="288" spans="1:7">
      <c r="A288" s="496" t="s">
        <v>2475</v>
      </c>
      <c r="B288" s="496">
        <v>3400001413</v>
      </c>
      <c r="C288" s="496" t="s">
        <v>1293</v>
      </c>
      <c r="D288" s="497">
        <v>44281</v>
      </c>
      <c r="E288" s="498">
        <v>59902</v>
      </c>
      <c r="F288" s="496">
        <v>1001010005</v>
      </c>
      <c r="G288" s="496" t="s">
        <v>2492</v>
      </c>
    </row>
    <row r="289" spans="1:7">
      <c r="A289" s="496" t="s">
        <v>2493</v>
      </c>
      <c r="B289" s="496">
        <v>3400001414</v>
      </c>
      <c r="C289" s="496" t="s">
        <v>1293</v>
      </c>
      <c r="D289" s="497">
        <v>44273</v>
      </c>
      <c r="E289" s="498">
        <v>55240</v>
      </c>
      <c r="F289" s="496">
        <v>1001010007</v>
      </c>
      <c r="G289" s="496" t="s">
        <v>2458</v>
      </c>
    </row>
    <row r="290" spans="1:7">
      <c r="A290" s="496" t="s">
        <v>2494</v>
      </c>
      <c r="B290" s="496">
        <v>3400001417</v>
      </c>
      <c r="C290" s="496" t="s">
        <v>1293</v>
      </c>
      <c r="D290" s="497">
        <v>44281</v>
      </c>
      <c r="E290" s="498">
        <v>59902</v>
      </c>
      <c r="F290" s="496">
        <v>1001010006</v>
      </c>
      <c r="G290" s="496" t="s">
        <v>2495</v>
      </c>
    </row>
    <row r="291" spans="1:7">
      <c r="A291" s="496" t="s">
        <v>2496</v>
      </c>
      <c r="B291" s="496">
        <v>3400001421</v>
      </c>
      <c r="C291" s="496" t="s">
        <v>1293</v>
      </c>
      <c r="D291" s="497">
        <v>44281</v>
      </c>
      <c r="E291" s="498">
        <v>110479</v>
      </c>
      <c r="F291" s="496">
        <v>1001010006</v>
      </c>
      <c r="G291" s="496" t="s">
        <v>2427</v>
      </c>
    </row>
    <row r="292" spans="1:7">
      <c r="A292" s="496" t="s">
        <v>2497</v>
      </c>
      <c r="B292" s="496">
        <v>3400001427</v>
      </c>
      <c r="C292" s="496" t="s">
        <v>1293</v>
      </c>
      <c r="D292" s="497">
        <v>44282</v>
      </c>
      <c r="E292" s="498">
        <v>23479</v>
      </c>
      <c r="F292" s="496">
        <v>1001010008</v>
      </c>
      <c r="G292" s="496" t="s">
        <v>2427</v>
      </c>
    </row>
    <row r="293" spans="1:7">
      <c r="A293" s="496" t="s">
        <v>2498</v>
      </c>
      <c r="B293" s="496">
        <v>3400001429</v>
      </c>
      <c r="C293" s="496" t="s">
        <v>1293</v>
      </c>
      <c r="D293" s="497">
        <v>44282</v>
      </c>
      <c r="E293" s="498">
        <v>24398</v>
      </c>
      <c r="F293" s="496">
        <v>1001010001</v>
      </c>
      <c r="G293" s="496" t="s">
        <v>2427</v>
      </c>
    </row>
    <row r="294" spans="1:7">
      <c r="A294" s="496" t="s">
        <v>2499</v>
      </c>
      <c r="B294" s="496">
        <v>3400001430</v>
      </c>
      <c r="C294" s="496" t="s">
        <v>1293</v>
      </c>
      <c r="D294" s="497">
        <v>44282</v>
      </c>
      <c r="E294" s="498">
        <v>50636</v>
      </c>
      <c r="F294" s="496">
        <v>1001010016</v>
      </c>
      <c r="G294" s="496" t="s">
        <v>2495</v>
      </c>
    </row>
    <row r="295" spans="1:7">
      <c r="A295" s="496" t="s">
        <v>2428</v>
      </c>
      <c r="B295" s="496">
        <v>3400001434</v>
      </c>
      <c r="C295" s="496" t="s">
        <v>1293</v>
      </c>
      <c r="D295" s="497">
        <v>44282</v>
      </c>
      <c r="E295" s="498">
        <v>36358</v>
      </c>
      <c r="F295" s="496">
        <v>1004010001</v>
      </c>
      <c r="G295" s="496" t="s">
        <v>2424</v>
      </c>
    </row>
    <row r="296" spans="1:7">
      <c r="A296" s="496" t="s">
        <v>2428</v>
      </c>
      <c r="B296" s="496">
        <v>3400001434</v>
      </c>
      <c r="C296" s="496" t="s">
        <v>1293</v>
      </c>
      <c r="D296" s="497">
        <v>44282</v>
      </c>
      <c r="E296" s="498">
        <v>36358</v>
      </c>
      <c r="F296" s="496">
        <v>1002020003</v>
      </c>
      <c r="G296" s="496" t="s">
        <v>2424</v>
      </c>
    </row>
    <row r="297" spans="1:7">
      <c r="A297" s="496" t="s">
        <v>2428</v>
      </c>
      <c r="B297" s="496">
        <v>3400001434</v>
      </c>
      <c r="C297" s="496" t="s">
        <v>1293</v>
      </c>
      <c r="D297" s="497">
        <v>44282</v>
      </c>
      <c r="E297" s="498">
        <v>36358</v>
      </c>
      <c r="F297" s="496">
        <v>1002030099</v>
      </c>
      <c r="G297" s="496" t="s">
        <v>2424</v>
      </c>
    </row>
    <row r="298" spans="1:7">
      <c r="A298" s="496" t="s">
        <v>2428</v>
      </c>
      <c r="B298" s="496">
        <v>3400001434</v>
      </c>
      <c r="C298" s="496" t="s">
        <v>1293</v>
      </c>
      <c r="D298" s="497">
        <v>44282</v>
      </c>
      <c r="E298" s="498">
        <v>36348</v>
      </c>
      <c r="F298" s="496">
        <v>1002020002</v>
      </c>
      <c r="G298" s="496" t="s">
        <v>2424</v>
      </c>
    </row>
    <row r="299" spans="1:7">
      <c r="A299" s="496" t="s">
        <v>2428</v>
      </c>
      <c r="B299" s="496">
        <v>3400001434</v>
      </c>
      <c r="C299" s="496" t="s">
        <v>1293</v>
      </c>
      <c r="D299" s="497">
        <v>44282</v>
      </c>
      <c r="E299" s="498">
        <v>36358</v>
      </c>
      <c r="F299" s="496">
        <v>1005010099</v>
      </c>
      <c r="G299" s="496" t="s">
        <v>2424</v>
      </c>
    </row>
    <row r="300" spans="1:7">
      <c r="A300" s="496" t="s">
        <v>2500</v>
      </c>
      <c r="B300" s="496">
        <v>3400001438</v>
      </c>
      <c r="C300" s="496" t="s">
        <v>1293</v>
      </c>
      <c r="D300" s="497">
        <v>44283</v>
      </c>
      <c r="E300" s="498">
        <v>22988</v>
      </c>
      <c r="F300" s="496">
        <v>1002020003</v>
      </c>
      <c r="G300" s="496" t="s">
        <v>2460</v>
      </c>
    </row>
    <row r="301" spans="1:7">
      <c r="A301" s="496" t="s">
        <v>2501</v>
      </c>
      <c r="B301" s="496">
        <v>3400001439</v>
      </c>
      <c r="C301" s="496" t="s">
        <v>1293</v>
      </c>
      <c r="D301" s="497">
        <v>44283</v>
      </c>
      <c r="E301" s="498">
        <v>83803</v>
      </c>
      <c r="F301" s="496">
        <v>1001010002</v>
      </c>
      <c r="G301" s="496" t="s">
        <v>2416</v>
      </c>
    </row>
    <row r="302" spans="1:7">
      <c r="A302" s="496" t="s">
        <v>2502</v>
      </c>
      <c r="B302" s="496">
        <v>3400001670</v>
      </c>
      <c r="C302" s="496" t="s">
        <v>1293</v>
      </c>
      <c r="D302" s="497">
        <v>44305</v>
      </c>
      <c r="E302" s="498">
        <v>110479</v>
      </c>
      <c r="F302" s="496">
        <v>1001010001</v>
      </c>
      <c r="G302" s="496" t="s">
        <v>2503</v>
      </c>
    </row>
    <row r="303" spans="1:7">
      <c r="A303" s="496" t="s">
        <v>2504</v>
      </c>
      <c r="B303" s="496">
        <v>3400001672</v>
      </c>
      <c r="C303" s="496" t="s">
        <v>1293</v>
      </c>
      <c r="D303" s="497">
        <v>44305</v>
      </c>
      <c r="E303" s="498">
        <v>23479</v>
      </c>
      <c r="F303" s="496">
        <v>1001010013</v>
      </c>
      <c r="G303" s="496" t="s">
        <v>2416</v>
      </c>
    </row>
    <row r="304" spans="1:7">
      <c r="A304" s="496" t="s">
        <v>2505</v>
      </c>
      <c r="B304" s="496">
        <v>3400001674</v>
      </c>
      <c r="C304" s="496" t="s">
        <v>1293</v>
      </c>
      <c r="D304" s="497">
        <v>44305</v>
      </c>
      <c r="E304" s="498">
        <v>55240</v>
      </c>
      <c r="F304" s="496">
        <v>1001010007</v>
      </c>
      <c r="G304" s="496" t="s">
        <v>2458</v>
      </c>
    </row>
    <row r="305" spans="1:7">
      <c r="A305" s="496" t="s">
        <v>2506</v>
      </c>
      <c r="B305" s="496">
        <v>3400001675</v>
      </c>
      <c r="C305" s="496" t="s">
        <v>1293</v>
      </c>
      <c r="D305" s="497">
        <v>44305</v>
      </c>
      <c r="E305" s="498">
        <v>41902</v>
      </c>
      <c r="F305" s="496">
        <v>1001010009</v>
      </c>
      <c r="G305" s="496" t="s">
        <v>2468</v>
      </c>
    </row>
    <row r="306" spans="1:7">
      <c r="A306" s="496" t="s">
        <v>2507</v>
      </c>
      <c r="B306" s="496">
        <v>3400001678</v>
      </c>
      <c r="C306" s="496" t="s">
        <v>1293</v>
      </c>
      <c r="D306" s="497">
        <v>44305</v>
      </c>
      <c r="E306" s="498">
        <v>83803</v>
      </c>
      <c r="F306" s="496">
        <v>1001010002</v>
      </c>
      <c r="G306" s="496" t="s">
        <v>2416</v>
      </c>
    </row>
    <row r="307" spans="1:7">
      <c r="A307" s="496" t="s">
        <v>2508</v>
      </c>
      <c r="B307" s="496">
        <v>3400001679</v>
      </c>
      <c r="C307" s="496" t="s">
        <v>1293</v>
      </c>
      <c r="D307" s="497">
        <v>44305</v>
      </c>
      <c r="E307" s="498">
        <v>112957</v>
      </c>
      <c r="F307" s="496">
        <v>1001010004</v>
      </c>
      <c r="G307" s="496" t="s">
        <v>2416</v>
      </c>
    </row>
    <row r="308" spans="1:7">
      <c r="A308" s="496" t="s">
        <v>2509</v>
      </c>
      <c r="B308" s="496">
        <v>3400001680</v>
      </c>
      <c r="C308" s="496" t="s">
        <v>1293</v>
      </c>
      <c r="D308" s="497">
        <v>44305</v>
      </c>
      <c r="E308" s="498">
        <v>64592</v>
      </c>
      <c r="F308" s="496">
        <v>1001010003</v>
      </c>
      <c r="G308" s="496" t="s">
        <v>2416</v>
      </c>
    </row>
    <row r="309" spans="1:7">
      <c r="A309" s="496" t="s">
        <v>2510</v>
      </c>
      <c r="B309" s="496">
        <v>3400001682</v>
      </c>
      <c r="C309" s="496" t="s">
        <v>1293</v>
      </c>
      <c r="D309" s="497">
        <v>44305</v>
      </c>
      <c r="E309" s="498">
        <v>59902</v>
      </c>
      <c r="F309" s="496">
        <v>1001010005</v>
      </c>
      <c r="G309" s="496" t="s">
        <v>2503</v>
      </c>
    </row>
    <row r="310" spans="1:7">
      <c r="A310" s="496" t="s">
        <v>2511</v>
      </c>
      <c r="B310" s="496">
        <v>3400001686</v>
      </c>
      <c r="C310" s="496" t="s">
        <v>1293</v>
      </c>
      <c r="D310" s="497">
        <v>44305</v>
      </c>
      <c r="E310" s="498">
        <v>39642</v>
      </c>
      <c r="F310" s="496">
        <v>1001010002</v>
      </c>
      <c r="G310" s="496" t="s">
        <v>2416</v>
      </c>
    </row>
    <row r="311" spans="1:7">
      <c r="A311" s="496" t="s">
        <v>2430</v>
      </c>
      <c r="B311" s="496">
        <v>3400001690</v>
      </c>
      <c r="C311" s="496" t="s">
        <v>1293</v>
      </c>
      <c r="D311" s="497">
        <v>44305</v>
      </c>
      <c r="E311" s="498">
        <v>30615</v>
      </c>
      <c r="F311" s="496">
        <v>1004010001</v>
      </c>
      <c r="G311" s="496" t="s">
        <v>2424</v>
      </c>
    </row>
    <row r="312" spans="1:7">
      <c r="A312" s="496" t="s">
        <v>2430</v>
      </c>
      <c r="B312" s="496">
        <v>3400001690</v>
      </c>
      <c r="C312" s="496" t="s">
        <v>1293</v>
      </c>
      <c r="D312" s="497">
        <v>44305</v>
      </c>
      <c r="E312" s="498">
        <v>30615</v>
      </c>
      <c r="F312" s="496">
        <v>1002020003</v>
      </c>
      <c r="G312" s="496" t="s">
        <v>2424</v>
      </c>
    </row>
    <row r="313" spans="1:7">
      <c r="A313" s="496" t="s">
        <v>2430</v>
      </c>
      <c r="B313" s="496">
        <v>3400001690</v>
      </c>
      <c r="C313" s="496" t="s">
        <v>1293</v>
      </c>
      <c r="D313" s="497">
        <v>44305</v>
      </c>
      <c r="E313" s="498">
        <v>30615</v>
      </c>
      <c r="F313" s="496">
        <v>1002030099</v>
      </c>
      <c r="G313" s="496" t="s">
        <v>2424</v>
      </c>
    </row>
    <row r="314" spans="1:7">
      <c r="A314" s="496" t="s">
        <v>2430</v>
      </c>
      <c r="B314" s="496">
        <v>3400001690</v>
      </c>
      <c r="C314" s="496" t="s">
        <v>1293</v>
      </c>
      <c r="D314" s="497">
        <v>44305</v>
      </c>
      <c r="E314" s="498">
        <v>30615</v>
      </c>
      <c r="F314" s="496">
        <v>1002020002</v>
      </c>
      <c r="G314" s="496" t="s">
        <v>2424</v>
      </c>
    </row>
    <row r="315" spans="1:7">
      <c r="A315" s="496" t="s">
        <v>2430</v>
      </c>
      <c r="B315" s="496">
        <v>3400001690</v>
      </c>
      <c r="C315" s="496" t="s">
        <v>1293</v>
      </c>
      <c r="D315" s="497">
        <v>44305</v>
      </c>
      <c r="E315" s="498">
        <v>30615</v>
      </c>
      <c r="F315" s="496">
        <v>1005010099</v>
      </c>
      <c r="G315" s="496" t="s">
        <v>2424</v>
      </c>
    </row>
    <row r="316" spans="1:7">
      <c r="A316" s="496" t="s">
        <v>2512</v>
      </c>
      <c r="B316" s="496">
        <v>3400001693</v>
      </c>
      <c r="C316" s="496" t="s">
        <v>1293</v>
      </c>
      <c r="D316" s="497">
        <v>44305</v>
      </c>
      <c r="E316" s="498">
        <v>110479</v>
      </c>
      <c r="F316" s="496">
        <v>1001010006</v>
      </c>
      <c r="G316" s="496" t="s">
        <v>2416</v>
      </c>
    </row>
    <row r="317" spans="1:7">
      <c r="A317" s="496" t="s">
        <v>2513</v>
      </c>
      <c r="B317" s="496">
        <v>3400001696</v>
      </c>
      <c r="C317" s="496" t="s">
        <v>1293</v>
      </c>
      <c r="D317" s="497">
        <v>44305</v>
      </c>
      <c r="E317" s="498">
        <v>59902</v>
      </c>
      <c r="F317" s="496">
        <v>1001010006</v>
      </c>
      <c r="G317" s="496" t="s">
        <v>2503</v>
      </c>
    </row>
    <row r="318" spans="1:7">
      <c r="A318" s="496" t="s">
        <v>2514</v>
      </c>
      <c r="B318" s="496">
        <v>3400001697</v>
      </c>
      <c r="C318" s="496" t="s">
        <v>1293</v>
      </c>
      <c r="D318" s="497">
        <v>44306</v>
      </c>
      <c r="E318" s="498">
        <v>23479</v>
      </c>
      <c r="F318" s="496">
        <v>1001010008</v>
      </c>
      <c r="G318" s="496" t="s">
        <v>2416</v>
      </c>
    </row>
    <row r="319" spans="1:7">
      <c r="A319" s="496" t="s">
        <v>2515</v>
      </c>
      <c r="B319" s="496">
        <v>3400001702</v>
      </c>
      <c r="C319" s="496" t="s">
        <v>1293</v>
      </c>
      <c r="D319" s="497">
        <v>44306</v>
      </c>
      <c r="E319" s="498">
        <v>50636</v>
      </c>
      <c r="F319" s="496">
        <v>1001010016</v>
      </c>
      <c r="G319" s="496" t="s">
        <v>2516</v>
      </c>
    </row>
    <row r="320" spans="1:7">
      <c r="A320" s="496" t="s">
        <v>2517</v>
      </c>
      <c r="B320" s="496">
        <v>3400001703</v>
      </c>
      <c r="C320" s="496" t="s">
        <v>1293</v>
      </c>
      <c r="D320" s="497">
        <v>44306</v>
      </c>
      <c r="E320" s="498">
        <v>24398</v>
      </c>
      <c r="F320" s="496">
        <v>1001010001</v>
      </c>
      <c r="G320" s="496" t="s">
        <v>2416</v>
      </c>
    </row>
    <row r="321" spans="1:7">
      <c r="A321" s="496" t="s">
        <v>2518</v>
      </c>
      <c r="B321" s="496">
        <v>3400001704</v>
      </c>
      <c r="C321" s="496" t="s">
        <v>1293</v>
      </c>
      <c r="D321" s="497">
        <v>44306</v>
      </c>
      <c r="E321" s="498">
        <v>22988</v>
      </c>
      <c r="F321" s="496">
        <v>1002020003</v>
      </c>
      <c r="G321" s="496" t="s">
        <v>2460</v>
      </c>
    </row>
    <row r="322" spans="1:7">
      <c r="A322" s="496" t="s">
        <v>2519</v>
      </c>
      <c r="B322" s="496">
        <v>3400002085</v>
      </c>
      <c r="C322" s="496" t="s">
        <v>1293</v>
      </c>
      <c r="D322" s="497">
        <v>44336</v>
      </c>
      <c r="E322" s="498">
        <v>24398</v>
      </c>
      <c r="F322" s="496">
        <v>1001010001</v>
      </c>
      <c r="G322" s="496" t="s">
        <v>2416</v>
      </c>
    </row>
    <row r="323" spans="1:7">
      <c r="A323" s="496" t="s">
        <v>2520</v>
      </c>
      <c r="B323" s="496">
        <v>3400002090</v>
      </c>
      <c r="C323" s="496" t="s">
        <v>1293</v>
      </c>
      <c r="D323" s="497">
        <v>44336</v>
      </c>
      <c r="E323" s="498">
        <v>50636</v>
      </c>
      <c r="F323" s="496">
        <v>1001010016</v>
      </c>
      <c r="G323" s="496" t="s">
        <v>2458</v>
      </c>
    </row>
    <row r="324" spans="1:7">
      <c r="A324" s="496" t="s">
        <v>2521</v>
      </c>
      <c r="B324" s="496">
        <v>3400002099</v>
      </c>
      <c r="C324" s="496" t="s">
        <v>1293</v>
      </c>
      <c r="D324" s="497">
        <v>44336</v>
      </c>
      <c r="E324" s="498">
        <v>22988</v>
      </c>
      <c r="F324" s="496">
        <v>1002020003</v>
      </c>
      <c r="G324" s="496" t="s">
        <v>2460</v>
      </c>
    </row>
    <row r="325" spans="1:7">
      <c r="A325" s="496" t="s">
        <v>2522</v>
      </c>
      <c r="B325" s="496">
        <v>3400002104</v>
      </c>
      <c r="C325" s="496" t="s">
        <v>1293</v>
      </c>
      <c r="D325" s="497">
        <v>44336</v>
      </c>
      <c r="E325" s="498">
        <v>10041</v>
      </c>
      <c r="F325" s="496">
        <v>1001010008</v>
      </c>
      <c r="G325" s="496" t="s">
        <v>2416</v>
      </c>
    </row>
    <row r="326" spans="1:7">
      <c r="A326" s="496" t="s">
        <v>2523</v>
      </c>
      <c r="B326" s="496">
        <v>3400002105</v>
      </c>
      <c r="C326" s="496" t="s">
        <v>1293</v>
      </c>
      <c r="D326" s="497">
        <v>44336</v>
      </c>
      <c r="E326" s="498">
        <v>59902</v>
      </c>
      <c r="F326" s="496">
        <v>1001010006</v>
      </c>
      <c r="G326" s="496" t="s">
        <v>2503</v>
      </c>
    </row>
    <row r="327" spans="1:7">
      <c r="A327" s="496" t="s">
        <v>2524</v>
      </c>
      <c r="B327" s="496">
        <v>3400002108</v>
      </c>
      <c r="C327" s="496" t="s">
        <v>1293</v>
      </c>
      <c r="D327" s="497">
        <v>44336</v>
      </c>
      <c r="E327" s="498">
        <v>110479</v>
      </c>
      <c r="F327" s="496">
        <v>1001010006</v>
      </c>
      <c r="G327" s="496" t="s">
        <v>2416</v>
      </c>
    </row>
    <row r="328" spans="1:7">
      <c r="A328" s="496" t="s">
        <v>2432</v>
      </c>
      <c r="B328" s="496">
        <v>3400002109</v>
      </c>
      <c r="C328" s="496" t="s">
        <v>1293</v>
      </c>
      <c r="D328" s="497">
        <v>44337</v>
      </c>
      <c r="E328" s="498">
        <v>31508</v>
      </c>
      <c r="F328" s="496">
        <v>1004010001</v>
      </c>
      <c r="G328" s="496" t="s">
        <v>2433</v>
      </c>
    </row>
    <row r="329" spans="1:7">
      <c r="A329" s="496" t="s">
        <v>2432</v>
      </c>
      <c r="B329" s="496">
        <v>3400002109</v>
      </c>
      <c r="C329" s="496" t="s">
        <v>1293</v>
      </c>
      <c r="D329" s="497">
        <v>44337</v>
      </c>
      <c r="E329" s="498">
        <v>31508</v>
      </c>
      <c r="F329" s="496">
        <v>1002020003</v>
      </c>
      <c r="G329" s="496" t="s">
        <v>2433</v>
      </c>
    </row>
    <row r="330" spans="1:7">
      <c r="A330" s="496" t="s">
        <v>2432</v>
      </c>
      <c r="B330" s="496">
        <v>3400002109</v>
      </c>
      <c r="C330" s="496" t="s">
        <v>1293</v>
      </c>
      <c r="D330" s="497">
        <v>44337</v>
      </c>
      <c r="E330" s="498">
        <v>31506</v>
      </c>
      <c r="F330" s="496">
        <v>1002030099</v>
      </c>
      <c r="G330" s="496" t="s">
        <v>2433</v>
      </c>
    </row>
    <row r="331" spans="1:7">
      <c r="A331" s="496" t="s">
        <v>2432</v>
      </c>
      <c r="B331" s="496">
        <v>3400002109</v>
      </c>
      <c r="C331" s="496" t="s">
        <v>1293</v>
      </c>
      <c r="D331" s="497">
        <v>44337</v>
      </c>
      <c r="E331" s="498">
        <v>31508</v>
      </c>
      <c r="F331" s="496">
        <v>1002020002</v>
      </c>
      <c r="G331" s="496" t="s">
        <v>2433</v>
      </c>
    </row>
    <row r="332" spans="1:7">
      <c r="A332" s="496" t="s">
        <v>2432</v>
      </c>
      <c r="B332" s="496">
        <v>3400002109</v>
      </c>
      <c r="C332" s="496" t="s">
        <v>1293</v>
      </c>
      <c r="D332" s="497">
        <v>44337</v>
      </c>
      <c r="E332" s="498">
        <v>31508</v>
      </c>
      <c r="F332" s="496">
        <v>1005010099</v>
      </c>
      <c r="G332" s="496" t="s">
        <v>2433</v>
      </c>
    </row>
    <row r="333" spans="1:7">
      <c r="A333" s="496" t="s">
        <v>2525</v>
      </c>
      <c r="B333" s="496">
        <v>3400002113</v>
      </c>
      <c r="C333" s="496" t="s">
        <v>1293</v>
      </c>
      <c r="D333" s="497">
        <v>44337</v>
      </c>
      <c r="E333" s="498">
        <v>39642</v>
      </c>
      <c r="F333" s="496">
        <v>1001010002</v>
      </c>
      <c r="G333" s="496" t="s">
        <v>2416</v>
      </c>
    </row>
    <row r="334" spans="1:7">
      <c r="A334" s="496" t="s">
        <v>2526</v>
      </c>
      <c r="B334" s="496">
        <v>3400002115</v>
      </c>
      <c r="C334" s="496" t="s">
        <v>1293</v>
      </c>
      <c r="D334" s="497">
        <v>44337</v>
      </c>
      <c r="E334" s="498">
        <v>112957</v>
      </c>
      <c r="F334" s="496">
        <v>1001010004</v>
      </c>
      <c r="G334" s="496" t="s">
        <v>2416</v>
      </c>
    </row>
    <row r="335" spans="1:7">
      <c r="A335" s="496" t="s">
        <v>2527</v>
      </c>
      <c r="B335" s="496">
        <v>3400002117</v>
      </c>
      <c r="C335" s="496" t="s">
        <v>1293</v>
      </c>
      <c r="D335" s="497">
        <v>44337</v>
      </c>
      <c r="E335" s="498">
        <v>83803</v>
      </c>
      <c r="F335" s="496">
        <v>1001010002</v>
      </c>
      <c r="G335" s="496" t="s">
        <v>2416</v>
      </c>
    </row>
    <row r="336" spans="1:7">
      <c r="A336" s="496" t="s">
        <v>2528</v>
      </c>
      <c r="B336" s="496">
        <v>3400002118</v>
      </c>
      <c r="C336" s="496" t="s">
        <v>1293</v>
      </c>
      <c r="D336" s="497">
        <v>44337</v>
      </c>
      <c r="E336" s="498">
        <v>41902</v>
      </c>
      <c r="F336" s="496">
        <v>1001010009</v>
      </c>
      <c r="G336" s="496" t="s">
        <v>2468</v>
      </c>
    </row>
    <row r="337" spans="1:7">
      <c r="A337" s="496" t="s">
        <v>2529</v>
      </c>
      <c r="B337" s="496">
        <v>3400002121</v>
      </c>
      <c r="C337" s="496" t="s">
        <v>1293</v>
      </c>
      <c r="D337" s="497">
        <v>44337</v>
      </c>
      <c r="E337" s="498">
        <v>64592</v>
      </c>
      <c r="F337" s="496">
        <v>1001010003</v>
      </c>
      <c r="G337" s="496" t="s">
        <v>2416</v>
      </c>
    </row>
    <row r="338" spans="1:7">
      <c r="A338" s="496" t="s">
        <v>2530</v>
      </c>
      <c r="B338" s="496">
        <v>3400002122</v>
      </c>
      <c r="C338" s="496" t="s">
        <v>1293</v>
      </c>
      <c r="D338" s="497">
        <v>44337</v>
      </c>
      <c r="E338" s="498">
        <v>55240</v>
      </c>
      <c r="F338" s="496">
        <v>1001010007</v>
      </c>
      <c r="G338" s="496" t="s">
        <v>2458</v>
      </c>
    </row>
    <row r="339" spans="1:7">
      <c r="A339" s="496" t="s">
        <v>2531</v>
      </c>
      <c r="B339" s="496">
        <v>3400002125</v>
      </c>
      <c r="C339" s="496" t="s">
        <v>1293</v>
      </c>
      <c r="D339" s="497">
        <v>44337</v>
      </c>
      <c r="E339" s="498">
        <v>23479</v>
      </c>
      <c r="F339" s="496">
        <v>1001010013</v>
      </c>
      <c r="G339" s="496" t="s">
        <v>2416</v>
      </c>
    </row>
    <row r="340" spans="1:7">
      <c r="A340" s="496" t="s">
        <v>2532</v>
      </c>
      <c r="B340" s="496">
        <v>3400002128</v>
      </c>
      <c r="C340" s="496" t="s">
        <v>1293</v>
      </c>
      <c r="D340" s="497">
        <v>44337</v>
      </c>
      <c r="E340" s="498">
        <v>110479</v>
      </c>
      <c r="F340" s="496">
        <v>1001010001</v>
      </c>
      <c r="G340" s="496" t="s">
        <v>2458</v>
      </c>
    </row>
    <row r="341" spans="1:7">
      <c r="A341" s="496" t="s">
        <v>2533</v>
      </c>
      <c r="B341" s="496">
        <v>3400002132</v>
      </c>
      <c r="C341" s="496" t="s">
        <v>1293</v>
      </c>
      <c r="D341" s="497">
        <v>44337</v>
      </c>
      <c r="E341" s="498">
        <v>59902</v>
      </c>
      <c r="F341" s="496">
        <v>1001010005</v>
      </c>
      <c r="G341" s="496" t="s">
        <v>2458</v>
      </c>
    </row>
    <row r="342" spans="1:7">
      <c r="A342" s="496" t="s">
        <v>2435</v>
      </c>
      <c r="B342" s="496">
        <v>3400002387</v>
      </c>
      <c r="C342" s="496" t="s">
        <v>1293</v>
      </c>
      <c r="D342" s="497">
        <v>44369</v>
      </c>
      <c r="E342" s="498">
        <v>32571</v>
      </c>
      <c r="F342" s="496">
        <v>1004010001</v>
      </c>
      <c r="G342" s="496" t="s">
        <v>2433</v>
      </c>
    </row>
    <row r="343" spans="1:7">
      <c r="A343" s="496" t="s">
        <v>2435</v>
      </c>
      <c r="B343" s="496">
        <v>3400002387</v>
      </c>
      <c r="C343" s="496" t="s">
        <v>1293</v>
      </c>
      <c r="D343" s="497">
        <v>44369</v>
      </c>
      <c r="E343" s="498">
        <v>32571</v>
      </c>
      <c r="F343" s="496">
        <v>1002020003</v>
      </c>
      <c r="G343" s="496" t="s">
        <v>2433</v>
      </c>
    </row>
    <row r="344" spans="1:7">
      <c r="A344" s="496" t="s">
        <v>2435</v>
      </c>
      <c r="B344" s="496">
        <v>3400002387</v>
      </c>
      <c r="C344" s="496" t="s">
        <v>1293</v>
      </c>
      <c r="D344" s="497">
        <v>44369</v>
      </c>
      <c r="E344" s="498">
        <v>32571</v>
      </c>
      <c r="F344" s="496">
        <v>1002030099</v>
      </c>
      <c r="G344" s="496" t="s">
        <v>2433</v>
      </c>
    </row>
    <row r="345" spans="1:7">
      <c r="A345" s="496" t="s">
        <v>2435</v>
      </c>
      <c r="B345" s="496">
        <v>3400002387</v>
      </c>
      <c r="C345" s="496" t="s">
        <v>1293</v>
      </c>
      <c r="D345" s="497">
        <v>44369</v>
      </c>
      <c r="E345" s="498">
        <v>32586</v>
      </c>
      <c r="F345" s="496">
        <v>1002020002</v>
      </c>
      <c r="G345" s="496" t="s">
        <v>2433</v>
      </c>
    </row>
    <row r="346" spans="1:7">
      <c r="A346" s="496" t="s">
        <v>2435</v>
      </c>
      <c r="B346" s="496">
        <v>3400002387</v>
      </c>
      <c r="C346" s="496" t="s">
        <v>1293</v>
      </c>
      <c r="D346" s="497">
        <v>44369</v>
      </c>
      <c r="E346" s="498">
        <v>32571</v>
      </c>
      <c r="F346" s="496">
        <v>1005010099</v>
      </c>
      <c r="G346" s="496" t="s">
        <v>2433</v>
      </c>
    </row>
    <row r="347" spans="1:7">
      <c r="A347" s="496" t="s">
        <v>2534</v>
      </c>
      <c r="B347" s="496">
        <v>3400002393</v>
      </c>
      <c r="C347" s="496" t="s">
        <v>1293</v>
      </c>
      <c r="D347" s="497">
        <v>44371</v>
      </c>
      <c r="E347" s="498">
        <v>23479</v>
      </c>
      <c r="F347" s="496">
        <v>1001010013</v>
      </c>
      <c r="G347" s="496" t="s">
        <v>2416</v>
      </c>
    </row>
    <row r="348" spans="1:7">
      <c r="A348" s="496" t="s">
        <v>2535</v>
      </c>
      <c r="B348" s="496">
        <v>3400002395</v>
      </c>
      <c r="C348" s="496" t="s">
        <v>1293</v>
      </c>
      <c r="D348" s="497">
        <v>44371</v>
      </c>
      <c r="E348" s="498">
        <v>110479</v>
      </c>
      <c r="F348" s="496">
        <v>1001010006</v>
      </c>
      <c r="G348" s="496" t="s">
        <v>2416</v>
      </c>
    </row>
    <row r="349" spans="1:7">
      <c r="A349" s="496" t="s">
        <v>2536</v>
      </c>
      <c r="B349" s="496">
        <v>3400002396</v>
      </c>
      <c r="C349" s="496" t="s">
        <v>1293</v>
      </c>
      <c r="D349" s="497">
        <v>44371</v>
      </c>
      <c r="E349" s="498">
        <v>59901</v>
      </c>
      <c r="F349" s="496">
        <v>1001010006</v>
      </c>
      <c r="G349" s="496" t="s">
        <v>2495</v>
      </c>
    </row>
    <row r="350" spans="1:7">
      <c r="A350" s="496" t="s">
        <v>2537</v>
      </c>
      <c r="B350" s="496">
        <v>3400002397</v>
      </c>
      <c r="C350" s="496" t="s">
        <v>1293</v>
      </c>
      <c r="D350" s="497">
        <v>44371</v>
      </c>
      <c r="E350" s="498">
        <v>23479</v>
      </c>
      <c r="F350" s="496">
        <v>1001010008</v>
      </c>
      <c r="G350" s="496" t="s">
        <v>2416</v>
      </c>
    </row>
    <row r="351" spans="1:7">
      <c r="A351" s="496" t="s">
        <v>2538</v>
      </c>
      <c r="B351" s="496">
        <v>3400002399</v>
      </c>
      <c r="C351" s="496" t="s">
        <v>1293</v>
      </c>
      <c r="D351" s="497">
        <v>44371</v>
      </c>
      <c r="E351" s="498">
        <v>55239</v>
      </c>
      <c r="F351" s="496">
        <v>1001010007</v>
      </c>
      <c r="G351" s="496" t="s">
        <v>2458</v>
      </c>
    </row>
    <row r="352" spans="1:7">
      <c r="A352" s="496" t="s">
        <v>2539</v>
      </c>
      <c r="B352" s="496">
        <v>3400002400</v>
      </c>
      <c r="C352" s="496" t="s">
        <v>1293</v>
      </c>
      <c r="D352" s="497">
        <v>44371</v>
      </c>
      <c r="E352" s="498">
        <v>83803</v>
      </c>
      <c r="F352" s="496">
        <v>1001010002</v>
      </c>
      <c r="G352" s="496" t="s">
        <v>2416</v>
      </c>
    </row>
    <row r="353" spans="1:7">
      <c r="A353" s="496" t="s">
        <v>2540</v>
      </c>
      <c r="B353" s="496">
        <v>3400002402</v>
      </c>
      <c r="C353" s="496" t="s">
        <v>1293</v>
      </c>
      <c r="D353" s="497">
        <v>44371</v>
      </c>
      <c r="E353" s="498">
        <v>39642</v>
      </c>
      <c r="F353" s="496">
        <v>1001010002</v>
      </c>
      <c r="G353" s="496" t="s">
        <v>2416</v>
      </c>
    </row>
    <row r="354" spans="1:7">
      <c r="A354" s="496" t="s">
        <v>2541</v>
      </c>
      <c r="B354" s="496">
        <v>3400002405</v>
      </c>
      <c r="C354" s="496" t="s">
        <v>1293</v>
      </c>
      <c r="D354" s="497">
        <v>44371</v>
      </c>
      <c r="E354" s="498">
        <v>64591</v>
      </c>
      <c r="F354" s="496">
        <v>1001010003</v>
      </c>
      <c r="G354" s="496" t="s">
        <v>2416</v>
      </c>
    </row>
    <row r="355" spans="1:7">
      <c r="A355" s="496" t="s">
        <v>2542</v>
      </c>
      <c r="B355" s="496">
        <v>3400002407</v>
      </c>
      <c r="C355" s="496" t="s">
        <v>1293</v>
      </c>
      <c r="D355" s="497">
        <v>44371</v>
      </c>
      <c r="E355" s="498">
        <v>112957</v>
      </c>
      <c r="F355" s="496">
        <v>1001010004</v>
      </c>
      <c r="G355" s="496" t="s">
        <v>2416</v>
      </c>
    </row>
    <row r="356" spans="1:7">
      <c r="A356" s="496" t="s">
        <v>2543</v>
      </c>
      <c r="B356" s="496">
        <v>3400002413</v>
      </c>
      <c r="C356" s="496" t="s">
        <v>1293</v>
      </c>
      <c r="D356" s="497">
        <v>44371</v>
      </c>
      <c r="E356" s="498">
        <v>41901</v>
      </c>
      <c r="F356" s="496">
        <v>1001010009</v>
      </c>
      <c r="G356" s="496" t="s">
        <v>2468</v>
      </c>
    </row>
    <row r="357" spans="1:7">
      <c r="A357" s="496" t="s">
        <v>2544</v>
      </c>
      <c r="B357" s="496">
        <v>3400002416</v>
      </c>
      <c r="C357" s="496" t="s">
        <v>1293</v>
      </c>
      <c r="D357" s="497">
        <v>44371</v>
      </c>
      <c r="E357" s="498">
        <v>59901</v>
      </c>
      <c r="F357" s="496">
        <v>1001010005</v>
      </c>
      <c r="G357" s="496" t="s">
        <v>2545</v>
      </c>
    </row>
    <row r="358" spans="1:7">
      <c r="A358" s="496" t="s">
        <v>2544</v>
      </c>
      <c r="B358" s="496">
        <v>3400002416</v>
      </c>
      <c r="C358" s="496" t="s">
        <v>1293</v>
      </c>
      <c r="D358" s="497">
        <v>44371</v>
      </c>
      <c r="E358" s="498">
        <v>-29172</v>
      </c>
      <c r="F358" s="496">
        <v>1001010005</v>
      </c>
      <c r="G358" s="496" t="s">
        <v>2545</v>
      </c>
    </row>
    <row r="359" spans="1:7">
      <c r="A359" s="496" t="s">
        <v>2546</v>
      </c>
      <c r="B359" s="496">
        <v>3400002441</v>
      </c>
      <c r="C359" s="496" t="s">
        <v>1293</v>
      </c>
      <c r="D359" s="497">
        <v>44372</v>
      </c>
      <c r="E359" s="498">
        <v>24398</v>
      </c>
      <c r="F359" s="496">
        <v>1001010001</v>
      </c>
      <c r="G359" s="496" t="s">
        <v>2416</v>
      </c>
    </row>
    <row r="360" spans="1:7">
      <c r="A360" s="496" t="s">
        <v>2547</v>
      </c>
      <c r="B360" s="496">
        <v>3400002442</v>
      </c>
      <c r="C360" s="496" t="s">
        <v>1293</v>
      </c>
      <c r="D360" s="497">
        <v>44372</v>
      </c>
      <c r="E360" s="498">
        <v>50636</v>
      </c>
      <c r="F360" s="496">
        <v>1001010016</v>
      </c>
      <c r="G360" s="496" t="s">
        <v>2458</v>
      </c>
    </row>
    <row r="361" spans="1:7">
      <c r="A361" s="496" t="s">
        <v>2548</v>
      </c>
      <c r="B361" s="496">
        <v>3400002443</v>
      </c>
      <c r="C361" s="496" t="s">
        <v>1293</v>
      </c>
      <c r="D361" s="497">
        <v>44372</v>
      </c>
      <c r="E361" s="498">
        <v>22988</v>
      </c>
      <c r="F361" s="496">
        <v>1002020003</v>
      </c>
      <c r="G361" s="496" t="s">
        <v>2460</v>
      </c>
    </row>
    <row r="362" spans="1:7">
      <c r="A362" s="496" t="s">
        <v>2549</v>
      </c>
      <c r="B362" s="496">
        <v>3400002444</v>
      </c>
      <c r="C362" s="496" t="s">
        <v>1293</v>
      </c>
      <c r="D362" s="497">
        <v>44372</v>
      </c>
      <c r="E362" s="498">
        <v>110479</v>
      </c>
      <c r="F362" s="496">
        <v>1001010001</v>
      </c>
      <c r="G362" s="496" t="s">
        <v>2458</v>
      </c>
    </row>
    <row r="363" spans="1:7">
      <c r="A363" s="496" t="s">
        <v>2440</v>
      </c>
      <c r="B363" s="496">
        <v>3400002872</v>
      </c>
      <c r="C363" s="496" t="s">
        <v>1293</v>
      </c>
      <c r="D363" s="497">
        <v>44405</v>
      </c>
      <c r="E363" s="498">
        <v>32571</v>
      </c>
      <c r="F363" s="496">
        <v>1004010001</v>
      </c>
      <c r="G363" s="496" t="s">
        <v>2433</v>
      </c>
    </row>
    <row r="364" spans="1:7">
      <c r="A364" s="496" t="s">
        <v>2440</v>
      </c>
      <c r="B364" s="496">
        <v>3400002872</v>
      </c>
      <c r="C364" s="496" t="s">
        <v>1293</v>
      </c>
      <c r="D364" s="497">
        <v>44405</v>
      </c>
      <c r="E364" s="498">
        <v>32571</v>
      </c>
      <c r="F364" s="496">
        <v>1002020003</v>
      </c>
      <c r="G364" s="496" t="s">
        <v>2433</v>
      </c>
    </row>
    <row r="365" spans="1:7">
      <c r="A365" s="496" t="s">
        <v>2440</v>
      </c>
      <c r="B365" s="496">
        <v>3400002872</v>
      </c>
      <c r="C365" s="496" t="s">
        <v>1293</v>
      </c>
      <c r="D365" s="497">
        <v>44405</v>
      </c>
      <c r="E365" s="498">
        <v>32571</v>
      </c>
      <c r="F365" s="496">
        <v>1002030099</v>
      </c>
      <c r="G365" s="496" t="s">
        <v>2433</v>
      </c>
    </row>
    <row r="366" spans="1:7">
      <c r="A366" s="496" t="s">
        <v>2440</v>
      </c>
      <c r="B366" s="496">
        <v>3400002872</v>
      </c>
      <c r="C366" s="496" t="s">
        <v>1293</v>
      </c>
      <c r="D366" s="497">
        <v>44405</v>
      </c>
      <c r="E366" s="498">
        <v>32586</v>
      </c>
      <c r="F366" s="496">
        <v>1002020002</v>
      </c>
      <c r="G366" s="496" t="s">
        <v>2433</v>
      </c>
    </row>
    <row r="367" spans="1:7">
      <c r="A367" s="496" t="s">
        <v>2550</v>
      </c>
      <c r="B367" s="496">
        <v>3400002872</v>
      </c>
      <c r="C367" s="496" t="s">
        <v>1293</v>
      </c>
      <c r="D367" s="497">
        <v>44405</v>
      </c>
      <c r="E367" s="498">
        <v>32571</v>
      </c>
      <c r="F367" s="496">
        <v>1005010099</v>
      </c>
      <c r="G367" s="496" t="s">
        <v>2433</v>
      </c>
    </row>
    <row r="368" spans="1:7">
      <c r="A368" s="496" t="s">
        <v>2440</v>
      </c>
      <c r="B368" s="496">
        <v>3400002873</v>
      </c>
      <c r="C368" s="496" t="s">
        <v>1293</v>
      </c>
      <c r="D368" s="497">
        <v>44405</v>
      </c>
      <c r="E368" s="498">
        <v>31593</v>
      </c>
      <c r="F368" s="496">
        <v>1004010001</v>
      </c>
      <c r="G368" s="496" t="s">
        <v>2433</v>
      </c>
    </row>
    <row r="369" spans="1:7">
      <c r="A369" s="496" t="s">
        <v>2440</v>
      </c>
      <c r="B369" s="496">
        <v>3400002873</v>
      </c>
      <c r="C369" s="496" t="s">
        <v>1293</v>
      </c>
      <c r="D369" s="497">
        <v>44405</v>
      </c>
      <c r="E369" s="498">
        <v>31593</v>
      </c>
      <c r="F369" s="496">
        <v>1002020003</v>
      </c>
      <c r="G369" s="496" t="s">
        <v>2433</v>
      </c>
    </row>
    <row r="370" spans="1:7">
      <c r="A370" s="496" t="s">
        <v>2440</v>
      </c>
      <c r="B370" s="496">
        <v>3400002873</v>
      </c>
      <c r="C370" s="496" t="s">
        <v>1293</v>
      </c>
      <c r="D370" s="497">
        <v>44405</v>
      </c>
      <c r="E370" s="498">
        <v>31593</v>
      </c>
      <c r="F370" s="496">
        <v>1002030099</v>
      </c>
      <c r="G370" s="496" t="s">
        <v>2433</v>
      </c>
    </row>
    <row r="371" spans="1:7">
      <c r="A371" s="496" t="s">
        <v>2440</v>
      </c>
      <c r="B371" s="496">
        <v>3400002873</v>
      </c>
      <c r="C371" s="496" t="s">
        <v>1293</v>
      </c>
      <c r="D371" s="497">
        <v>44405</v>
      </c>
      <c r="E371" s="498">
        <v>31594</v>
      </c>
      <c r="F371" s="496">
        <v>1002020002</v>
      </c>
      <c r="G371" s="496" t="s">
        <v>2433</v>
      </c>
    </row>
    <row r="372" spans="1:7">
      <c r="A372" s="496" t="s">
        <v>2550</v>
      </c>
      <c r="B372" s="496">
        <v>3400002873</v>
      </c>
      <c r="C372" s="496" t="s">
        <v>1293</v>
      </c>
      <c r="D372" s="497">
        <v>44405</v>
      </c>
      <c r="E372" s="498">
        <v>31594</v>
      </c>
      <c r="F372" s="496">
        <v>1005010099</v>
      </c>
      <c r="G372" s="496" t="s">
        <v>2433</v>
      </c>
    </row>
    <row r="373" spans="1:7">
      <c r="A373" s="496" t="s">
        <v>2551</v>
      </c>
      <c r="B373" s="496">
        <v>3400002877</v>
      </c>
      <c r="C373" s="496" t="s">
        <v>1293</v>
      </c>
      <c r="D373" s="497">
        <v>44405</v>
      </c>
      <c r="E373" s="498">
        <v>59902</v>
      </c>
      <c r="F373" s="496">
        <v>1001010006</v>
      </c>
      <c r="G373" s="496" t="s">
        <v>2503</v>
      </c>
    </row>
    <row r="374" spans="1:7">
      <c r="A374" s="496" t="s">
        <v>2552</v>
      </c>
      <c r="B374" s="496">
        <v>3400002878</v>
      </c>
      <c r="C374" s="496" t="s">
        <v>1293</v>
      </c>
      <c r="D374" s="497">
        <v>44405</v>
      </c>
      <c r="E374" s="498">
        <v>10041</v>
      </c>
      <c r="F374" s="496">
        <v>1001010008</v>
      </c>
      <c r="G374" s="496" t="s">
        <v>2416</v>
      </c>
    </row>
    <row r="375" spans="1:7">
      <c r="A375" s="496" t="s">
        <v>2553</v>
      </c>
      <c r="B375" s="496">
        <v>3400002880</v>
      </c>
      <c r="C375" s="496" t="s">
        <v>1293</v>
      </c>
      <c r="D375" s="497">
        <v>44405</v>
      </c>
      <c r="E375" s="498">
        <v>23479</v>
      </c>
      <c r="F375" s="496">
        <v>1001010013</v>
      </c>
      <c r="G375" s="496" t="s">
        <v>2416</v>
      </c>
    </row>
    <row r="376" spans="1:7">
      <c r="A376" s="496" t="s">
        <v>2554</v>
      </c>
      <c r="B376" s="496">
        <v>3400002882</v>
      </c>
      <c r="C376" s="496" t="s">
        <v>1293</v>
      </c>
      <c r="D376" s="497">
        <v>44405</v>
      </c>
      <c r="E376" s="498">
        <v>110479</v>
      </c>
      <c r="F376" s="496">
        <v>1001010006</v>
      </c>
      <c r="G376" s="496" t="s">
        <v>2416</v>
      </c>
    </row>
    <row r="377" spans="1:7">
      <c r="A377" s="496" t="s">
        <v>2555</v>
      </c>
      <c r="B377" s="496">
        <v>3400002885</v>
      </c>
      <c r="C377" s="496" t="s">
        <v>1293</v>
      </c>
      <c r="D377" s="497">
        <v>44405</v>
      </c>
      <c r="E377" s="498">
        <v>22988</v>
      </c>
      <c r="F377" s="496">
        <v>1002020003</v>
      </c>
      <c r="G377" s="496" t="s">
        <v>2460</v>
      </c>
    </row>
    <row r="378" spans="1:7">
      <c r="A378" s="496" t="s">
        <v>2556</v>
      </c>
      <c r="B378" s="496">
        <v>3400002886</v>
      </c>
      <c r="C378" s="496" t="s">
        <v>1293</v>
      </c>
      <c r="D378" s="497">
        <v>44405</v>
      </c>
      <c r="E378" s="498">
        <v>50636</v>
      </c>
      <c r="F378" s="496">
        <v>1001010016</v>
      </c>
      <c r="G378" s="496" t="s">
        <v>2458</v>
      </c>
    </row>
    <row r="379" spans="1:7">
      <c r="A379" s="496" t="s">
        <v>2557</v>
      </c>
      <c r="B379" s="496">
        <v>3400002887</v>
      </c>
      <c r="C379" s="496" t="s">
        <v>1293</v>
      </c>
      <c r="D379" s="497">
        <v>44405</v>
      </c>
      <c r="E379" s="498">
        <v>24398</v>
      </c>
      <c r="F379" s="496">
        <v>1001010001</v>
      </c>
      <c r="G379" s="496" t="s">
        <v>2416</v>
      </c>
    </row>
    <row r="380" spans="1:7">
      <c r="A380" s="496" t="s">
        <v>2558</v>
      </c>
      <c r="B380" s="496">
        <v>3400002893</v>
      </c>
      <c r="C380" s="496" t="s">
        <v>1293</v>
      </c>
      <c r="D380" s="497">
        <v>44405</v>
      </c>
      <c r="E380" s="498">
        <v>39642</v>
      </c>
      <c r="F380" s="496">
        <v>1001010002</v>
      </c>
      <c r="G380" s="496" t="s">
        <v>2416</v>
      </c>
    </row>
    <row r="381" spans="1:7">
      <c r="A381" s="496" t="s">
        <v>2559</v>
      </c>
      <c r="B381" s="496">
        <v>3400002895</v>
      </c>
      <c r="C381" s="496" t="s">
        <v>1293</v>
      </c>
      <c r="D381" s="497">
        <v>44405</v>
      </c>
      <c r="E381" s="498">
        <v>55239</v>
      </c>
      <c r="F381" s="496">
        <v>1001010007</v>
      </c>
      <c r="G381" s="496" t="s">
        <v>2458</v>
      </c>
    </row>
    <row r="382" spans="1:7">
      <c r="A382" s="496" t="s">
        <v>2560</v>
      </c>
      <c r="B382" s="496">
        <v>3400002896</v>
      </c>
      <c r="C382" s="496" t="s">
        <v>1293</v>
      </c>
      <c r="D382" s="497">
        <v>44405</v>
      </c>
      <c r="E382" s="498">
        <v>64592</v>
      </c>
      <c r="F382" s="496">
        <v>1001010003</v>
      </c>
      <c r="G382" s="496" t="s">
        <v>2416</v>
      </c>
    </row>
    <row r="383" spans="1:7">
      <c r="A383" s="496" t="s">
        <v>2561</v>
      </c>
      <c r="B383" s="496">
        <v>3400002897</v>
      </c>
      <c r="C383" s="496" t="s">
        <v>1293</v>
      </c>
      <c r="D383" s="497">
        <v>44405</v>
      </c>
      <c r="E383" s="498">
        <v>83803</v>
      </c>
      <c r="F383" s="496">
        <v>1001010002</v>
      </c>
      <c r="G383" s="496" t="s">
        <v>2416</v>
      </c>
    </row>
    <row r="384" spans="1:7">
      <c r="A384" s="496" t="s">
        <v>2562</v>
      </c>
      <c r="B384" s="496">
        <v>3400002899</v>
      </c>
      <c r="C384" s="496" t="s">
        <v>1293</v>
      </c>
      <c r="D384" s="497">
        <v>44405</v>
      </c>
      <c r="E384" s="498">
        <v>112957</v>
      </c>
      <c r="F384" s="496">
        <v>1001010004</v>
      </c>
      <c r="G384" s="496" t="s">
        <v>2416</v>
      </c>
    </row>
    <row r="385" spans="1:7">
      <c r="A385" s="496" t="s">
        <v>2563</v>
      </c>
      <c r="B385" s="496">
        <v>3400002900</v>
      </c>
      <c r="C385" s="496" t="s">
        <v>1293</v>
      </c>
      <c r="D385" s="497">
        <v>44405</v>
      </c>
      <c r="E385" s="498">
        <v>110479</v>
      </c>
      <c r="F385" s="496">
        <v>1001010001</v>
      </c>
      <c r="G385" s="496" t="s">
        <v>2458</v>
      </c>
    </row>
    <row r="386" spans="1:7">
      <c r="A386" s="496" t="s">
        <v>2552</v>
      </c>
      <c r="B386" s="496">
        <v>3400002901</v>
      </c>
      <c r="C386" s="496" t="s">
        <v>1293</v>
      </c>
      <c r="D386" s="497">
        <v>44406</v>
      </c>
      <c r="E386" s="498">
        <v>23479</v>
      </c>
      <c r="F386" s="496">
        <v>1001010008</v>
      </c>
      <c r="G386" s="496" t="s">
        <v>2416</v>
      </c>
    </row>
    <row r="387" spans="1:7">
      <c r="A387" s="496" t="s">
        <v>2564</v>
      </c>
      <c r="B387" s="496">
        <v>3400002903</v>
      </c>
      <c r="C387" s="496" t="s">
        <v>1293</v>
      </c>
      <c r="D387" s="497">
        <v>44406</v>
      </c>
      <c r="E387" s="498">
        <v>59902</v>
      </c>
      <c r="F387" s="496">
        <v>1001010005</v>
      </c>
      <c r="G387" s="496" t="s">
        <v>2565</v>
      </c>
    </row>
    <row r="388" spans="1:7">
      <c r="A388" s="496" t="s">
        <v>2566</v>
      </c>
      <c r="B388" s="496">
        <v>3400002904</v>
      </c>
      <c r="C388" s="496" t="s">
        <v>1293</v>
      </c>
      <c r="D388" s="497">
        <v>44406</v>
      </c>
      <c r="E388" s="498">
        <v>41901</v>
      </c>
      <c r="F388" s="496">
        <v>1001010009</v>
      </c>
      <c r="G388" s="496" t="s">
        <v>2468</v>
      </c>
    </row>
    <row r="389" spans="1:7">
      <c r="A389" s="496" t="s">
        <v>2567</v>
      </c>
      <c r="B389" s="496">
        <v>3400003190</v>
      </c>
      <c r="C389" s="496" t="s">
        <v>1293</v>
      </c>
      <c r="D389" s="497">
        <v>44431</v>
      </c>
      <c r="E389" s="498">
        <v>83803</v>
      </c>
      <c r="F389" s="496">
        <v>1001010002</v>
      </c>
      <c r="G389" s="496" t="s">
        <v>2442</v>
      </c>
    </row>
    <row r="390" spans="1:7">
      <c r="A390" s="496" t="s">
        <v>2568</v>
      </c>
      <c r="B390" s="496">
        <v>3400003191</v>
      </c>
      <c r="C390" s="496" t="s">
        <v>1293</v>
      </c>
      <c r="D390" s="497">
        <v>44431</v>
      </c>
      <c r="E390" s="498">
        <v>64592</v>
      </c>
      <c r="F390" s="496">
        <v>1001010003</v>
      </c>
      <c r="G390" s="496" t="s">
        <v>2442</v>
      </c>
    </row>
    <row r="391" spans="1:7">
      <c r="A391" s="496" t="s">
        <v>2569</v>
      </c>
      <c r="B391" s="496">
        <v>3400003193</v>
      </c>
      <c r="C391" s="496" t="s">
        <v>1293</v>
      </c>
      <c r="D391" s="497">
        <v>44431</v>
      </c>
      <c r="E391" s="498">
        <v>24398</v>
      </c>
      <c r="F391" s="496">
        <v>1001010001</v>
      </c>
      <c r="G391" s="496" t="s">
        <v>2442</v>
      </c>
    </row>
    <row r="392" spans="1:7">
      <c r="A392" s="496" t="s">
        <v>2570</v>
      </c>
      <c r="B392" s="496">
        <v>3400003194</v>
      </c>
      <c r="C392" s="496" t="s">
        <v>1293</v>
      </c>
      <c r="D392" s="497">
        <v>44431</v>
      </c>
      <c r="E392" s="498">
        <v>50636</v>
      </c>
      <c r="F392" s="496">
        <v>1001010016</v>
      </c>
      <c r="G392" s="496" t="s">
        <v>2571</v>
      </c>
    </row>
    <row r="393" spans="1:7">
      <c r="A393" s="496" t="s">
        <v>2572</v>
      </c>
      <c r="B393" s="496">
        <v>3400003199</v>
      </c>
      <c r="C393" s="496" t="s">
        <v>1293</v>
      </c>
      <c r="D393" s="497">
        <v>44431</v>
      </c>
      <c r="E393" s="498">
        <v>64155</v>
      </c>
      <c r="F393" s="496">
        <v>1001010006</v>
      </c>
      <c r="G393" s="496" t="s">
        <v>2571</v>
      </c>
    </row>
    <row r="394" spans="1:7">
      <c r="A394" s="496" t="s">
        <v>2573</v>
      </c>
      <c r="B394" s="496">
        <v>3400003204</v>
      </c>
      <c r="C394" s="496" t="s">
        <v>1293</v>
      </c>
      <c r="D394" s="497">
        <v>44431</v>
      </c>
      <c r="E394" s="498">
        <v>110479</v>
      </c>
      <c r="F394" s="496">
        <v>1001010001</v>
      </c>
      <c r="G394" s="496" t="s">
        <v>2571</v>
      </c>
    </row>
    <row r="395" spans="1:7">
      <c r="A395" s="496" t="s">
        <v>2574</v>
      </c>
      <c r="B395" s="496">
        <v>3400003205</v>
      </c>
      <c r="C395" s="496" t="s">
        <v>1293</v>
      </c>
      <c r="D395" s="497">
        <v>44431</v>
      </c>
      <c r="E395" s="498">
        <v>23479</v>
      </c>
      <c r="F395" s="496">
        <v>1001010013</v>
      </c>
      <c r="G395" s="496" t="s">
        <v>2442</v>
      </c>
    </row>
    <row r="396" spans="1:7">
      <c r="A396" s="496" t="s">
        <v>2575</v>
      </c>
      <c r="B396" s="496">
        <v>3400003209</v>
      </c>
      <c r="C396" s="496" t="s">
        <v>1293</v>
      </c>
      <c r="D396" s="497">
        <v>44431</v>
      </c>
      <c r="E396" s="498">
        <v>41904</v>
      </c>
      <c r="F396" s="496">
        <v>1001010009</v>
      </c>
      <c r="G396" s="496" t="s">
        <v>2571</v>
      </c>
    </row>
    <row r="397" spans="1:7">
      <c r="A397" s="496" t="s">
        <v>2576</v>
      </c>
      <c r="B397" s="496">
        <v>3400003210</v>
      </c>
      <c r="C397" s="496" t="s">
        <v>1293</v>
      </c>
      <c r="D397" s="497">
        <v>44431</v>
      </c>
      <c r="E397" s="498">
        <v>55239</v>
      </c>
      <c r="F397" s="496">
        <v>1001010007</v>
      </c>
      <c r="G397" s="496" t="s">
        <v>2571</v>
      </c>
    </row>
    <row r="398" spans="1:7">
      <c r="A398" s="496" t="s">
        <v>2577</v>
      </c>
      <c r="B398" s="496">
        <v>3400003214</v>
      </c>
      <c r="C398" s="496" t="s">
        <v>1293</v>
      </c>
      <c r="D398" s="497">
        <v>44431</v>
      </c>
      <c r="E398" s="498">
        <v>39642</v>
      </c>
      <c r="F398" s="496">
        <v>1001010002</v>
      </c>
      <c r="G398" s="496" t="s">
        <v>2442</v>
      </c>
    </row>
    <row r="399" spans="1:7">
      <c r="A399" s="496" t="s">
        <v>2578</v>
      </c>
      <c r="B399" s="496">
        <v>3400003215</v>
      </c>
      <c r="C399" s="496" t="s">
        <v>1293</v>
      </c>
      <c r="D399" s="497">
        <v>44431</v>
      </c>
      <c r="E399" s="498">
        <v>22988</v>
      </c>
      <c r="F399" s="496">
        <v>1002020003</v>
      </c>
      <c r="G399" s="496" t="s">
        <v>2579</v>
      </c>
    </row>
    <row r="400" spans="1:7">
      <c r="A400" s="496" t="s">
        <v>2443</v>
      </c>
      <c r="B400" s="496">
        <v>3400003221</v>
      </c>
      <c r="C400" s="496" t="s">
        <v>1293</v>
      </c>
      <c r="D400" s="497">
        <v>44431</v>
      </c>
      <c r="E400" s="498">
        <v>33635</v>
      </c>
      <c r="F400" s="496">
        <v>1002020003</v>
      </c>
      <c r="G400" s="496" t="s">
        <v>2442</v>
      </c>
    </row>
    <row r="401" spans="1:7">
      <c r="A401" s="496" t="s">
        <v>2443</v>
      </c>
      <c r="B401" s="496">
        <v>3400003221</v>
      </c>
      <c r="C401" s="496" t="s">
        <v>1293</v>
      </c>
      <c r="D401" s="497">
        <v>44431</v>
      </c>
      <c r="E401" s="498">
        <v>33635</v>
      </c>
      <c r="F401" s="496">
        <v>1002030099</v>
      </c>
      <c r="G401" s="496" t="s">
        <v>2442</v>
      </c>
    </row>
    <row r="402" spans="1:7">
      <c r="A402" s="496" t="s">
        <v>2443</v>
      </c>
      <c r="B402" s="496">
        <v>3400003221</v>
      </c>
      <c r="C402" s="496" t="s">
        <v>1293</v>
      </c>
      <c r="D402" s="497">
        <v>44431</v>
      </c>
      <c r="E402" s="498">
        <v>33635</v>
      </c>
      <c r="F402" s="496">
        <v>1002020002</v>
      </c>
      <c r="G402" s="496" t="s">
        <v>2442</v>
      </c>
    </row>
    <row r="403" spans="1:7">
      <c r="A403" s="496" t="s">
        <v>2443</v>
      </c>
      <c r="B403" s="496">
        <v>3400003221</v>
      </c>
      <c r="C403" s="496" t="s">
        <v>1293</v>
      </c>
      <c r="D403" s="497">
        <v>44431</v>
      </c>
      <c r="E403" s="498">
        <v>33635</v>
      </c>
      <c r="F403" s="496">
        <v>1005010099</v>
      </c>
      <c r="G403" s="496" t="s">
        <v>2442</v>
      </c>
    </row>
    <row r="404" spans="1:7">
      <c r="A404" s="496" t="s">
        <v>2580</v>
      </c>
      <c r="B404" s="496">
        <v>3400003222</v>
      </c>
      <c r="C404" s="496" t="s">
        <v>1293</v>
      </c>
      <c r="D404" s="497">
        <v>44431</v>
      </c>
      <c r="E404" s="498">
        <v>110479</v>
      </c>
      <c r="F404" s="496">
        <v>1001010006</v>
      </c>
      <c r="G404" s="496" t="s">
        <v>2442</v>
      </c>
    </row>
    <row r="405" spans="1:7">
      <c r="A405" s="496" t="s">
        <v>2581</v>
      </c>
      <c r="B405" s="496">
        <v>3400003223</v>
      </c>
      <c r="C405" s="496" t="s">
        <v>1293</v>
      </c>
      <c r="D405" s="497">
        <v>44431</v>
      </c>
      <c r="E405" s="498">
        <v>23479</v>
      </c>
      <c r="F405" s="496">
        <v>1001010008</v>
      </c>
      <c r="G405" s="496" t="s">
        <v>2442</v>
      </c>
    </row>
    <row r="406" spans="1:7">
      <c r="A406" s="496" t="s">
        <v>2582</v>
      </c>
      <c r="B406" s="496">
        <v>3400003224</v>
      </c>
      <c r="C406" s="496" t="s">
        <v>1293</v>
      </c>
      <c r="D406" s="497">
        <v>44431</v>
      </c>
      <c r="E406" s="498">
        <v>112957</v>
      </c>
      <c r="F406" s="496">
        <v>1001010004</v>
      </c>
      <c r="G406" s="496" t="s">
        <v>2442</v>
      </c>
    </row>
    <row r="407" spans="1:7">
      <c r="A407" s="496" t="s">
        <v>2564</v>
      </c>
      <c r="B407" s="496">
        <v>3400003309</v>
      </c>
      <c r="C407" s="496" t="s">
        <v>1293</v>
      </c>
      <c r="D407" s="497">
        <v>44435</v>
      </c>
      <c r="E407" s="498">
        <v>59902</v>
      </c>
      <c r="F407" s="496">
        <v>1001010005</v>
      </c>
      <c r="G407" s="496" t="s">
        <v>2565</v>
      </c>
    </row>
    <row r="408" spans="1:7">
      <c r="A408" s="496" t="s">
        <v>2583</v>
      </c>
      <c r="B408" s="496">
        <v>3400003678</v>
      </c>
      <c r="C408" s="496" t="s">
        <v>1293</v>
      </c>
      <c r="D408" s="497">
        <v>44462</v>
      </c>
      <c r="E408" s="498">
        <v>83803</v>
      </c>
      <c r="F408" s="496">
        <v>1001010002</v>
      </c>
      <c r="G408" s="496" t="s">
        <v>2442</v>
      </c>
    </row>
    <row r="409" spans="1:7">
      <c r="A409" s="496" t="s">
        <v>2584</v>
      </c>
      <c r="B409" s="496">
        <v>3400003679</v>
      </c>
      <c r="C409" s="496" t="s">
        <v>1293</v>
      </c>
      <c r="D409" s="497">
        <v>44462</v>
      </c>
      <c r="E409" s="498">
        <v>64591</v>
      </c>
      <c r="F409" s="496">
        <v>1001010003</v>
      </c>
      <c r="G409" s="496" t="s">
        <v>2442</v>
      </c>
    </row>
    <row r="410" spans="1:7">
      <c r="A410" s="496" t="s">
        <v>2585</v>
      </c>
      <c r="B410" s="496">
        <v>3400003680</v>
      </c>
      <c r="C410" s="496" t="s">
        <v>1293</v>
      </c>
      <c r="D410" s="497">
        <v>44462</v>
      </c>
      <c r="E410" s="498">
        <v>59901</v>
      </c>
      <c r="F410" s="496">
        <v>1001010005</v>
      </c>
      <c r="G410" s="496" t="s">
        <v>2565</v>
      </c>
    </row>
    <row r="411" spans="1:7">
      <c r="A411" s="496" t="s">
        <v>2586</v>
      </c>
      <c r="B411" s="496">
        <v>3400003681</v>
      </c>
      <c r="C411" s="496" t="s">
        <v>1293</v>
      </c>
      <c r="D411" s="497">
        <v>44462</v>
      </c>
      <c r="E411" s="498">
        <v>55239</v>
      </c>
      <c r="F411" s="496">
        <v>1001010007</v>
      </c>
      <c r="G411" s="496" t="s">
        <v>2571</v>
      </c>
    </row>
    <row r="412" spans="1:7">
      <c r="A412" s="496" t="s">
        <v>2587</v>
      </c>
      <c r="B412" s="496">
        <v>3400003688</v>
      </c>
      <c r="C412" s="496" t="s">
        <v>1293</v>
      </c>
      <c r="D412" s="497">
        <v>44463</v>
      </c>
      <c r="E412" s="498">
        <v>110479</v>
      </c>
      <c r="F412" s="496">
        <v>1001010001</v>
      </c>
      <c r="G412" s="496" t="s">
        <v>2571</v>
      </c>
    </row>
    <row r="413" spans="1:7">
      <c r="A413" s="496" t="s">
        <v>2588</v>
      </c>
      <c r="B413" s="496">
        <v>3400003690</v>
      </c>
      <c r="C413" s="496" t="s">
        <v>1293</v>
      </c>
      <c r="D413" s="497">
        <v>44463</v>
      </c>
      <c r="E413" s="498">
        <v>59902</v>
      </c>
      <c r="F413" s="496">
        <v>1001010006</v>
      </c>
      <c r="G413" s="496" t="s">
        <v>2571</v>
      </c>
    </row>
    <row r="414" spans="1:7">
      <c r="A414" s="496" t="s">
        <v>2589</v>
      </c>
      <c r="B414" s="496">
        <v>3400003691</v>
      </c>
      <c r="C414" s="496" t="s">
        <v>1293</v>
      </c>
      <c r="D414" s="497">
        <v>44463</v>
      </c>
      <c r="E414" s="498">
        <v>23479</v>
      </c>
      <c r="F414" s="496">
        <v>1001010013</v>
      </c>
      <c r="G414" s="496" t="s">
        <v>2442</v>
      </c>
    </row>
    <row r="415" spans="1:7">
      <c r="A415" s="496" t="s">
        <v>2590</v>
      </c>
      <c r="B415" s="496">
        <v>3400003696</v>
      </c>
      <c r="C415" s="496" t="s">
        <v>1293</v>
      </c>
      <c r="D415" s="497">
        <v>44463</v>
      </c>
      <c r="E415" s="498">
        <v>22988</v>
      </c>
      <c r="F415" s="496">
        <v>1002020003</v>
      </c>
      <c r="G415" s="496" t="s">
        <v>2579</v>
      </c>
    </row>
    <row r="416" spans="1:7">
      <c r="A416" s="496" t="s">
        <v>2591</v>
      </c>
      <c r="B416" s="496">
        <v>3400003698</v>
      </c>
      <c r="C416" s="496" t="s">
        <v>1293</v>
      </c>
      <c r="D416" s="497">
        <v>44463</v>
      </c>
      <c r="E416" s="498">
        <v>112957</v>
      </c>
      <c r="F416" s="496">
        <v>1001010004</v>
      </c>
      <c r="G416" s="496" t="s">
        <v>2442</v>
      </c>
    </row>
    <row r="417" spans="1:7">
      <c r="A417" s="496" t="s">
        <v>2592</v>
      </c>
      <c r="B417" s="496">
        <v>3400003700</v>
      </c>
      <c r="C417" s="496" t="s">
        <v>1293</v>
      </c>
      <c r="D417" s="497">
        <v>44463</v>
      </c>
      <c r="E417" s="498">
        <v>41904</v>
      </c>
      <c r="F417" s="496">
        <v>1001010009</v>
      </c>
      <c r="G417" s="496" t="s">
        <v>2571</v>
      </c>
    </row>
    <row r="418" spans="1:7">
      <c r="A418" s="496" t="s">
        <v>2593</v>
      </c>
      <c r="B418" s="496">
        <v>3400003704</v>
      </c>
      <c r="C418" s="496" t="s">
        <v>1293</v>
      </c>
      <c r="D418" s="497">
        <v>44463</v>
      </c>
      <c r="E418" s="498">
        <v>39642</v>
      </c>
      <c r="F418" s="496">
        <v>1001010002</v>
      </c>
      <c r="G418" s="496" t="s">
        <v>2442</v>
      </c>
    </row>
    <row r="419" spans="1:7">
      <c r="A419" s="496" t="s">
        <v>2594</v>
      </c>
      <c r="B419" s="496">
        <v>3400003705</v>
      </c>
      <c r="C419" s="496" t="s">
        <v>1293</v>
      </c>
      <c r="D419" s="497">
        <v>44463</v>
      </c>
      <c r="E419" s="498">
        <v>110479</v>
      </c>
      <c r="F419" s="496">
        <v>1001010006</v>
      </c>
      <c r="G419" s="496" t="s">
        <v>2442</v>
      </c>
    </row>
    <row r="420" spans="1:7">
      <c r="A420" s="496" t="s">
        <v>2595</v>
      </c>
      <c r="B420" s="496">
        <v>3400003707</v>
      </c>
      <c r="C420" s="496" t="s">
        <v>1293</v>
      </c>
      <c r="D420" s="497">
        <v>44464</v>
      </c>
      <c r="E420" s="498">
        <v>50636</v>
      </c>
      <c r="F420" s="496">
        <v>1001010016</v>
      </c>
      <c r="G420" s="496" t="s">
        <v>2571</v>
      </c>
    </row>
    <row r="421" spans="1:7">
      <c r="A421" s="496" t="s">
        <v>2596</v>
      </c>
      <c r="B421" s="496">
        <v>3400003710</v>
      </c>
      <c r="C421" s="496" t="s">
        <v>1293</v>
      </c>
      <c r="D421" s="497">
        <v>44464</v>
      </c>
      <c r="E421" s="498">
        <v>24398</v>
      </c>
      <c r="F421" s="496">
        <v>1001010001</v>
      </c>
      <c r="G421" s="496" t="s">
        <v>2442</v>
      </c>
    </row>
    <row r="422" spans="1:7">
      <c r="A422" s="496" t="s">
        <v>2597</v>
      </c>
      <c r="B422" s="496">
        <v>3400003713</v>
      </c>
      <c r="C422" s="496" t="s">
        <v>1293</v>
      </c>
      <c r="D422" s="497">
        <v>44464</v>
      </c>
      <c r="E422" s="498">
        <v>23479</v>
      </c>
      <c r="F422" s="496">
        <v>1001010008</v>
      </c>
      <c r="G422" s="496" t="s">
        <v>2442</v>
      </c>
    </row>
    <row r="423" spans="1:7">
      <c r="A423" s="496" t="s">
        <v>2446</v>
      </c>
      <c r="B423" s="496">
        <v>3400003750</v>
      </c>
      <c r="C423" s="496" t="s">
        <v>1293</v>
      </c>
      <c r="D423" s="497">
        <v>44466</v>
      </c>
      <c r="E423" s="498">
        <v>33593</v>
      </c>
      <c r="F423" s="496">
        <v>1002020003</v>
      </c>
      <c r="G423" s="496" t="s">
        <v>2442</v>
      </c>
    </row>
    <row r="424" spans="1:7">
      <c r="A424" s="496" t="s">
        <v>2446</v>
      </c>
      <c r="B424" s="496">
        <v>3400003750</v>
      </c>
      <c r="C424" s="496" t="s">
        <v>1293</v>
      </c>
      <c r="D424" s="497">
        <v>44466</v>
      </c>
      <c r="E424" s="498">
        <v>33593</v>
      </c>
      <c r="F424" s="496">
        <v>1002030099</v>
      </c>
      <c r="G424" s="496" t="s">
        <v>2442</v>
      </c>
    </row>
    <row r="425" spans="1:7">
      <c r="A425" s="496" t="s">
        <v>2446</v>
      </c>
      <c r="B425" s="496">
        <v>3400003750</v>
      </c>
      <c r="C425" s="496" t="s">
        <v>1293</v>
      </c>
      <c r="D425" s="497">
        <v>44466</v>
      </c>
      <c r="E425" s="498">
        <v>33593</v>
      </c>
      <c r="F425" s="496">
        <v>1002020002</v>
      </c>
      <c r="G425" s="496" t="s">
        <v>2442</v>
      </c>
    </row>
    <row r="426" spans="1:7">
      <c r="A426" s="496" t="s">
        <v>2446</v>
      </c>
      <c r="B426" s="496">
        <v>3400003750</v>
      </c>
      <c r="C426" s="496" t="s">
        <v>1293</v>
      </c>
      <c r="D426" s="497">
        <v>44466</v>
      </c>
      <c r="E426" s="498">
        <v>33593</v>
      </c>
      <c r="F426" s="496">
        <v>1005010099</v>
      </c>
      <c r="G426" s="496" t="s">
        <v>2442</v>
      </c>
    </row>
    <row r="427" spans="1:7">
      <c r="A427" s="496" t="s">
        <v>2598</v>
      </c>
      <c r="B427" s="496">
        <v>3400004064</v>
      </c>
      <c r="C427" s="496" t="s">
        <v>1293</v>
      </c>
      <c r="D427" s="497">
        <v>44485</v>
      </c>
      <c r="E427" s="498">
        <v>59902</v>
      </c>
      <c r="F427" s="496">
        <v>1001010006</v>
      </c>
      <c r="G427" s="496" t="s">
        <v>2599</v>
      </c>
    </row>
    <row r="428" spans="1:7">
      <c r="A428" s="496" t="s">
        <v>2600</v>
      </c>
      <c r="B428" s="496">
        <v>3400004071</v>
      </c>
      <c r="C428" s="496" t="s">
        <v>1293</v>
      </c>
      <c r="D428" s="497">
        <v>44485</v>
      </c>
      <c r="E428" s="498">
        <v>39642</v>
      </c>
      <c r="F428" s="496">
        <v>1001010002</v>
      </c>
      <c r="G428" s="496" t="s">
        <v>2442</v>
      </c>
    </row>
    <row r="429" spans="1:7">
      <c r="A429" s="496" t="s">
        <v>2448</v>
      </c>
      <c r="B429" s="496">
        <v>3400004073</v>
      </c>
      <c r="C429" s="496" t="s">
        <v>1293</v>
      </c>
      <c r="D429" s="497">
        <v>44485</v>
      </c>
      <c r="E429" s="498">
        <v>28871</v>
      </c>
      <c r="F429" s="496">
        <v>1002020003</v>
      </c>
      <c r="G429" s="496" t="s">
        <v>2442</v>
      </c>
    </row>
    <row r="430" spans="1:7">
      <c r="A430" s="496" t="s">
        <v>2448</v>
      </c>
      <c r="B430" s="496">
        <v>3400004073</v>
      </c>
      <c r="C430" s="496" t="s">
        <v>1293</v>
      </c>
      <c r="D430" s="497">
        <v>44485</v>
      </c>
      <c r="E430" s="498">
        <v>28871</v>
      </c>
      <c r="F430" s="496">
        <v>1002030099</v>
      </c>
      <c r="G430" s="496" t="s">
        <v>2442</v>
      </c>
    </row>
    <row r="431" spans="1:7">
      <c r="A431" s="496" t="s">
        <v>2448</v>
      </c>
      <c r="B431" s="496">
        <v>3400004073</v>
      </c>
      <c r="C431" s="496" t="s">
        <v>1293</v>
      </c>
      <c r="D431" s="497">
        <v>44485</v>
      </c>
      <c r="E431" s="498">
        <v>28871</v>
      </c>
      <c r="F431" s="496">
        <v>1002020002</v>
      </c>
      <c r="G431" s="496" t="s">
        <v>2442</v>
      </c>
    </row>
    <row r="432" spans="1:7">
      <c r="A432" s="496" t="s">
        <v>2448</v>
      </c>
      <c r="B432" s="496">
        <v>3400004073</v>
      </c>
      <c r="C432" s="496" t="s">
        <v>1293</v>
      </c>
      <c r="D432" s="497">
        <v>44485</v>
      </c>
      <c r="E432" s="498">
        <v>28871</v>
      </c>
      <c r="F432" s="496">
        <v>1005010099</v>
      </c>
      <c r="G432" s="496" t="s">
        <v>2442</v>
      </c>
    </row>
    <row r="433" spans="1:7">
      <c r="A433" s="496" t="s">
        <v>2601</v>
      </c>
      <c r="B433" s="496">
        <v>3400004074</v>
      </c>
      <c r="C433" s="496" t="s">
        <v>1293</v>
      </c>
      <c r="D433" s="497">
        <v>44485</v>
      </c>
      <c r="E433" s="498">
        <v>110479</v>
      </c>
      <c r="F433" s="496">
        <v>1001010006</v>
      </c>
      <c r="G433" s="496" t="s">
        <v>2442</v>
      </c>
    </row>
    <row r="434" spans="1:7">
      <c r="A434" s="496" t="s">
        <v>2602</v>
      </c>
      <c r="B434" s="496">
        <v>3400004076</v>
      </c>
      <c r="C434" s="496" t="s">
        <v>1293</v>
      </c>
      <c r="D434" s="497">
        <v>44485</v>
      </c>
      <c r="E434" s="498">
        <v>41904</v>
      </c>
      <c r="F434" s="496">
        <v>1001010009</v>
      </c>
      <c r="G434" s="496" t="s">
        <v>2571</v>
      </c>
    </row>
    <row r="435" spans="1:7">
      <c r="A435" s="496" t="s">
        <v>2603</v>
      </c>
      <c r="B435" s="496">
        <v>3400004077</v>
      </c>
      <c r="C435" s="496" t="s">
        <v>1293</v>
      </c>
      <c r="D435" s="497">
        <v>44485</v>
      </c>
      <c r="E435" s="498">
        <v>23479</v>
      </c>
      <c r="F435" s="496">
        <v>1001010008</v>
      </c>
      <c r="G435" s="496" t="s">
        <v>2442</v>
      </c>
    </row>
    <row r="436" spans="1:7">
      <c r="A436" s="496" t="s">
        <v>2604</v>
      </c>
      <c r="B436" s="496">
        <v>3400004079</v>
      </c>
      <c r="C436" s="496" t="s">
        <v>1293</v>
      </c>
      <c r="D436" s="497">
        <v>44485</v>
      </c>
      <c r="E436" s="498">
        <v>50636</v>
      </c>
      <c r="F436" s="496">
        <v>1001010016</v>
      </c>
      <c r="G436" s="496" t="s">
        <v>2571</v>
      </c>
    </row>
    <row r="437" spans="1:7">
      <c r="A437" s="496" t="s">
        <v>2605</v>
      </c>
      <c r="B437" s="496">
        <v>3400004081</v>
      </c>
      <c r="C437" s="496" t="s">
        <v>1293</v>
      </c>
      <c r="D437" s="497">
        <v>44485</v>
      </c>
      <c r="E437" s="498">
        <v>112957</v>
      </c>
      <c r="F437" s="496">
        <v>1001010004</v>
      </c>
      <c r="G437" s="496" t="s">
        <v>2442</v>
      </c>
    </row>
    <row r="438" spans="1:7">
      <c r="A438" s="496" t="s">
        <v>2606</v>
      </c>
      <c r="B438" s="496">
        <v>3400004083</v>
      </c>
      <c r="C438" s="496" t="s">
        <v>1293</v>
      </c>
      <c r="D438" s="497">
        <v>44485</v>
      </c>
      <c r="E438" s="498">
        <v>59901</v>
      </c>
      <c r="F438" s="496">
        <v>1001010005</v>
      </c>
      <c r="G438" s="496" t="s">
        <v>2599</v>
      </c>
    </row>
    <row r="439" spans="1:7">
      <c r="A439" s="496" t="s">
        <v>2607</v>
      </c>
      <c r="B439" s="496">
        <v>3400004084</v>
      </c>
      <c r="C439" s="496" t="s">
        <v>1293</v>
      </c>
      <c r="D439" s="497">
        <v>44485</v>
      </c>
      <c r="E439" s="498">
        <v>22988</v>
      </c>
      <c r="F439" s="496">
        <v>1002020003</v>
      </c>
      <c r="G439" s="496" t="s">
        <v>2579</v>
      </c>
    </row>
    <row r="440" spans="1:7">
      <c r="A440" s="496" t="s">
        <v>2608</v>
      </c>
      <c r="B440" s="496">
        <v>3400004086</v>
      </c>
      <c r="C440" s="496" t="s">
        <v>1293</v>
      </c>
      <c r="D440" s="497">
        <v>44485</v>
      </c>
      <c r="E440" s="498">
        <v>23479</v>
      </c>
      <c r="F440" s="496">
        <v>1001010013</v>
      </c>
      <c r="G440" s="496" t="s">
        <v>2442</v>
      </c>
    </row>
    <row r="441" spans="1:7">
      <c r="A441" s="496" t="s">
        <v>2609</v>
      </c>
      <c r="B441" s="496">
        <v>3400004087</v>
      </c>
      <c r="C441" s="496" t="s">
        <v>1293</v>
      </c>
      <c r="D441" s="497">
        <v>44486</v>
      </c>
      <c r="E441" s="498">
        <v>110479</v>
      </c>
      <c r="F441" s="496">
        <v>1001010001</v>
      </c>
      <c r="G441" s="496" t="s">
        <v>2571</v>
      </c>
    </row>
    <row r="442" spans="1:7">
      <c r="A442" s="496" t="s">
        <v>2610</v>
      </c>
      <c r="B442" s="496">
        <v>3400004088</v>
      </c>
      <c r="C442" s="496" t="s">
        <v>1293</v>
      </c>
      <c r="D442" s="497">
        <v>44486</v>
      </c>
      <c r="E442" s="498">
        <v>64591</v>
      </c>
      <c r="F442" s="496">
        <v>1001010003</v>
      </c>
      <c r="G442" s="496" t="s">
        <v>2442</v>
      </c>
    </row>
    <row r="443" spans="1:7">
      <c r="A443" s="496" t="s">
        <v>2611</v>
      </c>
      <c r="B443" s="496">
        <v>3400004089</v>
      </c>
      <c r="C443" s="496" t="s">
        <v>1293</v>
      </c>
      <c r="D443" s="497">
        <v>44486</v>
      </c>
      <c r="E443" s="498">
        <v>55239</v>
      </c>
      <c r="F443" s="496">
        <v>1001010007</v>
      </c>
      <c r="G443" s="496" t="s">
        <v>2571</v>
      </c>
    </row>
    <row r="444" spans="1:7">
      <c r="A444" s="496" t="s">
        <v>2612</v>
      </c>
      <c r="B444" s="496">
        <v>3400004093</v>
      </c>
      <c r="C444" s="496" t="s">
        <v>1293</v>
      </c>
      <c r="D444" s="497">
        <v>44486</v>
      </c>
      <c r="E444" s="498">
        <v>24398</v>
      </c>
      <c r="F444" s="496">
        <v>1001010001</v>
      </c>
      <c r="G444" s="496" t="s">
        <v>2442</v>
      </c>
    </row>
    <row r="445" spans="1:7">
      <c r="A445" s="496" t="s">
        <v>2613</v>
      </c>
      <c r="B445" s="496">
        <v>3400004094</v>
      </c>
      <c r="C445" s="496" t="s">
        <v>1293</v>
      </c>
      <c r="D445" s="497">
        <v>44486</v>
      </c>
      <c r="E445" s="498">
        <v>83803</v>
      </c>
      <c r="F445" s="496">
        <v>1001010002</v>
      </c>
      <c r="G445" s="496" t="s">
        <v>2442</v>
      </c>
    </row>
    <row r="446" spans="1:7">
      <c r="A446" s="496" t="s">
        <v>2614</v>
      </c>
      <c r="B446" s="496">
        <v>3400004574</v>
      </c>
      <c r="C446" s="496" t="s">
        <v>1293</v>
      </c>
      <c r="D446" s="497">
        <v>44520</v>
      </c>
      <c r="E446" s="498">
        <v>61638</v>
      </c>
      <c r="F446" s="496">
        <v>1001010006</v>
      </c>
      <c r="G446" s="496" t="s">
        <v>2571</v>
      </c>
    </row>
    <row r="447" spans="1:7">
      <c r="A447" s="496" t="s">
        <v>2615</v>
      </c>
      <c r="B447" s="496">
        <v>3400004577</v>
      </c>
      <c r="C447" s="496" t="s">
        <v>1293</v>
      </c>
      <c r="D447" s="497">
        <v>44520</v>
      </c>
      <c r="E447" s="498">
        <v>61638</v>
      </c>
      <c r="F447" s="496">
        <v>1001010005</v>
      </c>
      <c r="G447" s="496" t="s">
        <v>2599</v>
      </c>
    </row>
    <row r="448" spans="1:7">
      <c r="A448" s="496" t="s">
        <v>2616</v>
      </c>
      <c r="B448" s="496">
        <v>3400004580</v>
      </c>
      <c r="C448" s="496" t="s">
        <v>1293</v>
      </c>
      <c r="D448" s="497">
        <v>44521</v>
      </c>
      <c r="E448" s="498">
        <v>66465</v>
      </c>
      <c r="F448" s="496">
        <v>1001010003</v>
      </c>
      <c r="G448" s="496" t="s">
        <v>2442</v>
      </c>
    </row>
    <row r="449" spans="1:7">
      <c r="A449" s="496" t="s">
        <v>2617</v>
      </c>
      <c r="B449" s="496">
        <v>3400004593</v>
      </c>
      <c r="C449" s="496" t="s">
        <v>1293</v>
      </c>
      <c r="D449" s="497">
        <v>44521</v>
      </c>
      <c r="E449" s="498">
        <v>23655</v>
      </c>
      <c r="F449" s="496">
        <v>1002020003</v>
      </c>
      <c r="G449" s="496" t="s">
        <v>2579</v>
      </c>
    </row>
    <row r="450" spans="1:7">
      <c r="A450" s="496" t="s">
        <v>2451</v>
      </c>
      <c r="B450" s="496">
        <v>3400004594</v>
      </c>
      <c r="C450" s="496" t="s">
        <v>1293</v>
      </c>
      <c r="D450" s="497">
        <v>44521</v>
      </c>
      <c r="E450" s="498">
        <v>29708</v>
      </c>
      <c r="F450" s="496">
        <v>1002020003</v>
      </c>
      <c r="G450" s="496" t="s">
        <v>2442</v>
      </c>
    </row>
    <row r="451" spans="1:7">
      <c r="A451" s="496" t="s">
        <v>2451</v>
      </c>
      <c r="B451" s="496">
        <v>3400004594</v>
      </c>
      <c r="C451" s="496" t="s">
        <v>1293</v>
      </c>
      <c r="D451" s="497">
        <v>44521</v>
      </c>
      <c r="E451" s="498">
        <v>29708</v>
      </c>
      <c r="F451" s="496">
        <v>1002030099</v>
      </c>
      <c r="G451" s="496" t="s">
        <v>2442</v>
      </c>
    </row>
    <row r="452" spans="1:7">
      <c r="A452" s="496" t="s">
        <v>2451</v>
      </c>
      <c r="B452" s="496">
        <v>3400004594</v>
      </c>
      <c r="C452" s="496" t="s">
        <v>1293</v>
      </c>
      <c r="D452" s="497">
        <v>44521</v>
      </c>
      <c r="E452" s="498">
        <v>29708</v>
      </c>
      <c r="F452" s="496">
        <v>1002020002</v>
      </c>
      <c r="G452" s="496" t="s">
        <v>2442</v>
      </c>
    </row>
    <row r="453" spans="1:7">
      <c r="A453" s="496" t="s">
        <v>2451</v>
      </c>
      <c r="B453" s="496">
        <v>3400004594</v>
      </c>
      <c r="C453" s="496" t="s">
        <v>1293</v>
      </c>
      <c r="D453" s="497">
        <v>44521</v>
      </c>
      <c r="E453" s="498">
        <v>29708</v>
      </c>
      <c r="F453" s="496">
        <v>1005010099</v>
      </c>
      <c r="G453" s="496" t="s">
        <v>2442</v>
      </c>
    </row>
    <row r="454" spans="1:7">
      <c r="A454" s="496" t="s">
        <v>2618</v>
      </c>
      <c r="B454" s="496">
        <v>3400004595</v>
      </c>
      <c r="C454" s="496" t="s">
        <v>1293</v>
      </c>
      <c r="D454" s="497">
        <v>44521</v>
      </c>
      <c r="E454" s="498">
        <v>113682</v>
      </c>
      <c r="F454" s="496">
        <v>1001010006</v>
      </c>
      <c r="G454" s="496" t="s">
        <v>2442</v>
      </c>
    </row>
    <row r="455" spans="1:7">
      <c r="A455" s="496" t="s">
        <v>2619</v>
      </c>
      <c r="B455" s="496">
        <v>3400004599</v>
      </c>
      <c r="C455" s="496" t="s">
        <v>1293</v>
      </c>
      <c r="D455" s="497">
        <v>44521</v>
      </c>
      <c r="E455" s="498">
        <v>40792</v>
      </c>
      <c r="F455" s="496">
        <v>1001010002</v>
      </c>
      <c r="G455" s="496" t="s">
        <v>2442</v>
      </c>
    </row>
    <row r="456" spans="1:7">
      <c r="A456" s="496" t="s">
        <v>2620</v>
      </c>
      <c r="B456" s="496">
        <v>3400004603</v>
      </c>
      <c r="C456" s="496" t="s">
        <v>1293</v>
      </c>
      <c r="D456" s="497">
        <v>44521</v>
      </c>
      <c r="E456" s="498">
        <v>24160</v>
      </c>
      <c r="F456" s="496">
        <v>1001010013</v>
      </c>
      <c r="G456" s="496" t="s">
        <v>2442</v>
      </c>
    </row>
    <row r="457" spans="1:7">
      <c r="A457" s="496" t="s">
        <v>2621</v>
      </c>
      <c r="B457" s="496">
        <v>3400004605</v>
      </c>
      <c r="C457" s="496" t="s">
        <v>1293</v>
      </c>
      <c r="D457" s="497">
        <v>44521</v>
      </c>
      <c r="E457" s="498">
        <v>113682</v>
      </c>
      <c r="F457" s="496">
        <v>1001010001</v>
      </c>
      <c r="G457" s="496" t="s">
        <v>2571</v>
      </c>
    </row>
    <row r="458" spans="1:7">
      <c r="A458" s="496" t="s">
        <v>2622</v>
      </c>
      <c r="B458" s="496">
        <v>3400004606</v>
      </c>
      <c r="C458" s="496" t="s">
        <v>1293</v>
      </c>
      <c r="D458" s="497">
        <v>44521</v>
      </c>
      <c r="E458" s="498">
        <v>86233</v>
      </c>
      <c r="F458" s="496">
        <v>1001010002</v>
      </c>
      <c r="G458" s="496" t="s">
        <v>2442</v>
      </c>
    </row>
    <row r="459" spans="1:7">
      <c r="A459" s="496" t="s">
        <v>2623</v>
      </c>
      <c r="B459" s="496">
        <v>3400004607</v>
      </c>
      <c r="C459" s="496" t="s">
        <v>1293</v>
      </c>
      <c r="D459" s="497">
        <v>44521</v>
      </c>
      <c r="E459" s="498">
        <v>124604</v>
      </c>
      <c r="F459" s="496">
        <v>1001010004</v>
      </c>
      <c r="G459" s="496" t="s">
        <v>2442</v>
      </c>
    </row>
    <row r="460" spans="1:7">
      <c r="A460" s="496" t="s">
        <v>2624</v>
      </c>
      <c r="B460" s="496">
        <v>3400004608</v>
      </c>
      <c r="C460" s="496" t="s">
        <v>1293</v>
      </c>
      <c r="D460" s="497">
        <v>44521</v>
      </c>
      <c r="E460" s="498">
        <v>24160</v>
      </c>
      <c r="F460" s="496">
        <v>1001010008</v>
      </c>
      <c r="G460" s="496" t="s">
        <v>2442</v>
      </c>
    </row>
    <row r="461" spans="1:7">
      <c r="A461" s="496" t="s">
        <v>2625</v>
      </c>
      <c r="B461" s="496">
        <v>3400004609</v>
      </c>
      <c r="C461" s="496" t="s">
        <v>1293</v>
      </c>
      <c r="D461" s="497">
        <v>44521</v>
      </c>
      <c r="E461" s="498">
        <v>43116</v>
      </c>
      <c r="F461" s="496">
        <v>1001010009</v>
      </c>
      <c r="G461" s="496" t="s">
        <v>2571</v>
      </c>
    </row>
    <row r="462" spans="1:7">
      <c r="A462" s="496" t="s">
        <v>2626</v>
      </c>
      <c r="B462" s="496">
        <v>3400004614</v>
      </c>
      <c r="C462" s="496" t="s">
        <v>1293</v>
      </c>
      <c r="D462" s="497">
        <v>44521</v>
      </c>
      <c r="E462" s="498">
        <v>23655</v>
      </c>
      <c r="F462" s="496">
        <v>1001010001</v>
      </c>
      <c r="G462" s="496" t="s">
        <v>2442</v>
      </c>
    </row>
    <row r="463" spans="1:7">
      <c r="A463" s="496" t="s">
        <v>2627</v>
      </c>
      <c r="B463" s="496">
        <v>3400004615</v>
      </c>
      <c r="C463" s="496" t="s">
        <v>1293</v>
      </c>
      <c r="D463" s="497">
        <v>44521</v>
      </c>
      <c r="E463" s="498">
        <v>52104</v>
      </c>
      <c r="F463" s="496">
        <v>1001010016</v>
      </c>
      <c r="G463" s="496" t="s">
        <v>2571</v>
      </c>
    </row>
    <row r="464" spans="1:7">
      <c r="A464" s="496" t="s">
        <v>2628</v>
      </c>
      <c r="B464" s="496">
        <v>3400004616</v>
      </c>
      <c r="C464" s="496" t="s">
        <v>1293</v>
      </c>
      <c r="D464" s="497">
        <v>44521</v>
      </c>
      <c r="E464" s="498">
        <v>56841</v>
      </c>
      <c r="F464" s="496">
        <v>1001010007</v>
      </c>
      <c r="G464" s="496" t="s">
        <v>2571</v>
      </c>
    </row>
    <row r="465" spans="1:7">
      <c r="A465" s="496" t="s">
        <v>2626</v>
      </c>
      <c r="B465" s="496">
        <v>3400004618</v>
      </c>
      <c r="C465" s="496" t="s">
        <v>1293</v>
      </c>
      <c r="D465" s="497">
        <v>44521</v>
      </c>
      <c r="E465" s="498">
        <v>25065</v>
      </c>
      <c r="F465" s="496">
        <v>1001010001</v>
      </c>
      <c r="G465" s="496" t="s">
        <v>2442</v>
      </c>
    </row>
    <row r="466" spans="1:7">
      <c r="A466" s="496" t="s">
        <v>2453</v>
      </c>
      <c r="B466" s="496">
        <v>3400005095</v>
      </c>
      <c r="C466" s="496" t="s">
        <v>1293</v>
      </c>
      <c r="D466" s="497">
        <v>44551</v>
      </c>
      <c r="E466" s="498">
        <v>30884</v>
      </c>
      <c r="F466" s="496">
        <v>1002020003</v>
      </c>
      <c r="G466" s="496" t="s">
        <v>2442</v>
      </c>
    </row>
    <row r="467" spans="1:7">
      <c r="A467" s="496" t="s">
        <v>2453</v>
      </c>
      <c r="B467" s="496">
        <v>3400005095</v>
      </c>
      <c r="C467" s="496" t="s">
        <v>1293</v>
      </c>
      <c r="D467" s="497">
        <v>44551</v>
      </c>
      <c r="E467" s="498">
        <v>30884</v>
      </c>
      <c r="F467" s="496">
        <v>1002030099</v>
      </c>
      <c r="G467" s="496" t="s">
        <v>2442</v>
      </c>
    </row>
    <row r="468" spans="1:7">
      <c r="A468" s="496" t="s">
        <v>2453</v>
      </c>
      <c r="B468" s="496">
        <v>3400005095</v>
      </c>
      <c r="C468" s="496" t="s">
        <v>1293</v>
      </c>
      <c r="D468" s="497">
        <v>44551</v>
      </c>
      <c r="E468" s="498">
        <v>30884</v>
      </c>
      <c r="F468" s="496">
        <v>1002020002</v>
      </c>
      <c r="G468" s="496" t="s">
        <v>2442</v>
      </c>
    </row>
    <row r="469" spans="1:7">
      <c r="A469" s="496" t="s">
        <v>2453</v>
      </c>
      <c r="B469" s="496">
        <v>3400005095</v>
      </c>
      <c r="C469" s="496" t="s">
        <v>1293</v>
      </c>
      <c r="D469" s="497">
        <v>44551</v>
      </c>
      <c r="E469" s="498">
        <v>30890</v>
      </c>
      <c r="F469" s="496">
        <v>1005010099</v>
      </c>
      <c r="G469" s="496" t="s">
        <v>2442</v>
      </c>
    </row>
    <row r="470" spans="1:7">
      <c r="A470" s="496" t="s">
        <v>2629</v>
      </c>
      <c r="B470" s="496">
        <v>3400005096</v>
      </c>
      <c r="C470" s="496" t="s">
        <v>1293</v>
      </c>
      <c r="D470" s="497">
        <v>44551</v>
      </c>
      <c r="E470" s="498">
        <v>56104</v>
      </c>
      <c r="F470" s="496">
        <v>1001010016</v>
      </c>
      <c r="G470" s="496" t="s">
        <v>2571</v>
      </c>
    </row>
    <row r="471" spans="1:7">
      <c r="A471" s="496" t="s">
        <v>2630</v>
      </c>
      <c r="B471" s="496">
        <v>3400005099</v>
      </c>
      <c r="C471" s="496" t="s">
        <v>1293</v>
      </c>
      <c r="D471" s="497">
        <v>44551</v>
      </c>
      <c r="E471" s="498">
        <v>23655</v>
      </c>
      <c r="F471" s="496">
        <v>1002020003</v>
      </c>
      <c r="G471" s="496" t="s">
        <v>2442</v>
      </c>
    </row>
    <row r="472" spans="1:7">
      <c r="A472" s="496" t="s">
        <v>2631</v>
      </c>
      <c r="B472" s="496">
        <v>3400005100</v>
      </c>
      <c r="C472" s="496" t="s">
        <v>1293</v>
      </c>
      <c r="D472" s="497">
        <v>44551</v>
      </c>
      <c r="E472" s="498">
        <v>37663</v>
      </c>
      <c r="F472" s="496">
        <v>1001010009</v>
      </c>
      <c r="G472" s="496" t="s">
        <v>2571</v>
      </c>
    </row>
    <row r="473" spans="1:7">
      <c r="A473" s="496" t="s">
        <v>2632</v>
      </c>
      <c r="B473" s="496">
        <v>3400005101</v>
      </c>
      <c r="C473" s="496" t="s">
        <v>1293</v>
      </c>
      <c r="D473" s="497">
        <v>44551</v>
      </c>
      <c r="E473" s="498">
        <v>56841</v>
      </c>
      <c r="F473" s="496">
        <v>1001010007</v>
      </c>
      <c r="G473" s="496" t="s">
        <v>2571</v>
      </c>
    </row>
    <row r="474" spans="1:7">
      <c r="A474" s="496" t="s">
        <v>2633</v>
      </c>
      <c r="B474" s="496">
        <v>3400005106</v>
      </c>
      <c r="C474" s="496" t="s">
        <v>1293</v>
      </c>
      <c r="D474" s="497">
        <v>44551</v>
      </c>
      <c r="E474" s="498">
        <v>113682</v>
      </c>
      <c r="F474" s="496">
        <v>1001010001</v>
      </c>
      <c r="G474" s="496" t="s">
        <v>2571</v>
      </c>
    </row>
    <row r="475" spans="1:7">
      <c r="A475" s="496" t="s">
        <v>2634</v>
      </c>
      <c r="B475" s="496">
        <v>3400005108</v>
      </c>
      <c r="C475" s="496" t="s">
        <v>1293</v>
      </c>
      <c r="D475" s="497">
        <v>44551</v>
      </c>
      <c r="E475" s="498">
        <v>24160</v>
      </c>
      <c r="F475" s="496">
        <v>1001010008</v>
      </c>
      <c r="G475" s="496" t="s">
        <v>2442</v>
      </c>
    </row>
    <row r="476" spans="1:7">
      <c r="A476" s="496" t="s">
        <v>2635</v>
      </c>
      <c r="B476" s="496">
        <v>3400005109</v>
      </c>
      <c r="C476" s="496" t="s">
        <v>1293</v>
      </c>
      <c r="D476" s="497">
        <v>44551</v>
      </c>
      <c r="E476" s="498">
        <v>61638</v>
      </c>
      <c r="F476" s="496">
        <v>1001010006</v>
      </c>
      <c r="G476" s="496" t="s">
        <v>2599</v>
      </c>
    </row>
    <row r="477" spans="1:7">
      <c r="A477" s="496" t="s">
        <v>2636</v>
      </c>
      <c r="B477" s="496">
        <v>3400005111</v>
      </c>
      <c r="C477" s="496" t="s">
        <v>1293</v>
      </c>
      <c r="D477" s="497">
        <v>44551</v>
      </c>
      <c r="E477" s="498">
        <v>95010</v>
      </c>
      <c r="F477" s="496">
        <v>1001010004</v>
      </c>
      <c r="G477" s="496" t="s">
        <v>2442</v>
      </c>
    </row>
    <row r="478" spans="1:7">
      <c r="A478" s="496" t="s">
        <v>2637</v>
      </c>
      <c r="B478" s="496">
        <v>3400005112</v>
      </c>
      <c r="C478" s="496" t="s">
        <v>1293</v>
      </c>
      <c r="D478" s="497">
        <v>44551</v>
      </c>
      <c r="E478" s="498">
        <v>118632</v>
      </c>
      <c r="F478" s="496">
        <v>1001010004</v>
      </c>
      <c r="G478" s="496" t="s">
        <v>2442</v>
      </c>
    </row>
    <row r="479" spans="1:7">
      <c r="A479" s="496" t="s">
        <v>2638</v>
      </c>
      <c r="B479" s="496">
        <v>3400005113</v>
      </c>
      <c r="C479" s="496" t="s">
        <v>1293</v>
      </c>
      <c r="D479" s="497">
        <v>44551</v>
      </c>
      <c r="E479" s="498">
        <v>86233</v>
      </c>
      <c r="F479" s="496">
        <v>1001010002</v>
      </c>
      <c r="G479" s="496" t="s">
        <v>2442</v>
      </c>
    </row>
    <row r="480" spans="1:7">
      <c r="A480" s="496" t="s">
        <v>2639</v>
      </c>
      <c r="B480" s="496">
        <v>3400005114</v>
      </c>
      <c r="C480" s="496" t="s">
        <v>1293</v>
      </c>
      <c r="D480" s="497">
        <v>44551</v>
      </c>
      <c r="E480" s="498">
        <v>62138</v>
      </c>
      <c r="F480" s="496">
        <v>1001010005</v>
      </c>
      <c r="G480" s="496" t="s">
        <v>2599</v>
      </c>
    </row>
    <row r="481" spans="1:7">
      <c r="A481" s="496" t="s">
        <v>2640</v>
      </c>
      <c r="B481" s="496">
        <v>3400005116</v>
      </c>
      <c r="C481" s="496" t="s">
        <v>1293</v>
      </c>
      <c r="D481" s="497">
        <v>44551</v>
      </c>
      <c r="E481" s="498">
        <v>24160</v>
      </c>
      <c r="F481" s="496">
        <v>1001010013</v>
      </c>
      <c r="G481" s="496" t="s">
        <v>2442</v>
      </c>
    </row>
    <row r="482" spans="1:7">
      <c r="A482" s="496" t="s">
        <v>2641</v>
      </c>
      <c r="B482" s="496">
        <v>3400005117</v>
      </c>
      <c r="C482" s="496" t="s">
        <v>1293</v>
      </c>
      <c r="D482" s="497">
        <v>44551</v>
      </c>
      <c r="E482" s="498">
        <v>66465</v>
      </c>
      <c r="F482" s="496">
        <v>1001010003</v>
      </c>
      <c r="G482" s="496" t="s">
        <v>2442</v>
      </c>
    </row>
    <row r="483" spans="1:7">
      <c r="A483" s="496" t="s">
        <v>2642</v>
      </c>
      <c r="B483" s="496">
        <v>3400005120</v>
      </c>
      <c r="C483" s="496" t="s">
        <v>1293</v>
      </c>
      <c r="D483" s="497">
        <v>44551</v>
      </c>
      <c r="E483" s="498">
        <v>40792</v>
      </c>
      <c r="F483" s="496">
        <v>1001010002</v>
      </c>
      <c r="G483" s="496" t="s">
        <v>2442</v>
      </c>
    </row>
    <row r="484" spans="1:7">
      <c r="A484" s="496" t="s">
        <v>2643</v>
      </c>
      <c r="B484" s="496">
        <v>3400005122</v>
      </c>
      <c r="C484" s="496" t="s">
        <v>1293</v>
      </c>
      <c r="D484" s="497">
        <v>44551</v>
      </c>
      <c r="E484" s="498">
        <v>25065</v>
      </c>
      <c r="F484" s="496">
        <v>1001010001</v>
      </c>
      <c r="G484" s="496" t="s">
        <v>2442</v>
      </c>
    </row>
    <row r="485" spans="1:7">
      <c r="A485" s="496" t="s">
        <v>2644</v>
      </c>
      <c r="B485" s="496">
        <v>3400005123</v>
      </c>
      <c r="C485" s="496" t="s">
        <v>1293</v>
      </c>
      <c r="D485" s="497">
        <v>44551</v>
      </c>
      <c r="E485" s="498">
        <v>23655</v>
      </c>
      <c r="F485" s="496">
        <v>1002020003</v>
      </c>
      <c r="G485" s="496" t="s">
        <v>2579</v>
      </c>
    </row>
    <row r="486" spans="1:7">
      <c r="A486" s="496" t="s">
        <v>2645</v>
      </c>
      <c r="B486" s="496">
        <v>3400005127</v>
      </c>
      <c r="C486" s="496" t="s">
        <v>1293</v>
      </c>
      <c r="D486" s="497">
        <v>44551</v>
      </c>
      <c r="E486" s="498">
        <v>113682</v>
      </c>
      <c r="F486" s="496">
        <v>1001010006</v>
      </c>
      <c r="G486" s="496" t="s">
        <v>2442</v>
      </c>
    </row>
    <row r="487" spans="1:7">
      <c r="A487" s="496" t="s">
        <v>2457</v>
      </c>
      <c r="B487" s="496">
        <v>3900000138</v>
      </c>
      <c r="C487" s="496" t="s">
        <v>2455</v>
      </c>
      <c r="D487" s="497">
        <v>44222</v>
      </c>
      <c r="E487" s="498">
        <v>-22988</v>
      </c>
      <c r="F487" s="496">
        <v>1001010001</v>
      </c>
      <c r="G487" s="496" t="s">
        <v>2416</v>
      </c>
    </row>
    <row r="488" spans="1:7">
      <c r="A488" s="496" t="s">
        <v>2457</v>
      </c>
      <c r="B488" s="496">
        <v>3900000138</v>
      </c>
      <c r="C488" s="496" t="s">
        <v>2455</v>
      </c>
      <c r="D488" s="497">
        <v>44222</v>
      </c>
      <c r="E488" s="498">
        <v>-1410</v>
      </c>
      <c r="F488" s="496">
        <v>1001010001</v>
      </c>
      <c r="G488" s="496" t="s">
        <v>2416</v>
      </c>
    </row>
    <row r="489" spans="1:7">
      <c r="A489" s="496" t="s">
        <v>2293</v>
      </c>
      <c r="B489" s="496">
        <v>3900000140</v>
      </c>
      <c r="C489" s="496" t="s">
        <v>2455</v>
      </c>
      <c r="D489" s="497">
        <v>44222</v>
      </c>
      <c r="E489" s="498">
        <v>-50636</v>
      </c>
      <c r="F489" s="496">
        <v>1001010016</v>
      </c>
      <c r="G489" s="496" t="s">
        <v>2458</v>
      </c>
    </row>
    <row r="490" spans="1:7">
      <c r="A490" s="496" t="s">
        <v>2459</v>
      </c>
      <c r="B490" s="496">
        <v>3900000141</v>
      </c>
      <c r="C490" s="496" t="s">
        <v>2455</v>
      </c>
      <c r="D490" s="497">
        <v>44222</v>
      </c>
      <c r="E490" s="498">
        <v>-22988</v>
      </c>
      <c r="F490" s="496">
        <v>1002020003</v>
      </c>
      <c r="G490" s="496" t="s">
        <v>2460</v>
      </c>
    </row>
    <row r="491" spans="1:7">
      <c r="A491" s="496" t="s">
        <v>2303</v>
      </c>
      <c r="B491" s="496">
        <v>3900000147</v>
      </c>
      <c r="C491" s="496" t="s">
        <v>2455</v>
      </c>
      <c r="D491" s="497">
        <v>44224</v>
      </c>
      <c r="E491" s="498">
        <v>-53420</v>
      </c>
      <c r="F491" s="496">
        <v>1002020003</v>
      </c>
      <c r="G491" s="496" t="s">
        <v>2416</v>
      </c>
    </row>
    <row r="492" spans="1:7">
      <c r="A492" s="496" t="s">
        <v>2303</v>
      </c>
      <c r="B492" s="496">
        <v>3900000147</v>
      </c>
      <c r="C492" s="496" t="s">
        <v>2455</v>
      </c>
      <c r="D492" s="497">
        <v>44224</v>
      </c>
      <c r="E492" s="498">
        <v>-53422</v>
      </c>
      <c r="F492" s="496">
        <v>1002030099</v>
      </c>
      <c r="G492" s="496" t="s">
        <v>2416</v>
      </c>
    </row>
    <row r="493" spans="1:7">
      <c r="A493" s="496" t="s">
        <v>2303</v>
      </c>
      <c r="B493" s="496">
        <v>3900000147</v>
      </c>
      <c r="C493" s="496" t="s">
        <v>2455</v>
      </c>
      <c r="D493" s="497">
        <v>44224</v>
      </c>
      <c r="E493" s="498">
        <v>-53422</v>
      </c>
      <c r="F493" s="496">
        <v>1002020002</v>
      </c>
      <c r="G493" s="496" t="s">
        <v>2416</v>
      </c>
    </row>
    <row r="494" spans="1:7">
      <c r="A494" s="496" t="s">
        <v>2472</v>
      </c>
      <c r="B494" s="496">
        <v>3900000268</v>
      </c>
      <c r="C494" s="496" t="s">
        <v>2455</v>
      </c>
      <c r="D494" s="497">
        <v>44252</v>
      </c>
      <c r="E494" s="498">
        <v>-39612</v>
      </c>
      <c r="F494" s="496">
        <v>1001010002</v>
      </c>
      <c r="G494" s="496" t="s">
        <v>2416</v>
      </c>
    </row>
    <row r="495" spans="1:7">
      <c r="A495" s="496" t="s">
        <v>2440</v>
      </c>
      <c r="B495" s="496">
        <v>3900000748</v>
      </c>
      <c r="C495" s="496" t="s">
        <v>2455</v>
      </c>
      <c r="D495" s="497">
        <v>44405</v>
      </c>
      <c r="E495" s="498">
        <v>-32571</v>
      </c>
      <c r="F495" s="496">
        <v>1004010001</v>
      </c>
      <c r="G495" s="496" t="s">
        <v>2433</v>
      </c>
    </row>
    <row r="496" spans="1:7">
      <c r="A496" s="496" t="s">
        <v>2440</v>
      </c>
      <c r="B496" s="496">
        <v>3900000748</v>
      </c>
      <c r="C496" s="496" t="s">
        <v>2455</v>
      </c>
      <c r="D496" s="497">
        <v>44405</v>
      </c>
      <c r="E496" s="498">
        <v>-32571</v>
      </c>
      <c r="F496" s="496">
        <v>1002020003</v>
      </c>
      <c r="G496" s="496" t="s">
        <v>2433</v>
      </c>
    </row>
    <row r="497" spans="1:7">
      <c r="A497" s="496" t="s">
        <v>2440</v>
      </c>
      <c r="B497" s="496">
        <v>3900000748</v>
      </c>
      <c r="C497" s="496" t="s">
        <v>2455</v>
      </c>
      <c r="D497" s="497">
        <v>44405</v>
      </c>
      <c r="E497" s="498">
        <v>-32571</v>
      </c>
      <c r="F497" s="496">
        <v>1002030099</v>
      </c>
      <c r="G497" s="496" t="s">
        <v>2433</v>
      </c>
    </row>
    <row r="498" spans="1:7">
      <c r="A498" s="496" t="s">
        <v>2440</v>
      </c>
      <c r="B498" s="496">
        <v>3900000748</v>
      </c>
      <c r="C498" s="496" t="s">
        <v>2455</v>
      </c>
      <c r="D498" s="497">
        <v>44405</v>
      </c>
      <c r="E498" s="498">
        <v>-32586</v>
      </c>
      <c r="F498" s="496">
        <v>1002020002</v>
      </c>
      <c r="G498" s="496" t="s">
        <v>2433</v>
      </c>
    </row>
    <row r="499" spans="1:7">
      <c r="A499" s="496" t="s">
        <v>2550</v>
      </c>
      <c r="B499" s="496">
        <v>3900000748</v>
      </c>
      <c r="C499" s="496" t="s">
        <v>2455</v>
      </c>
      <c r="D499" s="497">
        <v>44405</v>
      </c>
      <c r="E499" s="498">
        <v>-32571</v>
      </c>
      <c r="F499" s="496">
        <v>1005010099</v>
      </c>
      <c r="G499" s="496" t="s">
        <v>2433</v>
      </c>
    </row>
    <row r="500" spans="1:7">
      <c r="A500" s="496" t="s">
        <v>2552</v>
      </c>
      <c r="B500" s="496">
        <v>3900000749</v>
      </c>
      <c r="C500" s="496" t="s">
        <v>2455</v>
      </c>
      <c r="D500" s="497">
        <v>44405</v>
      </c>
      <c r="E500" s="498">
        <v>-10041</v>
      </c>
      <c r="F500" s="496">
        <v>1001010008</v>
      </c>
      <c r="G500" s="496" t="s">
        <v>2416</v>
      </c>
    </row>
    <row r="501" spans="1:7">
      <c r="A501" s="496" t="s">
        <v>2626</v>
      </c>
      <c r="B501" s="496">
        <v>3900001174</v>
      </c>
      <c r="C501" s="496" t="s">
        <v>2455</v>
      </c>
      <c r="D501" s="497">
        <v>44521</v>
      </c>
      <c r="E501" s="498">
        <v>-23655</v>
      </c>
      <c r="F501" s="496">
        <v>1001010001</v>
      </c>
      <c r="G501" s="496" t="s">
        <v>2442</v>
      </c>
    </row>
    <row r="502" spans="1:7">
      <c r="A502" s="496">
        <v>4700530962</v>
      </c>
      <c r="B502" s="496">
        <v>6100008890</v>
      </c>
      <c r="C502" s="496" t="s">
        <v>631</v>
      </c>
      <c r="D502" s="497">
        <v>44218</v>
      </c>
      <c r="E502" s="498">
        <v>56478</v>
      </c>
      <c r="F502" s="496">
        <v>1001010010</v>
      </c>
      <c r="G502" s="496" t="s">
        <v>633</v>
      </c>
    </row>
    <row r="503" spans="1:7">
      <c r="A503" s="496">
        <v>4700546903</v>
      </c>
      <c r="B503" s="496">
        <v>6100019805</v>
      </c>
      <c r="C503" s="496" t="s">
        <v>631</v>
      </c>
      <c r="D503" s="497">
        <v>44249</v>
      </c>
      <c r="E503" s="498">
        <v>56479</v>
      </c>
      <c r="F503" s="496">
        <v>1001010010</v>
      </c>
      <c r="G503" s="496" t="s">
        <v>633</v>
      </c>
    </row>
    <row r="504" spans="1:7">
      <c r="A504" s="496">
        <v>4700560686</v>
      </c>
      <c r="B504" s="496">
        <v>6100026942</v>
      </c>
      <c r="C504" s="496" t="s">
        <v>631</v>
      </c>
      <c r="D504" s="497">
        <v>44276</v>
      </c>
      <c r="E504" s="498">
        <v>56479</v>
      </c>
      <c r="F504" s="496">
        <v>1001010010</v>
      </c>
      <c r="G504" s="496" t="s">
        <v>633</v>
      </c>
    </row>
    <row r="505" spans="1:7">
      <c r="A505" s="496">
        <v>4700573895</v>
      </c>
      <c r="B505" s="496">
        <v>6100033922</v>
      </c>
      <c r="C505" s="496" t="s">
        <v>631</v>
      </c>
      <c r="D505" s="497">
        <v>44310</v>
      </c>
      <c r="E505" s="498">
        <v>56479</v>
      </c>
      <c r="F505" s="496">
        <v>1001010010</v>
      </c>
      <c r="G505" s="496" t="s">
        <v>633</v>
      </c>
    </row>
    <row r="506" spans="1:7">
      <c r="A506" s="496">
        <v>4700585471</v>
      </c>
      <c r="B506" s="496">
        <v>6100040017</v>
      </c>
      <c r="C506" s="496" t="s">
        <v>631</v>
      </c>
      <c r="D506" s="497">
        <v>44340</v>
      </c>
      <c r="E506" s="498">
        <v>56479</v>
      </c>
      <c r="F506" s="496">
        <v>1001010010</v>
      </c>
      <c r="G506" s="496" t="s">
        <v>633</v>
      </c>
    </row>
    <row r="507" spans="1:7">
      <c r="A507" s="496">
        <v>4700597638</v>
      </c>
      <c r="B507" s="496">
        <v>6100045299</v>
      </c>
      <c r="C507" s="496" t="s">
        <v>631</v>
      </c>
      <c r="D507" s="497">
        <v>44372</v>
      </c>
      <c r="E507" s="498">
        <v>56479</v>
      </c>
      <c r="F507" s="496">
        <v>1001010010</v>
      </c>
      <c r="G507" s="496" t="s">
        <v>633</v>
      </c>
    </row>
    <row r="508" spans="1:7">
      <c r="A508" s="496">
        <v>4700615187</v>
      </c>
      <c r="B508" s="496">
        <v>6100050727</v>
      </c>
      <c r="C508" s="496" t="s">
        <v>631</v>
      </c>
      <c r="D508" s="497">
        <v>44403</v>
      </c>
      <c r="E508" s="498">
        <v>56479</v>
      </c>
      <c r="F508" s="496">
        <v>1001010010</v>
      </c>
      <c r="G508" s="496" t="s">
        <v>633</v>
      </c>
    </row>
    <row r="509" spans="1:7">
      <c r="A509" s="496">
        <v>4700631200</v>
      </c>
      <c r="B509" s="496">
        <v>6100055928</v>
      </c>
      <c r="C509" s="496" t="s">
        <v>631</v>
      </c>
      <c r="D509" s="497">
        <v>44431</v>
      </c>
      <c r="E509" s="498">
        <v>56478</v>
      </c>
      <c r="F509" s="496">
        <v>1001010010</v>
      </c>
      <c r="G509" s="496" t="s">
        <v>633</v>
      </c>
    </row>
    <row r="510" spans="1:7">
      <c r="A510" s="496">
        <v>4700646019</v>
      </c>
      <c r="B510" s="496">
        <v>6100064026</v>
      </c>
      <c r="C510" s="496" t="s">
        <v>631</v>
      </c>
      <c r="D510" s="497">
        <v>44462</v>
      </c>
      <c r="E510" s="498">
        <v>56478</v>
      </c>
      <c r="F510" s="496">
        <v>1001010010</v>
      </c>
      <c r="G510" s="496" t="s">
        <v>633</v>
      </c>
    </row>
    <row r="511" spans="1:7">
      <c r="A511" s="496">
        <v>4700659219</v>
      </c>
      <c r="B511" s="496">
        <v>6100073097</v>
      </c>
      <c r="C511" s="496" t="s">
        <v>631</v>
      </c>
      <c r="D511" s="497">
        <v>44490</v>
      </c>
      <c r="E511" s="498">
        <v>56479</v>
      </c>
      <c r="F511" s="496">
        <v>1001010010</v>
      </c>
      <c r="G511" s="496" t="s">
        <v>633</v>
      </c>
    </row>
    <row r="512" spans="1:7">
      <c r="A512" s="496">
        <v>4700676593</v>
      </c>
      <c r="B512" s="496">
        <v>6100086833</v>
      </c>
      <c r="C512" s="496" t="s">
        <v>631</v>
      </c>
      <c r="D512" s="497">
        <v>44525</v>
      </c>
      <c r="E512" s="498">
        <v>58117</v>
      </c>
      <c r="F512" s="496">
        <v>1001010010</v>
      </c>
      <c r="G512" s="496" t="s">
        <v>633</v>
      </c>
    </row>
    <row r="513" spans="1:7">
      <c r="A513" s="496">
        <v>4700690899</v>
      </c>
      <c r="B513" s="496">
        <v>6100096549</v>
      </c>
      <c r="C513" s="496" t="s">
        <v>631</v>
      </c>
      <c r="D513" s="497">
        <v>44550</v>
      </c>
      <c r="E513" s="498">
        <v>58117</v>
      </c>
      <c r="F513" s="496">
        <v>1001010010</v>
      </c>
      <c r="G513" s="496" t="s">
        <v>633</v>
      </c>
    </row>
    <row r="514" spans="1:7">
      <c r="E514" s="545">
        <f>SUM(E8:E513)</f>
        <v>18913758</v>
      </c>
      <c r="F514" s="547" t="s">
        <v>2646</v>
      </c>
    </row>
    <row r="515" spans="1:7">
      <c r="E515" s="552">
        <f>+E514*F515</f>
        <v>2477702.298</v>
      </c>
      <c r="F515" s="548">
        <v>0.13100000000000001</v>
      </c>
      <c r="G515" s="549" t="s">
        <v>149</v>
      </c>
    </row>
    <row r="516" spans="1:7">
      <c r="E516" s="550">
        <f>+E514+E515</f>
        <v>21391460.298</v>
      </c>
      <c r="F516" s="548" t="s">
        <v>397</v>
      </c>
      <c r="G516" s="501"/>
    </row>
    <row r="517" spans="1:7">
      <c r="E517" s="552"/>
      <c r="F517" s="500"/>
      <c r="G517" s="501"/>
    </row>
    <row r="518" spans="1:7">
      <c r="E518" s="550"/>
    </row>
  </sheetData>
  <mergeCells count="5">
    <mergeCell ref="A5:G5"/>
    <mergeCell ref="U8:AB11"/>
    <mergeCell ref="U12:AB13"/>
    <mergeCell ref="U14:AB17"/>
    <mergeCell ref="J6:N6"/>
  </mergeCells>
  <phoneticPr fontId="30" type="noConversion"/>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O77"/>
  <sheetViews>
    <sheetView showGridLines="0" workbookViewId="0">
      <pane ySplit="6" topLeftCell="A85" activePane="bottomLeft" state="frozen"/>
      <selection pane="bottomLeft" activeCell="A89" sqref="A89"/>
    </sheetView>
  </sheetViews>
  <sheetFormatPr baseColWidth="10" defaultRowHeight="15"/>
  <cols>
    <col min="1" max="1" width="20.7109375" style="626" customWidth="1"/>
    <col min="2" max="2" width="51.42578125" style="626" customWidth="1"/>
    <col min="3" max="12" width="14.7109375" style="627" customWidth="1"/>
    <col min="13" max="13" width="45.85546875" style="764" bestFit="1" customWidth="1"/>
    <col min="14" max="16384" width="11.42578125" style="626"/>
  </cols>
  <sheetData>
    <row r="2" spans="1:13">
      <c r="D2" s="628" t="s">
        <v>436</v>
      </c>
      <c r="E2" s="629"/>
      <c r="F2" s="629"/>
      <c r="G2" s="629"/>
      <c r="H2" s="629"/>
      <c r="I2" s="629"/>
      <c r="J2" s="629"/>
      <c r="K2" s="629"/>
      <c r="L2" s="629"/>
    </row>
    <row r="3" spans="1:13">
      <c r="D3" s="630">
        <v>2025</v>
      </c>
      <c r="E3" s="630">
        <v>2026</v>
      </c>
      <c r="F3" s="630">
        <v>2027</v>
      </c>
      <c r="G3" s="630">
        <v>2028</v>
      </c>
      <c r="H3" s="630">
        <v>2029</v>
      </c>
      <c r="I3" s="630">
        <v>2030</v>
      </c>
      <c r="J3" s="630">
        <v>2031</v>
      </c>
      <c r="K3" s="630">
        <v>2032</v>
      </c>
      <c r="L3" s="630">
        <v>2033</v>
      </c>
    </row>
    <row r="4" spans="1:13" ht="20.100000000000001" customHeight="1">
      <c r="A4" s="624"/>
      <c r="D4" s="631">
        <f>+'IPC - CAFÉ'!E24</f>
        <v>0.06</v>
      </c>
      <c r="E4" s="631">
        <f>+'IPC - CAFÉ'!F24</f>
        <v>4.5975144331782153E-2</v>
      </c>
      <c r="F4" s="631">
        <f>+'IPC - CAFÉ'!G24</f>
        <v>4.7225144331782154E-2</v>
      </c>
      <c r="G4" s="631">
        <f>+'IPC - CAFÉ'!H24</f>
        <v>4.8475144331782155E-2</v>
      </c>
      <c r="H4" s="631">
        <f>+'IPC - CAFÉ'!I24</f>
        <v>4.9725144331782156E-2</v>
      </c>
      <c r="I4" s="631">
        <f>+'IPC - CAFÉ'!J24</f>
        <v>5.0975144331782157E-2</v>
      </c>
      <c r="J4" s="631">
        <f>+'IPC - CAFÉ'!K24</f>
        <v>5.2225144331782158E-2</v>
      </c>
      <c r="K4" s="631">
        <f>+'IPC - CAFÉ'!L24</f>
        <v>5.347514433178216E-2</v>
      </c>
      <c r="L4" s="631">
        <f>+'IPC - CAFÉ'!M24</f>
        <v>5.4725144331782161E-2</v>
      </c>
    </row>
    <row r="5" spans="1:13" ht="16.149999999999999" customHeight="1"/>
    <row r="6" spans="1:13">
      <c r="A6" s="759" t="s">
        <v>1243</v>
      </c>
      <c r="B6" s="759" t="s">
        <v>505</v>
      </c>
      <c r="C6" s="760" t="s">
        <v>226</v>
      </c>
      <c r="D6" s="760" t="s">
        <v>227</v>
      </c>
      <c r="E6" s="760" t="s">
        <v>228</v>
      </c>
      <c r="F6" s="760" t="s">
        <v>229</v>
      </c>
      <c r="G6" s="760" t="s">
        <v>230</v>
      </c>
      <c r="H6" s="760" t="s">
        <v>231</v>
      </c>
      <c r="I6" s="760" t="s">
        <v>232</v>
      </c>
      <c r="J6" s="760" t="s">
        <v>233</v>
      </c>
      <c r="K6" s="760" t="s">
        <v>3010</v>
      </c>
      <c r="L6" s="760" t="s">
        <v>3011</v>
      </c>
      <c r="M6" s="767"/>
    </row>
    <row r="7" spans="1:13">
      <c r="A7" s="997" t="s">
        <v>1245</v>
      </c>
      <c r="B7" s="633"/>
      <c r="C7" s="634">
        <v>0</v>
      </c>
      <c r="D7" s="634">
        <v>0</v>
      </c>
      <c r="E7" s="634">
        <v>0</v>
      </c>
      <c r="F7" s="634">
        <v>0</v>
      </c>
      <c r="G7" s="634">
        <v>0</v>
      </c>
      <c r="H7" s="634">
        <v>0</v>
      </c>
      <c r="I7" s="634">
        <v>0</v>
      </c>
      <c r="J7" s="634">
        <v>0</v>
      </c>
      <c r="K7" s="634">
        <v>0</v>
      </c>
      <c r="L7" s="634">
        <v>0</v>
      </c>
      <c r="M7" s="767" t="s">
        <v>2922</v>
      </c>
    </row>
    <row r="8" spans="1:13">
      <c r="A8" s="997"/>
      <c r="B8" s="633"/>
      <c r="C8" s="634">
        <v>0</v>
      </c>
      <c r="D8" s="634">
        <v>0</v>
      </c>
      <c r="E8" s="634">
        <v>0</v>
      </c>
      <c r="F8" s="634">
        <v>0</v>
      </c>
      <c r="G8" s="634">
        <v>0</v>
      </c>
      <c r="H8" s="634">
        <v>0</v>
      </c>
      <c r="I8" s="634">
        <v>0</v>
      </c>
      <c r="J8" s="634">
        <v>0</v>
      </c>
      <c r="K8" s="634">
        <v>0</v>
      </c>
      <c r="L8" s="634">
        <v>0</v>
      </c>
      <c r="M8" s="767"/>
    </row>
    <row r="9" spans="1:13">
      <c r="A9" s="997"/>
      <c r="B9" s="633"/>
      <c r="C9" s="634">
        <v>0</v>
      </c>
      <c r="D9" s="634">
        <v>0</v>
      </c>
      <c r="E9" s="634">
        <v>0</v>
      </c>
      <c r="F9" s="634">
        <v>0</v>
      </c>
      <c r="G9" s="634">
        <v>0</v>
      </c>
      <c r="H9" s="634">
        <v>0</v>
      </c>
      <c r="I9" s="634">
        <v>0</v>
      </c>
      <c r="J9" s="634">
        <v>0</v>
      </c>
      <c r="K9" s="634">
        <v>0</v>
      </c>
      <c r="L9" s="634">
        <v>0</v>
      </c>
      <c r="M9" s="767"/>
    </row>
    <row r="10" spans="1:13">
      <c r="A10" s="997"/>
      <c r="B10" s="761" t="s">
        <v>396</v>
      </c>
      <c r="C10" s="762">
        <f>SUM(C7:C9)</f>
        <v>0</v>
      </c>
      <c r="D10" s="762">
        <f>SUM(D7:D9)</f>
        <v>0</v>
      </c>
      <c r="E10" s="762">
        <f>SUM(E7:E9)</f>
        <v>0</v>
      </c>
      <c r="F10" s="762">
        <f>SUM(F7:F9)</f>
        <v>0</v>
      </c>
      <c r="G10" s="762">
        <f>SUM(G7:G9)</f>
        <v>0</v>
      </c>
      <c r="H10" s="762">
        <f t="shared" ref="H10:L10" si="0">SUM(H7:H9)</f>
        <v>0</v>
      </c>
      <c r="I10" s="762">
        <f t="shared" si="0"/>
        <v>0</v>
      </c>
      <c r="J10" s="762">
        <f t="shared" si="0"/>
        <v>0</v>
      </c>
      <c r="K10" s="762">
        <f t="shared" si="0"/>
        <v>0</v>
      </c>
      <c r="L10" s="762">
        <f t="shared" si="0"/>
        <v>0</v>
      </c>
      <c r="M10" s="767"/>
    </row>
    <row r="11" spans="1:13">
      <c r="A11" s="997" t="s">
        <v>1250</v>
      </c>
      <c r="B11" s="633"/>
      <c r="C11" s="634">
        <v>0</v>
      </c>
      <c r="D11" s="634">
        <v>0</v>
      </c>
      <c r="E11" s="634">
        <v>0</v>
      </c>
      <c r="F11" s="634">
        <v>0</v>
      </c>
      <c r="G11" s="634">
        <v>0</v>
      </c>
      <c r="H11" s="634">
        <v>0</v>
      </c>
      <c r="I11" s="634">
        <v>0</v>
      </c>
      <c r="J11" s="634">
        <v>0</v>
      </c>
      <c r="K11" s="634">
        <v>0</v>
      </c>
      <c r="L11" s="634">
        <v>0</v>
      </c>
      <c r="M11" s="767" t="s">
        <v>2923</v>
      </c>
    </row>
    <row r="12" spans="1:13">
      <c r="A12" s="997"/>
      <c r="B12" s="633"/>
      <c r="C12" s="634">
        <v>0</v>
      </c>
      <c r="D12" s="634">
        <v>0</v>
      </c>
      <c r="E12" s="634">
        <v>0</v>
      </c>
      <c r="F12" s="634">
        <v>0</v>
      </c>
      <c r="G12" s="634">
        <v>0</v>
      </c>
      <c r="H12" s="634">
        <v>0</v>
      </c>
      <c r="I12" s="634">
        <v>0</v>
      </c>
      <c r="J12" s="634">
        <v>0</v>
      </c>
      <c r="K12" s="634">
        <v>0</v>
      </c>
      <c r="L12" s="634">
        <v>0</v>
      </c>
      <c r="M12" s="767"/>
    </row>
    <row r="13" spans="1:13">
      <c r="A13" s="997"/>
      <c r="B13" s="633"/>
      <c r="C13" s="634">
        <v>0</v>
      </c>
      <c r="D13" s="634">
        <v>0</v>
      </c>
      <c r="E13" s="634">
        <v>0</v>
      </c>
      <c r="F13" s="634">
        <v>0</v>
      </c>
      <c r="G13" s="634">
        <v>0</v>
      </c>
      <c r="H13" s="634">
        <v>0</v>
      </c>
      <c r="I13" s="634">
        <v>0</v>
      </c>
      <c r="J13" s="634">
        <v>0</v>
      </c>
      <c r="K13" s="634">
        <v>0</v>
      </c>
      <c r="L13" s="634">
        <v>0</v>
      </c>
      <c r="M13" s="767"/>
    </row>
    <row r="14" spans="1:13">
      <c r="A14" s="997"/>
      <c r="B14" s="761" t="s">
        <v>396</v>
      </c>
      <c r="C14" s="762">
        <f>SUM(C11:C13)</f>
        <v>0</v>
      </c>
      <c r="D14" s="762">
        <f>SUM(D11:D13)</f>
        <v>0</v>
      </c>
      <c r="E14" s="762">
        <f>SUM(E11:E13)</f>
        <v>0</v>
      </c>
      <c r="F14" s="762">
        <f>SUM(F11:F13)</f>
        <v>0</v>
      </c>
      <c r="G14" s="762">
        <f>SUM(G11:G13)</f>
        <v>0</v>
      </c>
      <c r="H14" s="762">
        <f t="shared" ref="H14:L14" si="1">SUM(H11:H13)</f>
        <v>0</v>
      </c>
      <c r="I14" s="762">
        <f t="shared" si="1"/>
        <v>0</v>
      </c>
      <c r="J14" s="762">
        <f t="shared" si="1"/>
        <v>0</v>
      </c>
      <c r="K14" s="762">
        <f t="shared" si="1"/>
        <v>0</v>
      </c>
      <c r="L14" s="762">
        <f t="shared" si="1"/>
        <v>0</v>
      </c>
      <c r="M14" s="767"/>
    </row>
    <row r="15" spans="1:13">
      <c r="A15" s="997" t="s">
        <v>1253</v>
      </c>
      <c r="B15" s="633"/>
      <c r="C15" s="634">
        <v>0</v>
      </c>
      <c r="D15" s="634">
        <v>0</v>
      </c>
      <c r="E15" s="634">
        <v>0</v>
      </c>
      <c r="F15" s="634">
        <v>0</v>
      </c>
      <c r="G15" s="634">
        <v>0</v>
      </c>
      <c r="H15" s="634">
        <v>0</v>
      </c>
      <c r="I15" s="634">
        <v>0</v>
      </c>
      <c r="J15" s="634">
        <v>0</v>
      </c>
      <c r="K15" s="634">
        <v>0</v>
      </c>
      <c r="L15" s="634">
        <v>0</v>
      </c>
      <c r="M15" s="767" t="s">
        <v>2923</v>
      </c>
    </row>
    <row r="16" spans="1:13">
      <c r="A16" s="997"/>
      <c r="B16" s="633"/>
      <c r="C16" s="634">
        <v>0</v>
      </c>
      <c r="D16" s="634">
        <v>0</v>
      </c>
      <c r="E16" s="634">
        <v>0</v>
      </c>
      <c r="F16" s="634">
        <v>0</v>
      </c>
      <c r="G16" s="634">
        <v>0</v>
      </c>
      <c r="H16" s="634">
        <v>0</v>
      </c>
      <c r="I16" s="634">
        <v>0</v>
      </c>
      <c r="J16" s="634">
        <v>0</v>
      </c>
      <c r="K16" s="634">
        <v>0</v>
      </c>
      <c r="L16" s="634">
        <v>0</v>
      </c>
      <c r="M16" s="767"/>
    </row>
    <row r="17" spans="1:15">
      <c r="A17" s="997"/>
      <c r="B17" s="633"/>
      <c r="C17" s="634">
        <v>0</v>
      </c>
      <c r="D17" s="634">
        <v>0</v>
      </c>
      <c r="E17" s="634">
        <v>0</v>
      </c>
      <c r="F17" s="634">
        <v>0</v>
      </c>
      <c r="G17" s="634">
        <v>0</v>
      </c>
      <c r="H17" s="634">
        <v>0</v>
      </c>
      <c r="I17" s="634">
        <v>0</v>
      </c>
      <c r="J17" s="634">
        <v>0</v>
      </c>
      <c r="K17" s="634">
        <v>0</v>
      </c>
      <c r="L17" s="634">
        <v>0</v>
      </c>
      <c r="M17" s="767"/>
    </row>
    <row r="18" spans="1:15">
      <c r="A18" s="997"/>
      <c r="B18" s="761" t="s">
        <v>396</v>
      </c>
      <c r="C18" s="762">
        <f>SUM(C15:C17)</f>
        <v>0</v>
      </c>
      <c r="D18" s="762">
        <f>SUM(D15:D17)</f>
        <v>0</v>
      </c>
      <c r="E18" s="762">
        <f>SUM(E15:E17)</f>
        <v>0</v>
      </c>
      <c r="F18" s="762">
        <f>SUM(F15:F17)</f>
        <v>0</v>
      </c>
      <c r="G18" s="762">
        <f>SUM(G15:G17)</f>
        <v>0</v>
      </c>
      <c r="H18" s="762">
        <f t="shared" ref="H18:L18" si="2">SUM(H15:H17)</f>
        <v>0</v>
      </c>
      <c r="I18" s="762">
        <f t="shared" si="2"/>
        <v>0</v>
      </c>
      <c r="J18" s="762">
        <f t="shared" si="2"/>
        <v>0</v>
      </c>
      <c r="K18" s="762">
        <f t="shared" si="2"/>
        <v>0</v>
      </c>
      <c r="L18" s="762">
        <f t="shared" si="2"/>
        <v>0</v>
      </c>
      <c r="M18" s="767"/>
    </row>
    <row r="19" spans="1:15">
      <c r="A19" s="997" t="s">
        <v>2924</v>
      </c>
      <c r="B19" s="633" t="s">
        <v>2925</v>
      </c>
      <c r="C19" s="634">
        <v>4035330</v>
      </c>
      <c r="D19" s="634">
        <f>C19*(1+$D$4)</f>
        <v>4277449.8</v>
      </c>
      <c r="E19" s="634">
        <f>D19*(1+$E$4)</f>
        <v>4474106.1719269529</v>
      </c>
      <c r="F19" s="634">
        <f>E19*(1+$F$4)</f>
        <v>4685396.4816519208</v>
      </c>
      <c r="G19" s="634">
        <f>F19*(1+$G$4)</f>
        <v>4912521.7523516221</v>
      </c>
      <c r="H19" s="634">
        <f t="shared" ref="H19:L19" si="3">G19*(1+$G$4)</f>
        <v>5150656.9533298863</v>
      </c>
      <c r="I19" s="634">
        <f t="shared" si="3"/>
        <v>5400335.7925460497</v>
      </c>
      <c r="J19" s="634">
        <f t="shared" si="3"/>
        <v>5662117.8495298084</v>
      </c>
      <c r="K19" s="634">
        <f t="shared" si="3"/>
        <v>5936589.8295093253</v>
      </c>
      <c r="L19" s="634">
        <f t="shared" si="3"/>
        <v>6224366.8783333795</v>
      </c>
      <c r="M19" s="768" t="s">
        <v>2926</v>
      </c>
    </row>
    <row r="20" spans="1:15">
      <c r="A20" s="997"/>
      <c r="B20" s="633" t="s">
        <v>2927</v>
      </c>
      <c r="C20" s="634">
        <v>5786900</v>
      </c>
      <c r="D20" s="634">
        <f>C20*(1+$D$4)</f>
        <v>6134114</v>
      </c>
      <c r="E20" s="634">
        <f>D20*(1+$E$4)</f>
        <v>6416130.7764976053</v>
      </c>
      <c r="F20" s="634">
        <f>E20*(1+$F$4)</f>
        <v>6719133.4784692945</v>
      </c>
      <c r="G20" s="634">
        <f>F20*(1+$G$4)</f>
        <v>7044844.4436226031</v>
      </c>
      <c r="H20" s="634">
        <f t="shared" ref="H20:L20" si="4">G20*(1+$G$4)</f>
        <v>7386344.294822162</v>
      </c>
      <c r="I20" s="634">
        <f t="shared" si="4"/>
        <v>7744398.400597902</v>
      </c>
      <c r="J20" s="634">
        <f t="shared" si="4"/>
        <v>8119809.2308297083</v>
      </c>
      <c r="K20" s="634">
        <f t="shared" si="4"/>
        <v>8513418.1552407146</v>
      </c>
      <c r="L20" s="634">
        <f t="shared" si="4"/>
        <v>8926107.3290728219</v>
      </c>
      <c r="M20" s="768" t="s">
        <v>2926</v>
      </c>
      <c r="N20" s="625"/>
      <c r="O20" s="625"/>
    </row>
    <row r="21" spans="1:15" ht="30">
      <c r="A21" s="997"/>
      <c r="B21" s="633" t="s">
        <v>2928</v>
      </c>
      <c r="C21" s="634">
        <v>560800</v>
      </c>
      <c r="D21" s="634">
        <f>C21*(1+$D$4)</f>
        <v>594448</v>
      </c>
      <c r="E21" s="634">
        <f>D21*(1+$E$4)</f>
        <v>621777.8325977393</v>
      </c>
      <c r="F21" s="634">
        <f>E21*(1+$F$4)</f>
        <v>651141.38048447017</v>
      </c>
      <c r="G21" s="634">
        <f>F21*(1+$G$4)</f>
        <v>682705.55288385076</v>
      </c>
      <c r="H21" s="634">
        <f t="shared" ref="H21:L21" si="5">G21*(1+$G$4)</f>
        <v>715799.80309600453</v>
      </c>
      <c r="I21" s="634">
        <f t="shared" si="5"/>
        <v>750498.30186374462</v>
      </c>
      <c r="J21" s="634">
        <f t="shared" si="5"/>
        <v>786878.81536734698</v>
      </c>
      <c r="K21" s="634">
        <f t="shared" si="5"/>
        <v>825022.87951390084</v>
      </c>
      <c r="L21" s="634">
        <f t="shared" si="5"/>
        <v>865015.9826753597</v>
      </c>
      <c r="M21" s="768" t="s">
        <v>2926</v>
      </c>
      <c r="N21" s="625"/>
    </row>
    <row r="22" spans="1:15">
      <c r="A22" s="997"/>
      <c r="B22" s="633" t="s">
        <v>2929</v>
      </c>
      <c r="C22" s="634">
        <v>1000000</v>
      </c>
      <c r="D22" s="634">
        <f>C22*(1+$D$4)</f>
        <v>1060000</v>
      </c>
      <c r="E22" s="634">
        <f>D22*(1+$E$4)</f>
        <v>1108733.652991689</v>
      </c>
      <c r="F22" s="634">
        <f>E22*(1+$F$4)</f>
        <v>1161093.7597797257</v>
      </c>
      <c r="G22" s="634">
        <f>F22*(1+$G$4)</f>
        <v>1217377.9473677794</v>
      </c>
      <c r="H22" s="634">
        <f t="shared" ref="H22:L22" si="6">G22*(1+$G$4)</f>
        <v>1276390.5190727613</v>
      </c>
      <c r="I22" s="634">
        <f t="shared" si="6"/>
        <v>1338263.7337085316</v>
      </c>
      <c r="J22" s="634">
        <f t="shared" si="6"/>
        <v>1403136.2613540422</v>
      </c>
      <c r="K22" s="634">
        <f t="shared" si="6"/>
        <v>1471153.4941403365</v>
      </c>
      <c r="L22" s="634">
        <f t="shared" si="6"/>
        <v>1542467.8721029949</v>
      </c>
      <c r="M22" s="768" t="s">
        <v>2926</v>
      </c>
    </row>
    <row r="23" spans="1:15">
      <c r="A23" s="997"/>
      <c r="B23" s="633" t="s">
        <v>2930</v>
      </c>
      <c r="C23" s="634">
        <v>33082000</v>
      </c>
      <c r="D23" s="634">
        <v>0</v>
      </c>
      <c r="E23" s="634">
        <v>0</v>
      </c>
      <c r="F23" s="634">
        <v>0</v>
      </c>
      <c r="G23" s="634">
        <v>0</v>
      </c>
      <c r="H23" s="634">
        <v>1</v>
      </c>
      <c r="I23" s="634">
        <v>2</v>
      </c>
      <c r="J23" s="634">
        <v>3</v>
      </c>
      <c r="K23" s="634">
        <v>4</v>
      </c>
      <c r="L23" s="634">
        <v>5</v>
      </c>
      <c r="M23" s="767" t="s">
        <v>2931</v>
      </c>
    </row>
    <row r="24" spans="1:15">
      <c r="A24" s="997"/>
      <c r="B24" s="633" t="s">
        <v>2932</v>
      </c>
      <c r="C24" s="634">
        <v>0</v>
      </c>
      <c r="D24" s="634">
        <v>13500000</v>
      </c>
      <c r="E24" s="634">
        <f>D24*(1+$E$4)</f>
        <v>14120664.44847906</v>
      </c>
      <c r="F24" s="634">
        <f>E24*(1+$F$4)</f>
        <v>14787514.865119148</v>
      </c>
      <c r="G24" s="634">
        <f>F24*(1+$G$4)</f>
        <v>15504341.782514172</v>
      </c>
      <c r="H24" s="634">
        <f t="shared" ref="H24:L24" si="7">G24*(1+$G$4)</f>
        <v>16255916.988190826</v>
      </c>
      <c r="I24" s="634">
        <f t="shared" si="7"/>
        <v>17043924.910438847</v>
      </c>
      <c r="J24" s="634">
        <f t="shared" si="7"/>
        <v>17870131.630452428</v>
      </c>
      <c r="K24" s="634">
        <f t="shared" si="7"/>
        <v>18736388.840466555</v>
      </c>
      <c r="L24" s="634">
        <f t="shared" si="7"/>
        <v>19644637.993764564</v>
      </c>
      <c r="M24" s="767" t="s">
        <v>2931</v>
      </c>
    </row>
    <row r="25" spans="1:15" ht="30">
      <c r="A25" s="997"/>
      <c r="B25" s="633" t="s">
        <v>2933</v>
      </c>
      <c r="C25" s="634">
        <v>1800000</v>
      </c>
      <c r="D25" s="634">
        <f>C25*(1+$D$4)</f>
        <v>1908000</v>
      </c>
      <c r="E25" s="634">
        <f>D25*(1+$E$4)</f>
        <v>1995720.5753850404</v>
      </c>
      <c r="F25" s="634">
        <f>E25*(1+$F$4)</f>
        <v>2089968.7676035063</v>
      </c>
      <c r="G25" s="634">
        <f>F25*(1+$G$4)</f>
        <v>2191280.3052620031</v>
      </c>
      <c r="H25" s="634">
        <f t="shared" ref="H25:L25" si="8">G25*(1+$G$4)</f>
        <v>2297502.9343309705</v>
      </c>
      <c r="I25" s="634">
        <f t="shared" si="8"/>
        <v>2408874.7206753572</v>
      </c>
      <c r="J25" s="634">
        <f t="shared" si="8"/>
        <v>2525645.2704372765</v>
      </c>
      <c r="K25" s="634">
        <f t="shared" si="8"/>
        <v>2648076.2894526063</v>
      </c>
      <c r="L25" s="634">
        <f t="shared" si="8"/>
        <v>2776442.1697853915</v>
      </c>
      <c r="M25" s="767" t="s">
        <v>2934</v>
      </c>
    </row>
    <row r="26" spans="1:15">
      <c r="A26" s="997"/>
      <c r="B26" s="633" t="s">
        <v>2935</v>
      </c>
      <c r="C26" s="634">
        <v>1500000</v>
      </c>
      <c r="D26" s="634">
        <f>C26*(1+$D$4)</f>
        <v>1590000</v>
      </c>
      <c r="E26" s="634">
        <f>D26*(1+$E$4)</f>
        <v>1663100.4794875337</v>
      </c>
      <c r="F26" s="634">
        <f>E26*(1+$F$4)</f>
        <v>1741640.6396695885</v>
      </c>
      <c r="G26" s="634">
        <f>F26*(1+$G$4)</f>
        <v>1826066.9210516692</v>
      </c>
      <c r="H26" s="634">
        <f t="shared" ref="H26:L26" si="9">G26*(1+$G$4)</f>
        <v>1914585.7786091419</v>
      </c>
      <c r="I26" s="634">
        <f t="shared" si="9"/>
        <v>2007395.6005627976</v>
      </c>
      <c r="J26" s="634">
        <f t="shared" si="9"/>
        <v>2104704.3920310638</v>
      </c>
      <c r="K26" s="634">
        <f t="shared" si="9"/>
        <v>2206730.2412105054</v>
      </c>
      <c r="L26" s="634">
        <f t="shared" si="9"/>
        <v>2313701.8081544931</v>
      </c>
      <c r="M26" s="767" t="s">
        <v>2936</v>
      </c>
    </row>
    <row r="27" spans="1:15">
      <c r="A27" s="997"/>
      <c r="B27" s="761" t="s">
        <v>396</v>
      </c>
      <c r="C27" s="762">
        <f>SUM(C19:C26)</f>
        <v>47765030</v>
      </c>
      <c r="D27" s="762">
        <f>SUM(D19:D26)</f>
        <v>29064011.800000001</v>
      </c>
      <c r="E27" s="762">
        <f>SUM(E19:E26)</f>
        <v>30400233.937365625</v>
      </c>
      <c r="F27" s="762">
        <f>SUM(F19:F26)</f>
        <v>31835889.372777652</v>
      </c>
      <c r="G27" s="762">
        <f>SUM(G19:G26)</f>
        <v>33379138.705053702</v>
      </c>
      <c r="H27" s="762">
        <f t="shared" ref="H27:L27" si="10">SUM(H19:H26)</f>
        <v>34997198.271451749</v>
      </c>
      <c r="I27" s="762">
        <f t="shared" si="10"/>
        <v>36693693.460393228</v>
      </c>
      <c r="J27" s="762">
        <f t="shared" si="10"/>
        <v>38472426.450001679</v>
      </c>
      <c r="K27" s="762">
        <f t="shared" si="10"/>
        <v>40337383.729533941</v>
      </c>
      <c r="L27" s="762">
        <f t="shared" si="10"/>
        <v>42292745.033889011</v>
      </c>
      <c r="M27" s="767"/>
    </row>
    <row r="28" spans="1:15" ht="30">
      <c r="A28" s="997" t="s">
        <v>392</v>
      </c>
      <c r="B28" s="633" t="s">
        <v>2937</v>
      </c>
      <c r="C28" s="634">
        <v>6250000</v>
      </c>
      <c r="D28" s="634">
        <v>0</v>
      </c>
      <c r="E28" s="634">
        <v>0</v>
      </c>
      <c r="F28" s="634">
        <v>0</v>
      </c>
      <c r="G28" s="634">
        <v>0</v>
      </c>
      <c r="H28" s="634">
        <v>1</v>
      </c>
      <c r="I28" s="634">
        <v>2</v>
      </c>
      <c r="J28" s="634">
        <v>3</v>
      </c>
      <c r="K28" s="634">
        <v>4</v>
      </c>
      <c r="L28" s="634">
        <v>5</v>
      </c>
      <c r="M28" s="767" t="s">
        <v>2931</v>
      </c>
    </row>
    <row r="29" spans="1:15">
      <c r="A29" s="997"/>
      <c r="B29" s="633" t="s">
        <v>2938</v>
      </c>
      <c r="C29" s="634">
        <v>110000</v>
      </c>
      <c r="D29" s="634">
        <f>C29*(1+$D$4)</f>
        <v>116600</v>
      </c>
      <c r="E29" s="634">
        <f>D29*(1+$E$4)</f>
        <v>121960.7018290858</v>
      </c>
      <c r="F29" s="634">
        <f>E29*(1+$F$4)</f>
        <v>127720.31357576982</v>
      </c>
      <c r="G29" s="634">
        <f>F29*(1+$G$4)</f>
        <v>133911.57421045573</v>
      </c>
      <c r="H29" s="634">
        <f t="shared" ref="H29:L29" si="11">G29*(1+$G$4)</f>
        <v>140402.95709800371</v>
      </c>
      <c r="I29" s="634">
        <f t="shared" si="11"/>
        <v>147209.01070793846</v>
      </c>
      <c r="J29" s="634">
        <f t="shared" si="11"/>
        <v>154344.98874894463</v>
      </c>
      <c r="K29" s="634">
        <f t="shared" si="11"/>
        <v>161826.88435543701</v>
      </c>
      <c r="L29" s="634">
        <f t="shared" si="11"/>
        <v>169671.46593132944</v>
      </c>
      <c r="M29" s="767" t="s">
        <v>2931</v>
      </c>
    </row>
    <row r="30" spans="1:15">
      <c r="A30" s="997"/>
      <c r="B30" s="633" t="s">
        <v>2939</v>
      </c>
      <c r="C30" s="634">
        <v>3500000</v>
      </c>
      <c r="D30" s="634">
        <v>0</v>
      </c>
      <c r="E30" s="634">
        <v>0</v>
      </c>
      <c r="F30" s="634">
        <v>0</v>
      </c>
      <c r="G30" s="634">
        <v>0</v>
      </c>
      <c r="H30" s="634">
        <v>1</v>
      </c>
      <c r="I30" s="634">
        <v>2</v>
      </c>
      <c r="J30" s="634">
        <v>3</v>
      </c>
      <c r="K30" s="634">
        <v>4</v>
      </c>
      <c r="L30" s="634">
        <v>5</v>
      </c>
      <c r="M30" s="767" t="s">
        <v>2940</v>
      </c>
    </row>
    <row r="31" spans="1:15">
      <c r="A31" s="997"/>
      <c r="B31" s="761" t="s">
        <v>396</v>
      </c>
      <c r="C31" s="762">
        <f>SUM(C28:C30)</f>
        <v>9860000</v>
      </c>
      <c r="D31" s="762">
        <f>SUM(D28:D30)</f>
        <v>116600</v>
      </c>
      <c r="E31" s="762">
        <f>SUM(E28:E30)</f>
        <v>121960.7018290858</v>
      </c>
      <c r="F31" s="762">
        <f>SUM(F28:F30)</f>
        <v>127720.31357576982</v>
      </c>
      <c r="G31" s="762">
        <f>SUM(G28:G30)</f>
        <v>133911.57421045573</v>
      </c>
      <c r="H31" s="762">
        <f t="shared" ref="H31:L31" si="12">SUM(H28:H30)</f>
        <v>140404.95709800371</v>
      </c>
      <c r="I31" s="762">
        <f t="shared" si="12"/>
        <v>147213.01070793846</v>
      </c>
      <c r="J31" s="762">
        <f t="shared" si="12"/>
        <v>154350.98874894463</v>
      </c>
      <c r="K31" s="762">
        <f t="shared" si="12"/>
        <v>161834.88435543701</v>
      </c>
      <c r="L31" s="762">
        <f t="shared" si="12"/>
        <v>169681.46593132944</v>
      </c>
      <c r="M31" s="767"/>
    </row>
    <row r="32" spans="1:15" ht="30">
      <c r="A32" s="997" t="s">
        <v>393</v>
      </c>
      <c r="B32" s="633" t="s">
        <v>2937</v>
      </c>
      <c r="C32" s="634">
        <v>6250000</v>
      </c>
      <c r="D32" s="634">
        <v>0</v>
      </c>
      <c r="E32" s="634">
        <v>0</v>
      </c>
      <c r="F32" s="634">
        <v>0</v>
      </c>
      <c r="G32" s="634">
        <v>0</v>
      </c>
      <c r="H32" s="634">
        <v>1</v>
      </c>
      <c r="I32" s="634">
        <v>2</v>
      </c>
      <c r="J32" s="634">
        <v>3</v>
      </c>
      <c r="K32" s="634">
        <v>4</v>
      </c>
      <c r="L32" s="634">
        <v>5</v>
      </c>
      <c r="M32" s="767" t="s">
        <v>2931</v>
      </c>
    </row>
    <row r="33" spans="1:13">
      <c r="A33" s="997"/>
      <c r="B33" s="633" t="s">
        <v>2938</v>
      </c>
      <c r="C33" s="634">
        <v>110000</v>
      </c>
      <c r="D33" s="634">
        <f>C33*(1+$D$4)</f>
        <v>116600</v>
      </c>
      <c r="E33" s="634">
        <f>D33*(1+$E$4)</f>
        <v>121960.7018290858</v>
      </c>
      <c r="F33" s="634">
        <f>E33*(1+$F$4)</f>
        <v>127720.31357576982</v>
      </c>
      <c r="G33" s="634">
        <f>F33*(1+$G$4)</f>
        <v>133911.57421045573</v>
      </c>
      <c r="H33" s="634">
        <f t="shared" ref="H33:L33" si="13">G33*(1+$G$4)</f>
        <v>140402.95709800371</v>
      </c>
      <c r="I33" s="634">
        <f t="shared" si="13"/>
        <v>147209.01070793846</v>
      </c>
      <c r="J33" s="634">
        <f t="shared" si="13"/>
        <v>154344.98874894463</v>
      </c>
      <c r="K33" s="634">
        <f t="shared" si="13"/>
        <v>161826.88435543701</v>
      </c>
      <c r="L33" s="634">
        <f t="shared" si="13"/>
        <v>169671.46593132944</v>
      </c>
      <c r="M33" s="767" t="s">
        <v>2931</v>
      </c>
    </row>
    <row r="34" spans="1:13">
      <c r="A34" s="997"/>
      <c r="B34" s="633" t="s">
        <v>2939</v>
      </c>
      <c r="C34" s="634">
        <v>3500000</v>
      </c>
      <c r="D34" s="634">
        <v>0</v>
      </c>
      <c r="E34" s="634">
        <v>0</v>
      </c>
      <c r="F34" s="634">
        <v>0</v>
      </c>
      <c r="G34" s="634">
        <v>0</v>
      </c>
      <c r="H34" s="634">
        <v>1</v>
      </c>
      <c r="I34" s="634">
        <v>2</v>
      </c>
      <c r="J34" s="634">
        <v>3</v>
      </c>
      <c r="K34" s="634">
        <v>4</v>
      </c>
      <c r="L34" s="634">
        <v>5</v>
      </c>
      <c r="M34" s="767" t="s">
        <v>2940</v>
      </c>
    </row>
    <row r="35" spans="1:13">
      <c r="A35" s="997"/>
      <c r="B35" s="761" t="s">
        <v>396</v>
      </c>
      <c r="C35" s="762">
        <f>SUM(C32:C34)</f>
        <v>9860000</v>
      </c>
      <c r="D35" s="762">
        <f>SUM(D32:D34)</f>
        <v>116600</v>
      </c>
      <c r="E35" s="762">
        <f>SUM(E32:E34)</f>
        <v>121960.7018290858</v>
      </c>
      <c r="F35" s="762">
        <f>SUM(F32:F34)</f>
        <v>127720.31357576982</v>
      </c>
      <c r="G35" s="762">
        <f>SUM(G32:G34)</f>
        <v>133911.57421045573</v>
      </c>
      <c r="H35" s="762">
        <f t="shared" ref="H35:L35" si="14">SUM(H32:H34)</f>
        <v>140404.95709800371</v>
      </c>
      <c r="I35" s="762">
        <f t="shared" si="14"/>
        <v>147213.01070793846</v>
      </c>
      <c r="J35" s="762">
        <f t="shared" si="14"/>
        <v>154350.98874894463</v>
      </c>
      <c r="K35" s="762">
        <f t="shared" si="14"/>
        <v>161834.88435543701</v>
      </c>
      <c r="L35" s="762">
        <f t="shared" si="14"/>
        <v>169681.46593132944</v>
      </c>
      <c r="M35" s="767"/>
    </row>
    <row r="36" spans="1:13" ht="30">
      <c r="A36" s="997" t="s">
        <v>394</v>
      </c>
      <c r="B36" s="633" t="s">
        <v>2937</v>
      </c>
      <c r="C36" s="634">
        <v>6250000</v>
      </c>
      <c r="D36" s="634">
        <v>0</v>
      </c>
      <c r="E36" s="634">
        <v>0</v>
      </c>
      <c r="F36" s="634">
        <v>0</v>
      </c>
      <c r="G36" s="634">
        <v>0</v>
      </c>
      <c r="H36" s="634">
        <v>1</v>
      </c>
      <c r="I36" s="634">
        <v>2</v>
      </c>
      <c r="J36" s="634">
        <v>3</v>
      </c>
      <c r="K36" s="634">
        <v>4</v>
      </c>
      <c r="L36" s="634">
        <v>5</v>
      </c>
      <c r="M36" s="767" t="s">
        <v>2931</v>
      </c>
    </row>
    <row r="37" spans="1:13">
      <c r="A37" s="997"/>
      <c r="B37" s="633" t="s">
        <v>2938</v>
      </c>
      <c r="C37" s="634">
        <v>110000</v>
      </c>
      <c r="D37" s="634">
        <f>C37*(1+$D$4)</f>
        <v>116600</v>
      </c>
      <c r="E37" s="634">
        <f>D37*(1+$E$4)</f>
        <v>121960.7018290858</v>
      </c>
      <c r="F37" s="634">
        <f>E37*(1+$F$4)</f>
        <v>127720.31357576982</v>
      </c>
      <c r="G37" s="634">
        <f>F37*(1+$G$4)</f>
        <v>133911.57421045573</v>
      </c>
      <c r="H37" s="634">
        <f t="shared" ref="H37:L37" si="15">G37*(1+$G$4)</f>
        <v>140402.95709800371</v>
      </c>
      <c r="I37" s="634">
        <f t="shared" si="15"/>
        <v>147209.01070793846</v>
      </c>
      <c r="J37" s="634">
        <f t="shared" si="15"/>
        <v>154344.98874894463</v>
      </c>
      <c r="K37" s="634">
        <f t="shared" si="15"/>
        <v>161826.88435543701</v>
      </c>
      <c r="L37" s="634">
        <f t="shared" si="15"/>
        <v>169671.46593132944</v>
      </c>
      <c r="M37" s="767" t="s">
        <v>2931</v>
      </c>
    </row>
    <row r="38" spans="1:13">
      <c r="A38" s="997"/>
      <c r="B38" s="633" t="s">
        <v>2939</v>
      </c>
      <c r="C38" s="634">
        <v>3500000</v>
      </c>
      <c r="D38" s="634">
        <v>0</v>
      </c>
      <c r="E38" s="634">
        <v>0</v>
      </c>
      <c r="F38" s="634">
        <v>0</v>
      </c>
      <c r="G38" s="634">
        <v>0</v>
      </c>
      <c r="H38" s="634">
        <v>1</v>
      </c>
      <c r="I38" s="634">
        <v>2</v>
      </c>
      <c r="J38" s="634">
        <v>3</v>
      </c>
      <c r="K38" s="634">
        <v>4</v>
      </c>
      <c r="L38" s="634">
        <v>5</v>
      </c>
      <c r="M38" s="767" t="s">
        <v>2940</v>
      </c>
    </row>
    <row r="39" spans="1:13">
      <c r="A39" s="997"/>
      <c r="B39" s="761" t="s">
        <v>396</v>
      </c>
      <c r="C39" s="762">
        <f>SUM(C36:C38)</f>
        <v>9860000</v>
      </c>
      <c r="D39" s="762">
        <f>SUM(D36:D38)</f>
        <v>116600</v>
      </c>
      <c r="E39" s="762">
        <f>SUM(E36:E38)</f>
        <v>121960.7018290858</v>
      </c>
      <c r="F39" s="762">
        <f>SUM(F36:F38)</f>
        <v>127720.31357576982</v>
      </c>
      <c r="G39" s="762">
        <f>SUM(G36:G38)</f>
        <v>133911.57421045573</v>
      </c>
      <c r="H39" s="762">
        <f t="shared" ref="H39:L39" si="16">SUM(H36:H38)</f>
        <v>140404.95709800371</v>
      </c>
      <c r="I39" s="762">
        <f t="shared" si="16"/>
        <v>147213.01070793846</v>
      </c>
      <c r="J39" s="762">
        <f t="shared" si="16"/>
        <v>154350.98874894463</v>
      </c>
      <c r="K39" s="762">
        <f t="shared" si="16"/>
        <v>161834.88435543701</v>
      </c>
      <c r="L39" s="762">
        <f t="shared" si="16"/>
        <v>169681.46593132944</v>
      </c>
      <c r="M39" s="767"/>
    </row>
    <row r="40" spans="1:13" ht="30">
      <c r="A40" s="997" t="s">
        <v>1274</v>
      </c>
      <c r="B40" s="633" t="s">
        <v>2937</v>
      </c>
      <c r="C40" s="634">
        <v>6250000</v>
      </c>
      <c r="D40" s="634">
        <v>0</v>
      </c>
      <c r="E40" s="634">
        <v>0</v>
      </c>
      <c r="F40" s="634">
        <v>0</v>
      </c>
      <c r="G40" s="634">
        <v>0</v>
      </c>
      <c r="H40" s="634">
        <v>1</v>
      </c>
      <c r="I40" s="634">
        <v>2</v>
      </c>
      <c r="J40" s="634">
        <v>3</v>
      </c>
      <c r="K40" s="634">
        <v>4</v>
      </c>
      <c r="L40" s="634">
        <v>5</v>
      </c>
      <c r="M40" s="767" t="s">
        <v>2931</v>
      </c>
    </row>
    <row r="41" spans="1:13">
      <c r="A41" s="997"/>
      <c r="B41" s="633" t="s">
        <v>2938</v>
      </c>
      <c r="C41" s="634">
        <v>110000</v>
      </c>
      <c r="D41" s="634">
        <f>C41*(1+$D$4)</f>
        <v>116600</v>
      </c>
      <c r="E41" s="634">
        <f>D41*(1+$E$4)</f>
        <v>121960.7018290858</v>
      </c>
      <c r="F41" s="634">
        <f>E41*(1+$F$4)</f>
        <v>127720.31357576982</v>
      </c>
      <c r="G41" s="634">
        <f>F41*(1+$G$4)</f>
        <v>133911.57421045573</v>
      </c>
      <c r="H41" s="634">
        <f t="shared" ref="H41:L41" si="17">G41*(1+$G$4)</f>
        <v>140402.95709800371</v>
      </c>
      <c r="I41" s="634">
        <f t="shared" si="17"/>
        <v>147209.01070793846</v>
      </c>
      <c r="J41" s="634">
        <f t="shared" si="17"/>
        <v>154344.98874894463</v>
      </c>
      <c r="K41" s="634">
        <f t="shared" si="17"/>
        <v>161826.88435543701</v>
      </c>
      <c r="L41" s="634">
        <f t="shared" si="17"/>
        <v>169671.46593132944</v>
      </c>
      <c r="M41" s="767" t="s">
        <v>2931</v>
      </c>
    </row>
    <row r="42" spans="1:13">
      <c r="A42" s="997"/>
      <c r="B42" s="633" t="s">
        <v>2939</v>
      </c>
      <c r="C42" s="634">
        <v>3500000</v>
      </c>
      <c r="D42" s="634">
        <v>0</v>
      </c>
      <c r="E42" s="634">
        <v>0</v>
      </c>
      <c r="F42" s="634">
        <v>0</v>
      </c>
      <c r="G42" s="634">
        <v>0</v>
      </c>
      <c r="H42" s="634">
        <v>1</v>
      </c>
      <c r="I42" s="634">
        <v>2</v>
      </c>
      <c r="J42" s="634">
        <v>3</v>
      </c>
      <c r="K42" s="634">
        <v>4</v>
      </c>
      <c r="L42" s="634">
        <v>5</v>
      </c>
      <c r="M42" s="767" t="s">
        <v>2940</v>
      </c>
    </row>
    <row r="43" spans="1:13">
      <c r="A43" s="997"/>
      <c r="B43" s="761" t="s">
        <v>396</v>
      </c>
      <c r="C43" s="762">
        <f>SUM(C40:C42)</f>
        <v>9860000</v>
      </c>
      <c r="D43" s="762">
        <f>SUM(D40:D42)</f>
        <v>116600</v>
      </c>
      <c r="E43" s="762">
        <f>SUM(E40:E42)</f>
        <v>121960.7018290858</v>
      </c>
      <c r="F43" s="762">
        <f>SUM(F40:F42)</f>
        <v>127720.31357576982</v>
      </c>
      <c r="G43" s="762">
        <f>SUM(G40:G42)</f>
        <v>133911.57421045573</v>
      </c>
      <c r="H43" s="762">
        <f t="shared" ref="H43:L43" si="18">SUM(H40:H42)</f>
        <v>140404.95709800371</v>
      </c>
      <c r="I43" s="762">
        <f t="shared" si="18"/>
        <v>147213.01070793846</v>
      </c>
      <c r="J43" s="762">
        <f t="shared" si="18"/>
        <v>154350.98874894463</v>
      </c>
      <c r="K43" s="762">
        <f t="shared" si="18"/>
        <v>161834.88435543701</v>
      </c>
      <c r="L43" s="762">
        <f t="shared" si="18"/>
        <v>169681.46593132944</v>
      </c>
      <c r="M43" s="767"/>
    </row>
    <row r="44" spans="1:13" ht="30">
      <c r="A44" s="997" t="s">
        <v>1275</v>
      </c>
      <c r="B44" s="633" t="s">
        <v>2937</v>
      </c>
      <c r="C44" s="634">
        <v>6250000</v>
      </c>
      <c r="D44" s="634">
        <v>0</v>
      </c>
      <c r="E44" s="634">
        <v>0</v>
      </c>
      <c r="F44" s="634">
        <v>0</v>
      </c>
      <c r="G44" s="634">
        <v>0</v>
      </c>
      <c r="H44" s="634">
        <v>1</v>
      </c>
      <c r="I44" s="634">
        <v>2</v>
      </c>
      <c r="J44" s="634">
        <v>3</v>
      </c>
      <c r="K44" s="634">
        <v>4</v>
      </c>
      <c r="L44" s="634">
        <v>5</v>
      </c>
      <c r="M44" s="767" t="s">
        <v>2931</v>
      </c>
    </row>
    <row r="45" spans="1:13">
      <c r="A45" s="997"/>
      <c r="B45" s="633" t="s">
        <v>2938</v>
      </c>
      <c r="C45" s="634">
        <v>110000</v>
      </c>
      <c r="D45" s="634">
        <f>C45*(1+$D$4)</f>
        <v>116600</v>
      </c>
      <c r="E45" s="634">
        <f>D45*(1+$E$4)</f>
        <v>121960.7018290858</v>
      </c>
      <c r="F45" s="634">
        <f>E45*(1+$F$4)</f>
        <v>127720.31357576982</v>
      </c>
      <c r="G45" s="634">
        <f>F45*(1+$G$4)</f>
        <v>133911.57421045573</v>
      </c>
      <c r="H45" s="634">
        <f t="shared" ref="H45:L45" si="19">G45*(1+$G$4)</f>
        <v>140402.95709800371</v>
      </c>
      <c r="I45" s="634">
        <f t="shared" si="19"/>
        <v>147209.01070793846</v>
      </c>
      <c r="J45" s="634">
        <f t="shared" si="19"/>
        <v>154344.98874894463</v>
      </c>
      <c r="K45" s="634">
        <f t="shared" si="19"/>
        <v>161826.88435543701</v>
      </c>
      <c r="L45" s="634">
        <f t="shared" si="19"/>
        <v>169671.46593132944</v>
      </c>
      <c r="M45" s="767" t="s">
        <v>2931</v>
      </c>
    </row>
    <row r="46" spans="1:13">
      <c r="A46" s="997"/>
      <c r="B46" s="633" t="s">
        <v>2939</v>
      </c>
      <c r="C46" s="634">
        <v>3500000</v>
      </c>
      <c r="D46" s="634">
        <v>0</v>
      </c>
      <c r="E46" s="634">
        <v>0</v>
      </c>
      <c r="F46" s="634">
        <v>0</v>
      </c>
      <c r="G46" s="634">
        <v>0</v>
      </c>
      <c r="H46" s="634">
        <v>1</v>
      </c>
      <c r="I46" s="634">
        <v>2</v>
      </c>
      <c r="J46" s="634">
        <v>3</v>
      </c>
      <c r="K46" s="634">
        <v>4</v>
      </c>
      <c r="L46" s="634">
        <v>5</v>
      </c>
      <c r="M46" s="767" t="s">
        <v>2940</v>
      </c>
    </row>
    <row r="47" spans="1:13">
      <c r="A47" s="997"/>
      <c r="B47" s="761" t="s">
        <v>396</v>
      </c>
      <c r="C47" s="762">
        <f>SUM(C44:C46)</f>
        <v>9860000</v>
      </c>
      <c r="D47" s="762">
        <f>SUM(D44:D46)</f>
        <v>116600</v>
      </c>
      <c r="E47" s="762">
        <f>SUM(E44:E46)</f>
        <v>121960.7018290858</v>
      </c>
      <c r="F47" s="762">
        <f>SUM(F44:F46)</f>
        <v>127720.31357576982</v>
      </c>
      <c r="G47" s="762">
        <f>SUM(G44:G46)</f>
        <v>133911.57421045573</v>
      </c>
      <c r="H47" s="762">
        <f t="shared" ref="H47:L47" si="20">SUM(H44:H46)</f>
        <v>140404.95709800371</v>
      </c>
      <c r="I47" s="762">
        <f t="shared" si="20"/>
        <v>147213.01070793846</v>
      </c>
      <c r="J47" s="762">
        <f t="shared" si="20"/>
        <v>154350.98874894463</v>
      </c>
      <c r="K47" s="762">
        <f t="shared" si="20"/>
        <v>161834.88435543701</v>
      </c>
      <c r="L47" s="762">
        <f t="shared" si="20"/>
        <v>169681.46593132944</v>
      </c>
      <c r="M47" s="767"/>
    </row>
    <row r="48" spans="1:13" ht="30">
      <c r="A48" s="997" t="s">
        <v>383</v>
      </c>
      <c r="B48" s="633" t="s">
        <v>2937</v>
      </c>
      <c r="C48" s="634">
        <v>6250000</v>
      </c>
      <c r="D48" s="634">
        <v>0</v>
      </c>
      <c r="E48" s="634">
        <v>0</v>
      </c>
      <c r="F48" s="634">
        <v>0</v>
      </c>
      <c r="G48" s="634">
        <v>0</v>
      </c>
      <c r="H48" s="634">
        <v>1</v>
      </c>
      <c r="I48" s="634">
        <v>2</v>
      </c>
      <c r="J48" s="634">
        <v>3</v>
      </c>
      <c r="K48" s="634">
        <v>4</v>
      </c>
      <c r="L48" s="634">
        <v>5</v>
      </c>
      <c r="M48" s="767" t="s">
        <v>2931</v>
      </c>
    </row>
    <row r="49" spans="1:13">
      <c r="A49" s="997"/>
      <c r="B49" s="633" t="s">
        <v>2938</v>
      </c>
      <c r="C49" s="634">
        <v>110000</v>
      </c>
      <c r="D49" s="634">
        <f>C49*(1+$D$4)</f>
        <v>116600</v>
      </c>
      <c r="E49" s="634">
        <f>D49*(1+$E$4)</f>
        <v>121960.7018290858</v>
      </c>
      <c r="F49" s="634">
        <f>E49*(1+$F$4)</f>
        <v>127720.31357576982</v>
      </c>
      <c r="G49" s="634">
        <f>F49*(1+$G$4)</f>
        <v>133911.57421045573</v>
      </c>
      <c r="H49" s="634">
        <f t="shared" ref="H49:L49" si="21">G49*(1+$G$4)</f>
        <v>140402.95709800371</v>
      </c>
      <c r="I49" s="634">
        <f t="shared" si="21"/>
        <v>147209.01070793846</v>
      </c>
      <c r="J49" s="634">
        <f t="shared" si="21"/>
        <v>154344.98874894463</v>
      </c>
      <c r="K49" s="634">
        <f t="shared" si="21"/>
        <v>161826.88435543701</v>
      </c>
      <c r="L49" s="634">
        <f t="shared" si="21"/>
        <v>169671.46593132944</v>
      </c>
      <c r="M49" s="767" t="s">
        <v>2931</v>
      </c>
    </row>
    <row r="50" spans="1:13">
      <c r="A50" s="997"/>
      <c r="B50" s="633" t="s">
        <v>2939</v>
      </c>
      <c r="C50" s="634">
        <v>3500000</v>
      </c>
      <c r="D50" s="634">
        <v>0</v>
      </c>
      <c r="E50" s="634">
        <v>0</v>
      </c>
      <c r="F50" s="634">
        <v>0</v>
      </c>
      <c r="G50" s="634">
        <v>0</v>
      </c>
      <c r="H50" s="634">
        <v>1</v>
      </c>
      <c r="I50" s="634">
        <v>2</v>
      </c>
      <c r="J50" s="634">
        <v>3</v>
      </c>
      <c r="K50" s="634">
        <v>4</v>
      </c>
      <c r="L50" s="634">
        <v>5</v>
      </c>
      <c r="M50" s="767" t="s">
        <v>2940</v>
      </c>
    </row>
    <row r="51" spans="1:13">
      <c r="A51" s="997"/>
      <c r="B51" s="761" t="s">
        <v>396</v>
      </c>
      <c r="C51" s="762">
        <f>SUM(C48:C50)</f>
        <v>9860000</v>
      </c>
      <c r="D51" s="762">
        <f>SUM(D48:D50)</f>
        <v>116600</v>
      </c>
      <c r="E51" s="762">
        <f>SUM(E48:E50)</f>
        <v>121960.7018290858</v>
      </c>
      <c r="F51" s="762">
        <f>SUM(F48:F50)</f>
        <v>127720.31357576982</v>
      </c>
      <c r="G51" s="762">
        <f>SUM(G48:G50)</f>
        <v>133911.57421045573</v>
      </c>
      <c r="H51" s="762">
        <f t="shared" ref="H51:L51" si="22">SUM(H48:H50)</f>
        <v>140404.95709800371</v>
      </c>
      <c r="I51" s="762">
        <f t="shared" si="22"/>
        <v>147213.01070793846</v>
      </c>
      <c r="J51" s="762">
        <f t="shared" si="22"/>
        <v>154350.98874894463</v>
      </c>
      <c r="K51" s="762">
        <f t="shared" si="22"/>
        <v>161834.88435543701</v>
      </c>
      <c r="L51" s="762">
        <f t="shared" si="22"/>
        <v>169681.46593132944</v>
      </c>
      <c r="M51" s="767"/>
    </row>
    <row r="52" spans="1:13" ht="30">
      <c r="A52" s="997" t="s">
        <v>1278</v>
      </c>
      <c r="B52" s="633" t="s">
        <v>2937</v>
      </c>
      <c r="C52" s="634">
        <v>6250000</v>
      </c>
      <c r="D52" s="634">
        <v>0</v>
      </c>
      <c r="E52" s="634">
        <v>0</v>
      </c>
      <c r="F52" s="634">
        <v>0</v>
      </c>
      <c r="G52" s="634">
        <v>0</v>
      </c>
      <c r="H52" s="634">
        <v>1</v>
      </c>
      <c r="I52" s="634">
        <v>2</v>
      </c>
      <c r="J52" s="634">
        <v>3</v>
      </c>
      <c r="K52" s="634">
        <v>4</v>
      </c>
      <c r="L52" s="634">
        <v>5</v>
      </c>
      <c r="M52" s="767" t="s">
        <v>2931</v>
      </c>
    </row>
    <row r="53" spans="1:13">
      <c r="A53" s="997"/>
      <c r="B53" s="633" t="s">
        <v>2938</v>
      </c>
      <c r="C53" s="634">
        <v>110000</v>
      </c>
      <c r="D53" s="634">
        <f>C53*(1+$D$4)</f>
        <v>116600</v>
      </c>
      <c r="E53" s="634">
        <f>D53*(1+$E$4)</f>
        <v>121960.7018290858</v>
      </c>
      <c r="F53" s="634">
        <f>E53*(1+$F$4)</f>
        <v>127720.31357576982</v>
      </c>
      <c r="G53" s="634">
        <f>F53*(1+$G$4)</f>
        <v>133911.57421045573</v>
      </c>
      <c r="H53" s="634">
        <f t="shared" ref="H53:L53" si="23">G53*(1+$G$4)</f>
        <v>140402.95709800371</v>
      </c>
      <c r="I53" s="634">
        <f t="shared" si="23"/>
        <v>147209.01070793846</v>
      </c>
      <c r="J53" s="634">
        <f t="shared" si="23"/>
        <v>154344.98874894463</v>
      </c>
      <c r="K53" s="634">
        <f t="shared" si="23"/>
        <v>161826.88435543701</v>
      </c>
      <c r="L53" s="634">
        <f t="shared" si="23"/>
        <v>169671.46593132944</v>
      </c>
      <c r="M53" s="767" t="s">
        <v>2931</v>
      </c>
    </row>
    <row r="54" spans="1:13">
      <c r="A54" s="997"/>
      <c r="B54" s="633" t="s">
        <v>2939</v>
      </c>
      <c r="C54" s="634">
        <v>3500000</v>
      </c>
      <c r="D54" s="634">
        <v>0</v>
      </c>
      <c r="E54" s="634">
        <v>0</v>
      </c>
      <c r="F54" s="634">
        <v>0</v>
      </c>
      <c r="G54" s="634">
        <v>0</v>
      </c>
      <c r="H54" s="634">
        <v>1</v>
      </c>
      <c r="I54" s="634">
        <v>2</v>
      </c>
      <c r="J54" s="634">
        <v>3</v>
      </c>
      <c r="K54" s="634">
        <v>4</v>
      </c>
      <c r="L54" s="634">
        <v>5</v>
      </c>
      <c r="M54" s="767" t="s">
        <v>2940</v>
      </c>
    </row>
    <row r="55" spans="1:13">
      <c r="A55" s="997"/>
      <c r="B55" s="761" t="s">
        <v>396</v>
      </c>
      <c r="C55" s="762">
        <f>SUM(C52:C54)</f>
        <v>9860000</v>
      </c>
      <c r="D55" s="762">
        <f>SUM(D52:D54)</f>
        <v>116600</v>
      </c>
      <c r="E55" s="762">
        <f>SUM(E52:E54)</f>
        <v>121960.7018290858</v>
      </c>
      <c r="F55" s="762">
        <f>SUM(F52:F54)</f>
        <v>127720.31357576982</v>
      </c>
      <c r="G55" s="762">
        <f>SUM(G52:G54)</f>
        <v>133911.57421045573</v>
      </c>
      <c r="H55" s="762">
        <f t="shared" ref="H55:L55" si="24">SUM(H52:H54)</f>
        <v>140404.95709800371</v>
      </c>
      <c r="I55" s="762">
        <f t="shared" si="24"/>
        <v>147213.01070793846</v>
      </c>
      <c r="J55" s="762">
        <f t="shared" si="24"/>
        <v>154350.98874894463</v>
      </c>
      <c r="K55" s="762">
        <f t="shared" si="24"/>
        <v>161834.88435543701</v>
      </c>
      <c r="L55" s="762">
        <f t="shared" si="24"/>
        <v>169681.46593132944</v>
      </c>
      <c r="M55" s="767"/>
    </row>
    <row r="56" spans="1:13" ht="30">
      <c r="A56" s="997" t="s">
        <v>1279</v>
      </c>
      <c r="B56" s="633" t="s">
        <v>2937</v>
      </c>
      <c r="C56" s="634">
        <v>6250000</v>
      </c>
      <c r="D56" s="634">
        <v>0</v>
      </c>
      <c r="E56" s="634">
        <v>0</v>
      </c>
      <c r="F56" s="634">
        <v>0</v>
      </c>
      <c r="G56" s="634">
        <v>0</v>
      </c>
      <c r="H56" s="634">
        <v>1</v>
      </c>
      <c r="I56" s="634">
        <v>2</v>
      </c>
      <c r="J56" s="634">
        <v>3</v>
      </c>
      <c r="K56" s="634">
        <v>4</v>
      </c>
      <c r="L56" s="634">
        <v>5</v>
      </c>
      <c r="M56" s="767" t="s">
        <v>2931</v>
      </c>
    </row>
    <row r="57" spans="1:13">
      <c r="A57" s="997"/>
      <c r="B57" s="633" t="s">
        <v>2938</v>
      </c>
      <c r="C57" s="634">
        <v>110000</v>
      </c>
      <c r="D57" s="634">
        <f>C57*(1+$D$4)</f>
        <v>116600</v>
      </c>
      <c r="E57" s="634">
        <f>D57*(1+$E$4)</f>
        <v>121960.7018290858</v>
      </c>
      <c r="F57" s="634">
        <f>E57*(1+$F$4)</f>
        <v>127720.31357576982</v>
      </c>
      <c r="G57" s="634">
        <f>F57*(1+$G$4)</f>
        <v>133911.57421045573</v>
      </c>
      <c r="H57" s="634">
        <f t="shared" ref="H57:L57" si="25">G57*(1+$G$4)</f>
        <v>140402.95709800371</v>
      </c>
      <c r="I57" s="634">
        <f t="shared" si="25"/>
        <v>147209.01070793846</v>
      </c>
      <c r="J57" s="634">
        <f t="shared" si="25"/>
        <v>154344.98874894463</v>
      </c>
      <c r="K57" s="634">
        <f t="shared" si="25"/>
        <v>161826.88435543701</v>
      </c>
      <c r="L57" s="634">
        <f t="shared" si="25"/>
        <v>169671.46593132944</v>
      </c>
      <c r="M57" s="767" t="s">
        <v>2931</v>
      </c>
    </row>
    <row r="58" spans="1:13">
      <c r="A58" s="997"/>
      <c r="B58" s="633" t="s">
        <v>2939</v>
      </c>
      <c r="C58" s="634">
        <v>3500000</v>
      </c>
      <c r="D58" s="634">
        <v>0</v>
      </c>
      <c r="E58" s="634">
        <v>0</v>
      </c>
      <c r="F58" s="634">
        <v>0</v>
      </c>
      <c r="G58" s="634">
        <v>0</v>
      </c>
      <c r="H58" s="634">
        <v>1</v>
      </c>
      <c r="I58" s="634">
        <v>2</v>
      </c>
      <c r="J58" s="634">
        <v>3</v>
      </c>
      <c r="K58" s="634">
        <v>4</v>
      </c>
      <c r="L58" s="634">
        <v>5</v>
      </c>
      <c r="M58" s="767" t="s">
        <v>2940</v>
      </c>
    </row>
    <row r="59" spans="1:13">
      <c r="A59" s="997"/>
      <c r="B59" s="761" t="s">
        <v>396</v>
      </c>
      <c r="C59" s="762">
        <f>SUM(C56:C58)</f>
        <v>9860000</v>
      </c>
      <c r="D59" s="762">
        <f>SUM(D56:D58)</f>
        <v>116600</v>
      </c>
      <c r="E59" s="762">
        <f>SUM(E56:E58)</f>
        <v>121960.7018290858</v>
      </c>
      <c r="F59" s="762">
        <f>SUM(F56:F58)</f>
        <v>127720.31357576982</v>
      </c>
      <c r="G59" s="762">
        <f>SUM(G56:G58)</f>
        <v>133911.57421045573</v>
      </c>
      <c r="H59" s="762">
        <f t="shared" ref="H59:L59" si="26">SUM(H56:H58)</f>
        <v>140404.95709800371</v>
      </c>
      <c r="I59" s="762">
        <f t="shared" si="26"/>
        <v>147213.01070793846</v>
      </c>
      <c r="J59" s="762">
        <f t="shared" si="26"/>
        <v>154350.98874894463</v>
      </c>
      <c r="K59" s="762">
        <f t="shared" si="26"/>
        <v>161834.88435543701</v>
      </c>
      <c r="L59" s="762">
        <f t="shared" si="26"/>
        <v>169681.46593132944</v>
      </c>
      <c r="M59" s="767"/>
    </row>
    <row r="60" spans="1:13" ht="30">
      <c r="A60" s="997" t="s">
        <v>1281</v>
      </c>
      <c r="B60" s="633" t="s">
        <v>2937</v>
      </c>
      <c r="C60" s="634">
        <v>6250000</v>
      </c>
      <c r="D60" s="634">
        <v>0</v>
      </c>
      <c r="E60" s="634">
        <v>0</v>
      </c>
      <c r="F60" s="634">
        <v>0</v>
      </c>
      <c r="G60" s="634">
        <v>0</v>
      </c>
      <c r="H60" s="634">
        <v>1</v>
      </c>
      <c r="I60" s="634">
        <v>2</v>
      </c>
      <c r="J60" s="634">
        <v>3</v>
      </c>
      <c r="K60" s="634">
        <v>4</v>
      </c>
      <c r="L60" s="634">
        <v>5</v>
      </c>
      <c r="M60" s="767" t="s">
        <v>2931</v>
      </c>
    </row>
    <row r="61" spans="1:13">
      <c r="A61" s="997"/>
      <c r="B61" s="633" t="s">
        <v>2938</v>
      </c>
      <c r="C61" s="634">
        <v>110000</v>
      </c>
      <c r="D61" s="634">
        <f>C61*(1+$D$4)</f>
        <v>116600</v>
      </c>
      <c r="E61" s="634">
        <f>D61*(1+$E$4)</f>
        <v>121960.7018290858</v>
      </c>
      <c r="F61" s="634">
        <f>E61*(1+$F$4)</f>
        <v>127720.31357576982</v>
      </c>
      <c r="G61" s="634">
        <f>F61*(1+$G$4)</f>
        <v>133911.57421045573</v>
      </c>
      <c r="H61" s="634">
        <f t="shared" ref="H61:L61" si="27">G61*(1+$G$4)</f>
        <v>140402.95709800371</v>
      </c>
      <c r="I61" s="634">
        <f t="shared" si="27"/>
        <v>147209.01070793846</v>
      </c>
      <c r="J61" s="634">
        <f t="shared" si="27"/>
        <v>154344.98874894463</v>
      </c>
      <c r="K61" s="634">
        <f t="shared" si="27"/>
        <v>161826.88435543701</v>
      </c>
      <c r="L61" s="634">
        <f t="shared" si="27"/>
        <v>169671.46593132944</v>
      </c>
      <c r="M61" s="767" t="s">
        <v>2931</v>
      </c>
    </row>
    <row r="62" spans="1:13">
      <c r="A62" s="997"/>
      <c r="B62" s="633" t="s">
        <v>2939</v>
      </c>
      <c r="C62" s="634">
        <v>3500000</v>
      </c>
      <c r="D62" s="634">
        <v>0</v>
      </c>
      <c r="E62" s="634">
        <v>0</v>
      </c>
      <c r="F62" s="634">
        <v>0</v>
      </c>
      <c r="G62" s="634">
        <v>0</v>
      </c>
      <c r="H62" s="634">
        <v>1</v>
      </c>
      <c r="I62" s="634">
        <v>2</v>
      </c>
      <c r="J62" s="634">
        <v>3</v>
      </c>
      <c r="K62" s="634">
        <v>4</v>
      </c>
      <c r="L62" s="634">
        <v>5</v>
      </c>
      <c r="M62" s="767" t="s">
        <v>2940</v>
      </c>
    </row>
    <row r="63" spans="1:13">
      <c r="A63" s="997"/>
      <c r="B63" s="761" t="s">
        <v>396</v>
      </c>
      <c r="C63" s="762">
        <f t="shared" ref="C63:G63" si="28">SUM(C60:C62)</f>
        <v>9860000</v>
      </c>
      <c r="D63" s="762">
        <f t="shared" si="28"/>
        <v>116600</v>
      </c>
      <c r="E63" s="762">
        <f t="shared" si="28"/>
        <v>121960.7018290858</v>
      </c>
      <c r="F63" s="762">
        <f t="shared" si="28"/>
        <v>127720.31357576982</v>
      </c>
      <c r="G63" s="762">
        <f t="shared" si="28"/>
        <v>133911.57421045573</v>
      </c>
      <c r="H63" s="762">
        <f t="shared" ref="H63:L63" si="29">SUM(H60:H62)</f>
        <v>140404.95709800371</v>
      </c>
      <c r="I63" s="762">
        <f t="shared" si="29"/>
        <v>147213.01070793846</v>
      </c>
      <c r="J63" s="762">
        <f t="shared" si="29"/>
        <v>154350.98874894463</v>
      </c>
      <c r="K63" s="762">
        <f t="shared" si="29"/>
        <v>161834.88435543701</v>
      </c>
      <c r="L63" s="762">
        <f t="shared" si="29"/>
        <v>169681.46593132944</v>
      </c>
      <c r="M63" s="767"/>
    </row>
    <row r="64" spans="1:13" ht="30">
      <c r="A64" s="997" t="s">
        <v>1282</v>
      </c>
      <c r="B64" s="633" t="s">
        <v>2937</v>
      </c>
      <c r="C64" s="634">
        <v>6250000</v>
      </c>
      <c r="D64" s="634">
        <v>0</v>
      </c>
      <c r="E64" s="634">
        <v>0</v>
      </c>
      <c r="F64" s="634">
        <v>0</v>
      </c>
      <c r="G64" s="634">
        <v>0</v>
      </c>
      <c r="H64" s="634">
        <v>1</v>
      </c>
      <c r="I64" s="634">
        <v>2</v>
      </c>
      <c r="J64" s="634">
        <v>3</v>
      </c>
      <c r="K64" s="634">
        <v>4</v>
      </c>
      <c r="L64" s="634">
        <v>5</v>
      </c>
      <c r="M64" s="767" t="s">
        <v>2931</v>
      </c>
    </row>
    <row r="65" spans="1:13">
      <c r="A65" s="997"/>
      <c r="B65" s="633" t="s">
        <v>2938</v>
      </c>
      <c r="C65" s="634">
        <v>110000</v>
      </c>
      <c r="D65" s="634">
        <f>C65*(1+$D$4)</f>
        <v>116600</v>
      </c>
      <c r="E65" s="634">
        <f>D65*(1+$E$4)</f>
        <v>121960.7018290858</v>
      </c>
      <c r="F65" s="634">
        <f>E65*(1+$F$4)</f>
        <v>127720.31357576982</v>
      </c>
      <c r="G65" s="634">
        <f>F65*(1+$G$4)</f>
        <v>133911.57421045573</v>
      </c>
      <c r="H65" s="634">
        <f t="shared" ref="H65:L65" si="30">G65*(1+$G$4)</f>
        <v>140402.95709800371</v>
      </c>
      <c r="I65" s="634">
        <f t="shared" si="30"/>
        <v>147209.01070793846</v>
      </c>
      <c r="J65" s="634">
        <f t="shared" si="30"/>
        <v>154344.98874894463</v>
      </c>
      <c r="K65" s="634">
        <f t="shared" si="30"/>
        <v>161826.88435543701</v>
      </c>
      <c r="L65" s="634">
        <f t="shared" si="30"/>
        <v>169671.46593132944</v>
      </c>
      <c r="M65" s="767" t="s">
        <v>2931</v>
      </c>
    </row>
    <row r="66" spans="1:13">
      <c r="A66" s="997"/>
      <c r="B66" s="633" t="s">
        <v>2939</v>
      </c>
      <c r="C66" s="634">
        <v>3500000</v>
      </c>
      <c r="D66" s="634">
        <v>0</v>
      </c>
      <c r="E66" s="634">
        <v>0</v>
      </c>
      <c r="F66" s="634">
        <v>0</v>
      </c>
      <c r="G66" s="634">
        <v>0</v>
      </c>
      <c r="H66" s="634">
        <v>1</v>
      </c>
      <c r="I66" s="634">
        <v>2</v>
      </c>
      <c r="J66" s="634">
        <v>3</v>
      </c>
      <c r="K66" s="634">
        <v>4</v>
      </c>
      <c r="L66" s="634">
        <v>5</v>
      </c>
      <c r="M66" s="767" t="s">
        <v>2940</v>
      </c>
    </row>
    <row r="67" spans="1:13">
      <c r="A67" s="997"/>
      <c r="B67" s="761" t="s">
        <v>396</v>
      </c>
      <c r="C67" s="762">
        <f>SUM(C64:C66)</f>
        <v>9860000</v>
      </c>
      <c r="D67" s="762">
        <f>SUM(D64:D66)</f>
        <v>116600</v>
      </c>
      <c r="E67" s="762">
        <f>SUM(E64:E66)</f>
        <v>121960.7018290858</v>
      </c>
      <c r="F67" s="762">
        <f>SUM(F64:F66)</f>
        <v>127720.31357576982</v>
      </c>
      <c r="G67" s="762">
        <f>SUM(G64:G66)</f>
        <v>133911.57421045573</v>
      </c>
      <c r="H67" s="762">
        <f t="shared" ref="H67:L67" si="31">SUM(H64:H66)</f>
        <v>140404.95709800371</v>
      </c>
      <c r="I67" s="762">
        <f t="shared" si="31"/>
        <v>147213.01070793846</v>
      </c>
      <c r="J67" s="762">
        <f t="shared" si="31"/>
        <v>154350.98874894463</v>
      </c>
      <c r="K67" s="762">
        <f t="shared" si="31"/>
        <v>161834.88435543701</v>
      </c>
      <c r="L67" s="762">
        <f t="shared" si="31"/>
        <v>169681.46593132944</v>
      </c>
      <c r="M67" s="767"/>
    </row>
    <row r="68" spans="1:13" ht="30">
      <c r="A68" s="997" t="s">
        <v>1283</v>
      </c>
      <c r="B68" s="633" t="s">
        <v>2937</v>
      </c>
      <c r="C68" s="634">
        <v>6250000</v>
      </c>
      <c r="D68" s="634">
        <v>0</v>
      </c>
      <c r="E68" s="634">
        <v>0</v>
      </c>
      <c r="F68" s="634">
        <v>0</v>
      </c>
      <c r="G68" s="634">
        <v>0</v>
      </c>
      <c r="H68" s="634">
        <v>1</v>
      </c>
      <c r="I68" s="634">
        <v>2</v>
      </c>
      <c r="J68" s="634">
        <v>3</v>
      </c>
      <c r="K68" s="634">
        <v>4</v>
      </c>
      <c r="L68" s="634">
        <v>5</v>
      </c>
      <c r="M68" s="767" t="s">
        <v>2931</v>
      </c>
    </row>
    <row r="69" spans="1:13">
      <c r="A69" s="997"/>
      <c r="B69" s="633" t="s">
        <v>2938</v>
      </c>
      <c r="C69" s="634">
        <v>110000</v>
      </c>
      <c r="D69" s="634">
        <f>C69*(1+$D$4)</f>
        <v>116600</v>
      </c>
      <c r="E69" s="634">
        <f>D69*(1+$E$4)</f>
        <v>121960.7018290858</v>
      </c>
      <c r="F69" s="634">
        <f>E69*(1+$F$4)</f>
        <v>127720.31357576982</v>
      </c>
      <c r="G69" s="634">
        <f>F69*(1+$G$4)</f>
        <v>133911.57421045573</v>
      </c>
      <c r="H69" s="634">
        <f t="shared" ref="H69:L69" si="32">G69*(1+$G$4)</f>
        <v>140402.95709800371</v>
      </c>
      <c r="I69" s="634">
        <f t="shared" si="32"/>
        <v>147209.01070793846</v>
      </c>
      <c r="J69" s="634">
        <f t="shared" si="32"/>
        <v>154344.98874894463</v>
      </c>
      <c r="K69" s="634">
        <f t="shared" si="32"/>
        <v>161826.88435543701</v>
      </c>
      <c r="L69" s="634">
        <f t="shared" si="32"/>
        <v>169671.46593132944</v>
      </c>
      <c r="M69" s="767" t="s">
        <v>2931</v>
      </c>
    </row>
    <row r="70" spans="1:13">
      <c r="A70" s="997"/>
      <c r="B70" s="633" t="s">
        <v>2939</v>
      </c>
      <c r="C70" s="634">
        <v>3500000</v>
      </c>
      <c r="D70" s="634">
        <v>0</v>
      </c>
      <c r="E70" s="634">
        <v>0</v>
      </c>
      <c r="F70" s="634">
        <v>0</v>
      </c>
      <c r="G70" s="634">
        <v>0</v>
      </c>
      <c r="H70" s="634">
        <v>1</v>
      </c>
      <c r="I70" s="634">
        <v>2</v>
      </c>
      <c r="J70" s="634">
        <v>3</v>
      </c>
      <c r="K70" s="634">
        <v>4</v>
      </c>
      <c r="L70" s="634">
        <v>5</v>
      </c>
      <c r="M70" s="767" t="s">
        <v>2940</v>
      </c>
    </row>
    <row r="71" spans="1:13">
      <c r="A71" s="997"/>
      <c r="B71" s="761" t="s">
        <v>396</v>
      </c>
      <c r="C71" s="762">
        <f>SUM(C68:C70)</f>
        <v>9860000</v>
      </c>
      <c r="D71" s="762">
        <f>SUM(D68:D70)</f>
        <v>116600</v>
      </c>
      <c r="E71" s="762">
        <f>SUM(E68:E70)</f>
        <v>121960.7018290858</v>
      </c>
      <c r="F71" s="762">
        <f>SUM(F68:F70)</f>
        <v>127720.31357576982</v>
      </c>
      <c r="G71" s="762">
        <f>SUM(G68:G70)</f>
        <v>133911.57421045573</v>
      </c>
      <c r="H71" s="762">
        <f t="shared" ref="H71:L71" si="33">SUM(H68:H70)</f>
        <v>140404.95709800371</v>
      </c>
      <c r="I71" s="762">
        <f t="shared" si="33"/>
        <v>147213.01070793846</v>
      </c>
      <c r="J71" s="762">
        <f t="shared" si="33"/>
        <v>154350.98874894463</v>
      </c>
      <c r="K71" s="762">
        <f t="shared" si="33"/>
        <v>161834.88435543701</v>
      </c>
      <c r="L71" s="762">
        <f t="shared" si="33"/>
        <v>169681.46593132944</v>
      </c>
      <c r="M71" s="767"/>
    </row>
    <row r="72" spans="1:13" ht="30">
      <c r="A72" s="997" t="s">
        <v>1284</v>
      </c>
      <c r="B72" s="633" t="s">
        <v>2937</v>
      </c>
      <c r="C72" s="634">
        <v>6250000</v>
      </c>
      <c r="D72" s="634">
        <v>0</v>
      </c>
      <c r="E72" s="634">
        <v>0</v>
      </c>
      <c r="F72" s="634">
        <v>0</v>
      </c>
      <c r="G72" s="634">
        <v>0</v>
      </c>
      <c r="H72" s="634">
        <v>1</v>
      </c>
      <c r="I72" s="634">
        <v>2</v>
      </c>
      <c r="J72" s="634">
        <v>3</v>
      </c>
      <c r="K72" s="634">
        <v>4</v>
      </c>
      <c r="L72" s="634">
        <v>5</v>
      </c>
      <c r="M72" s="767" t="s">
        <v>2931</v>
      </c>
    </row>
    <row r="73" spans="1:13">
      <c r="A73" s="997"/>
      <c r="B73" s="633" t="s">
        <v>2938</v>
      </c>
      <c r="C73" s="634">
        <v>110000</v>
      </c>
      <c r="D73" s="634">
        <f>C73*(1+$D$4)</f>
        <v>116600</v>
      </c>
      <c r="E73" s="634">
        <f>D73*(1+$E$4)</f>
        <v>121960.7018290858</v>
      </c>
      <c r="F73" s="634">
        <f>E73*(1+$F$4)</f>
        <v>127720.31357576982</v>
      </c>
      <c r="G73" s="634">
        <f>F73*(1+$G$4)</f>
        <v>133911.57421045573</v>
      </c>
      <c r="H73" s="634">
        <f t="shared" ref="H73:L73" si="34">G73*(1+$G$4)</f>
        <v>140402.95709800371</v>
      </c>
      <c r="I73" s="634">
        <f t="shared" si="34"/>
        <v>147209.01070793846</v>
      </c>
      <c r="J73" s="634">
        <f t="shared" si="34"/>
        <v>154344.98874894463</v>
      </c>
      <c r="K73" s="634">
        <f t="shared" si="34"/>
        <v>161826.88435543701</v>
      </c>
      <c r="L73" s="634">
        <f t="shared" si="34"/>
        <v>169671.46593132944</v>
      </c>
      <c r="M73" s="767" t="s">
        <v>2931</v>
      </c>
    </row>
    <row r="74" spans="1:13">
      <c r="A74" s="997"/>
      <c r="B74" s="633" t="s">
        <v>2939</v>
      </c>
      <c r="C74" s="634">
        <v>3500000</v>
      </c>
      <c r="D74" s="634">
        <v>0</v>
      </c>
      <c r="E74" s="634">
        <v>0</v>
      </c>
      <c r="F74" s="634">
        <v>0</v>
      </c>
      <c r="G74" s="634">
        <v>0</v>
      </c>
      <c r="H74" s="634">
        <v>1</v>
      </c>
      <c r="I74" s="634">
        <v>2</v>
      </c>
      <c r="J74" s="634">
        <v>3</v>
      </c>
      <c r="K74" s="634">
        <v>4</v>
      </c>
      <c r="L74" s="634">
        <v>5</v>
      </c>
      <c r="M74" s="767" t="s">
        <v>2940</v>
      </c>
    </row>
    <row r="75" spans="1:13">
      <c r="A75" s="997"/>
      <c r="B75" s="761" t="s">
        <v>396</v>
      </c>
      <c r="C75" s="762">
        <f>SUM(C72:C74)</f>
        <v>9860000</v>
      </c>
      <c r="D75" s="762">
        <f>SUM(D72:D74)</f>
        <v>116600</v>
      </c>
      <c r="E75" s="762">
        <f>SUM(E72:E74)</f>
        <v>121960.7018290858</v>
      </c>
      <c r="F75" s="762">
        <f>SUM(F72:F74)</f>
        <v>127720.31357576982</v>
      </c>
      <c r="G75" s="762">
        <f>SUM(G72:G74)</f>
        <v>133911.57421045573</v>
      </c>
      <c r="H75" s="762">
        <f t="shared" ref="H75:L75" si="35">SUM(H72:H74)</f>
        <v>140404.95709800371</v>
      </c>
      <c r="I75" s="762">
        <f t="shared" si="35"/>
        <v>147213.01070793846</v>
      </c>
      <c r="J75" s="762">
        <f t="shared" si="35"/>
        <v>154350.98874894463</v>
      </c>
      <c r="K75" s="762">
        <f t="shared" si="35"/>
        <v>161834.88435543701</v>
      </c>
      <c r="L75" s="762">
        <f t="shared" si="35"/>
        <v>169681.46593132944</v>
      </c>
      <c r="M75" s="767"/>
    </row>
    <row r="76" spans="1:13">
      <c r="A76" s="632"/>
      <c r="B76" s="632"/>
      <c r="C76" s="635"/>
      <c r="D76" s="635"/>
      <c r="E76" s="635"/>
      <c r="F76" s="635"/>
      <c r="G76" s="635"/>
      <c r="H76" s="635"/>
      <c r="I76" s="635"/>
      <c r="J76" s="635"/>
      <c r="K76" s="635"/>
      <c r="L76" s="635"/>
      <c r="M76" s="767"/>
    </row>
    <row r="77" spans="1:13">
      <c r="A77" s="998" t="s">
        <v>396</v>
      </c>
      <c r="B77" s="998"/>
      <c r="C77" s="763">
        <f>C10+C14+C18+C27+C31+C35+C39+C43+C47+C51+C55+C59+C63+C67+C71+C75</f>
        <v>166085030</v>
      </c>
      <c r="D77" s="763">
        <f>D10+D14+D18+D27+D31+D35+D39+D43+D47+D51+D55+D59+D63+D67+D71+D75</f>
        <v>30463211.800000001</v>
      </c>
      <c r="E77" s="763">
        <f>E10+E14+E18+E27+E31+E35+E39+E43+E47+E51+E55+E59+E63+E67+E71+E75</f>
        <v>31863762.359314669</v>
      </c>
      <c r="F77" s="763">
        <f>F10+F14+F18+F27+F31+F35+F39+F43+F47+F51+F55+F59+F63+F67+F71+F75</f>
        <v>33368533.1356869</v>
      </c>
      <c r="G77" s="763">
        <f>G10+G14+G18+G27+G31+G35+G39+G43+G47+G51+G55+G59+G63+G67+G71+G75</f>
        <v>34986077.595579192</v>
      </c>
      <c r="H77" s="763">
        <f t="shared" ref="H77:L77" si="36">H10+H14+H18+H27+H31+H35+H39+H43+H47+H51+H55+H59+H63+H67+H71+H75</f>
        <v>36682057.756627835</v>
      </c>
      <c r="I77" s="763">
        <f t="shared" si="36"/>
        <v>38460249.588888474</v>
      </c>
      <c r="J77" s="763">
        <f t="shared" si="36"/>
        <v>40324638.314989023</v>
      </c>
      <c r="K77" s="763">
        <f t="shared" si="36"/>
        <v>42279402.341799229</v>
      </c>
      <c r="L77" s="763">
        <f t="shared" si="36"/>
        <v>44328922.625064924</v>
      </c>
      <c r="M77" s="767"/>
    </row>
  </sheetData>
  <autoFilter ref="A6:G75" xr:uid="{00000000-0009-0000-0000-000023000000}"/>
  <mergeCells count="17">
    <mergeCell ref="A56:A59"/>
    <mergeCell ref="A7:A10"/>
    <mergeCell ref="A11:A14"/>
    <mergeCell ref="A15:A18"/>
    <mergeCell ref="A19:A27"/>
    <mergeCell ref="A28:A31"/>
    <mergeCell ref="A32:A35"/>
    <mergeCell ref="A36:A39"/>
    <mergeCell ref="A40:A43"/>
    <mergeCell ref="A44:A47"/>
    <mergeCell ref="A48:A51"/>
    <mergeCell ref="A52:A55"/>
    <mergeCell ref="A60:A63"/>
    <mergeCell ref="A64:A67"/>
    <mergeCell ref="A68:A71"/>
    <mergeCell ref="A72:A75"/>
    <mergeCell ref="A77:B77"/>
  </mergeCells>
  <phoneticPr fontId="30" type="noConversion"/>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O56"/>
  <sheetViews>
    <sheetView showGridLines="0" workbookViewId="0">
      <pane ySplit="3" topLeftCell="A4" activePane="bottomLeft" state="frozen"/>
      <selection pane="bottomLeft" activeCell="A10" sqref="A10:A12"/>
    </sheetView>
  </sheetViews>
  <sheetFormatPr baseColWidth="10" defaultRowHeight="15"/>
  <cols>
    <col min="1" max="1" width="20.7109375" style="626" customWidth="1"/>
    <col min="2" max="2" width="51.42578125" style="626" customWidth="1"/>
    <col min="3" max="12" width="14.7109375" style="627" customWidth="1"/>
    <col min="13" max="13" width="31.85546875" style="764" customWidth="1"/>
    <col min="14" max="16384" width="11.42578125" style="626"/>
  </cols>
  <sheetData>
    <row r="1" spans="1:15" ht="20.100000000000001" customHeight="1">
      <c r="A1" s="624"/>
      <c r="B1" s="757" t="s">
        <v>436</v>
      </c>
      <c r="C1" s="758">
        <v>0</v>
      </c>
      <c r="D1" s="758">
        <f>+'IPC - CAFÉ'!E24</f>
        <v>0.06</v>
      </c>
      <c r="E1" s="758">
        <f>+'IPC - CAFÉ'!F24</f>
        <v>4.5975144331782153E-2</v>
      </c>
      <c r="F1" s="758">
        <f>+'IPC - CAFÉ'!G24</f>
        <v>4.7225144331782154E-2</v>
      </c>
      <c r="G1" s="758">
        <f>+'IPC - CAFÉ'!H24</f>
        <v>4.8475144331782155E-2</v>
      </c>
      <c r="H1" s="758">
        <f>+'IPC - CAFÉ'!I24</f>
        <v>4.9725144331782156E-2</v>
      </c>
      <c r="I1" s="758">
        <f>+'IPC - CAFÉ'!J24</f>
        <v>5.0975144331782157E-2</v>
      </c>
      <c r="J1" s="758">
        <f>+'IPC - CAFÉ'!K24</f>
        <v>5.2225144331782158E-2</v>
      </c>
      <c r="K1" s="758">
        <f>+'IPC - CAFÉ'!L24</f>
        <v>5.347514433178216E-2</v>
      </c>
      <c r="L1" s="758">
        <f>+'IPC - CAFÉ'!M24</f>
        <v>5.4725144331782161E-2</v>
      </c>
    </row>
    <row r="2" spans="1:15" ht="16.149999999999999" customHeight="1"/>
    <row r="3" spans="1:15">
      <c r="A3" s="759" t="s">
        <v>1243</v>
      </c>
      <c r="B3" s="759" t="s">
        <v>505</v>
      </c>
      <c r="C3" s="760" t="s">
        <v>226</v>
      </c>
      <c r="D3" s="760" t="s">
        <v>227</v>
      </c>
      <c r="E3" s="760" t="s">
        <v>228</v>
      </c>
      <c r="F3" s="760" t="s">
        <v>229</v>
      </c>
      <c r="G3" s="760" t="s">
        <v>230</v>
      </c>
      <c r="H3" s="760" t="s">
        <v>231</v>
      </c>
      <c r="I3" s="760" t="s">
        <v>232</v>
      </c>
      <c r="J3" s="760" t="s">
        <v>233</v>
      </c>
      <c r="K3" s="760" t="s">
        <v>3010</v>
      </c>
      <c r="L3" s="760" t="s">
        <v>3011</v>
      </c>
    </row>
    <row r="4" spans="1:15">
      <c r="A4" s="997" t="s">
        <v>1245</v>
      </c>
      <c r="B4" s="633"/>
      <c r="C4" s="634">
        <v>80170000</v>
      </c>
      <c r="D4" s="634">
        <v>0</v>
      </c>
      <c r="E4" s="634">
        <v>0</v>
      </c>
      <c r="F4" s="634">
        <v>0</v>
      </c>
      <c r="G4" s="634">
        <v>0</v>
      </c>
      <c r="H4" s="634">
        <v>1</v>
      </c>
      <c r="I4" s="634">
        <v>2</v>
      </c>
      <c r="J4" s="634">
        <v>3</v>
      </c>
      <c r="K4" s="634">
        <v>4</v>
      </c>
      <c r="L4" s="634">
        <v>5</v>
      </c>
      <c r="M4" s="764" t="s">
        <v>2913</v>
      </c>
    </row>
    <row r="5" spans="1:15">
      <c r="A5" s="997"/>
      <c r="B5" s="633"/>
      <c r="C5" s="634">
        <v>0</v>
      </c>
      <c r="D5" s="634">
        <f>C5*(1+$D$1)</f>
        <v>0</v>
      </c>
      <c r="E5" s="634">
        <f>D5*(1+$E$1)</f>
        <v>0</v>
      </c>
      <c r="F5" s="634">
        <f>E5*(1+$F$1)</f>
        <v>0</v>
      </c>
      <c r="G5" s="634">
        <f>F5*(1+$G$1)</f>
        <v>0</v>
      </c>
      <c r="H5" s="634">
        <f t="shared" ref="H5:L5" si="0">G5*(1+$G$1)</f>
        <v>0</v>
      </c>
      <c r="I5" s="634">
        <f t="shared" si="0"/>
        <v>0</v>
      </c>
      <c r="J5" s="634">
        <f t="shared" si="0"/>
        <v>0</v>
      </c>
      <c r="K5" s="634">
        <f t="shared" si="0"/>
        <v>0</v>
      </c>
      <c r="L5" s="634">
        <f t="shared" si="0"/>
        <v>0</v>
      </c>
    </row>
    <row r="6" spans="1:15">
      <c r="A6" s="997"/>
      <c r="B6" s="761" t="s">
        <v>396</v>
      </c>
      <c r="C6" s="762">
        <f>SUM(C4:C5)</f>
        <v>80170000</v>
      </c>
      <c r="D6" s="762">
        <f>SUM(D4:D5)</f>
        <v>0</v>
      </c>
      <c r="E6" s="762">
        <f>SUM(E4:E5)</f>
        <v>0</v>
      </c>
      <c r="F6" s="762">
        <f>SUM(F4:F5)</f>
        <v>0</v>
      </c>
      <c r="G6" s="762">
        <f>SUM(G4:G5)</f>
        <v>0</v>
      </c>
      <c r="H6" s="762">
        <f t="shared" ref="H6:L6" si="1">SUM(H4:H5)</f>
        <v>1</v>
      </c>
      <c r="I6" s="762">
        <f t="shared" si="1"/>
        <v>2</v>
      </c>
      <c r="J6" s="762">
        <f t="shared" si="1"/>
        <v>3</v>
      </c>
      <c r="K6" s="762">
        <f t="shared" si="1"/>
        <v>4</v>
      </c>
      <c r="L6" s="762">
        <f t="shared" si="1"/>
        <v>5</v>
      </c>
    </row>
    <row r="7" spans="1:15">
      <c r="A7" s="997" t="s">
        <v>1250</v>
      </c>
      <c r="B7" s="633"/>
      <c r="C7" s="634">
        <v>80170000</v>
      </c>
      <c r="D7" s="634">
        <v>0</v>
      </c>
      <c r="E7" s="634">
        <v>0</v>
      </c>
      <c r="F7" s="634">
        <v>0</v>
      </c>
      <c r="G7" s="634">
        <v>0</v>
      </c>
      <c r="H7" s="634">
        <v>0</v>
      </c>
      <c r="I7" s="634">
        <v>0</v>
      </c>
      <c r="J7" s="634">
        <v>0</v>
      </c>
      <c r="K7" s="634">
        <v>0</v>
      </c>
      <c r="L7" s="634">
        <v>0</v>
      </c>
      <c r="M7" s="764" t="s">
        <v>2914</v>
      </c>
    </row>
    <row r="8" spans="1:15">
      <c r="A8" s="997"/>
      <c r="B8" s="633"/>
      <c r="C8" s="634">
        <v>0</v>
      </c>
      <c r="D8" s="634">
        <v>0</v>
      </c>
      <c r="E8" s="634">
        <v>0</v>
      </c>
      <c r="F8" s="634">
        <v>0</v>
      </c>
      <c r="G8" s="634">
        <v>0</v>
      </c>
      <c r="H8" s="634">
        <v>0</v>
      </c>
      <c r="I8" s="634">
        <v>0</v>
      </c>
      <c r="J8" s="634">
        <v>0</v>
      </c>
      <c r="K8" s="634">
        <v>0</v>
      </c>
      <c r="L8" s="634">
        <v>0</v>
      </c>
    </row>
    <row r="9" spans="1:15">
      <c r="A9" s="997"/>
      <c r="B9" s="761" t="s">
        <v>396</v>
      </c>
      <c r="C9" s="762">
        <f>SUM(C7:C8)</f>
        <v>80170000</v>
      </c>
      <c r="D9" s="762">
        <f>SUM(D7:D8)</f>
        <v>0</v>
      </c>
      <c r="E9" s="762">
        <f>SUM(E7:E8)</f>
        <v>0</v>
      </c>
      <c r="F9" s="762">
        <f>SUM(F7:F8)</f>
        <v>0</v>
      </c>
      <c r="G9" s="762">
        <f>SUM(G7:G8)</f>
        <v>0</v>
      </c>
      <c r="H9" s="762">
        <f t="shared" ref="H9:L9" si="2">SUM(H7:H8)</f>
        <v>0</v>
      </c>
      <c r="I9" s="762">
        <f t="shared" si="2"/>
        <v>0</v>
      </c>
      <c r="J9" s="762">
        <f t="shared" si="2"/>
        <v>0</v>
      </c>
      <c r="K9" s="762">
        <f t="shared" si="2"/>
        <v>0</v>
      </c>
      <c r="L9" s="762">
        <f t="shared" si="2"/>
        <v>0</v>
      </c>
    </row>
    <row r="10" spans="1:15">
      <c r="A10" s="997" t="s">
        <v>1253</v>
      </c>
      <c r="B10" s="633"/>
      <c r="C10" s="634">
        <v>0</v>
      </c>
      <c r="D10" s="634">
        <v>0</v>
      </c>
      <c r="E10" s="634">
        <v>0</v>
      </c>
      <c r="F10" s="634">
        <v>0</v>
      </c>
      <c r="G10" s="634">
        <v>0</v>
      </c>
      <c r="H10" s="634">
        <v>0</v>
      </c>
      <c r="I10" s="634">
        <v>0</v>
      </c>
      <c r="J10" s="634">
        <v>0</v>
      </c>
      <c r="K10" s="634">
        <v>0</v>
      </c>
      <c r="L10" s="634">
        <v>0</v>
      </c>
      <c r="M10" s="764" t="s">
        <v>2915</v>
      </c>
    </row>
    <row r="11" spans="1:15">
      <c r="A11" s="997"/>
      <c r="B11" s="633"/>
      <c r="C11" s="634">
        <v>0</v>
      </c>
      <c r="D11" s="634">
        <v>0</v>
      </c>
      <c r="E11" s="634">
        <v>0</v>
      </c>
      <c r="F11" s="634">
        <v>0</v>
      </c>
      <c r="G11" s="634">
        <v>0</v>
      </c>
      <c r="H11" s="634">
        <v>0</v>
      </c>
      <c r="I11" s="634">
        <v>0</v>
      </c>
      <c r="J11" s="634">
        <v>0</v>
      </c>
      <c r="K11" s="634">
        <v>0</v>
      </c>
      <c r="L11" s="634">
        <v>0</v>
      </c>
    </row>
    <row r="12" spans="1:15">
      <c r="A12" s="997"/>
      <c r="B12" s="761" t="s">
        <v>396</v>
      </c>
      <c r="C12" s="762">
        <f>SUM(C10:C11)</f>
        <v>0</v>
      </c>
      <c r="D12" s="762">
        <f>SUM(D10:D11)</f>
        <v>0</v>
      </c>
      <c r="E12" s="762">
        <f>SUM(E10:E11)</f>
        <v>0</v>
      </c>
      <c r="F12" s="762">
        <f>SUM(F10:F11)</f>
        <v>0</v>
      </c>
      <c r="G12" s="762">
        <f>SUM(G10:G11)</f>
        <v>0</v>
      </c>
      <c r="H12" s="762">
        <f t="shared" ref="H12:L12" si="3">SUM(H10:H11)</f>
        <v>0</v>
      </c>
      <c r="I12" s="762">
        <f t="shared" si="3"/>
        <v>0</v>
      </c>
      <c r="J12" s="762">
        <f t="shared" si="3"/>
        <v>0</v>
      </c>
      <c r="K12" s="762">
        <f t="shared" si="3"/>
        <v>0</v>
      </c>
      <c r="L12" s="762">
        <f t="shared" si="3"/>
        <v>0</v>
      </c>
    </row>
    <row r="13" spans="1:15">
      <c r="A13" s="997" t="s">
        <v>1255</v>
      </c>
      <c r="B13" s="633" t="s">
        <v>2916</v>
      </c>
      <c r="C13" s="634">
        <v>1140000</v>
      </c>
      <c r="D13" s="634">
        <v>2420000</v>
      </c>
      <c r="E13" s="634">
        <f>D13*(1+$E$1)</f>
        <v>2531259.8492829129</v>
      </c>
      <c r="F13" s="634">
        <f>E13*(1+$F$1)</f>
        <v>2650798.9610065436</v>
      </c>
      <c r="G13" s="634">
        <f>F13*(1+$G$1)</f>
        <v>2779296.8232358741</v>
      </c>
      <c r="H13" s="634">
        <f t="shared" ref="H13:L13" si="4">G13*(1+$G$1)</f>
        <v>2914023.6378830965</v>
      </c>
      <c r="I13" s="634">
        <f t="shared" si="4"/>
        <v>3055281.3543157042</v>
      </c>
      <c r="J13" s="634">
        <f t="shared" si="4"/>
        <v>3203386.5589403608</v>
      </c>
      <c r="K13" s="634">
        <f t="shared" si="4"/>
        <v>3358671.1847354858</v>
      </c>
      <c r="L13" s="634">
        <f t="shared" si="4"/>
        <v>3521483.2551785363</v>
      </c>
      <c r="M13" s="765" t="s">
        <v>2917</v>
      </c>
    </row>
    <row r="14" spans="1:15">
      <c r="A14" s="997"/>
      <c r="B14" s="633" t="s">
        <v>2918</v>
      </c>
      <c r="C14" s="634">
        <v>109440000</v>
      </c>
      <c r="D14" s="634">
        <f>C14*(1+$D$1)</f>
        <v>116006400</v>
      </c>
      <c r="E14" s="634">
        <f>D14*(1+$E$1)</f>
        <v>121339810.98341046</v>
      </c>
      <c r="F14" s="634">
        <f>E14*(1+$F$1)</f>
        <v>127070101.07029319</v>
      </c>
      <c r="G14" s="634">
        <f>F14*(1+$G$1)</f>
        <v>133229842.55992979</v>
      </c>
      <c r="H14" s="634">
        <f t="shared" ref="H14:L14" si="5">G14*(1+$G$1)</f>
        <v>139688178.407323</v>
      </c>
      <c r="I14" s="634">
        <f t="shared" si="5"/>
        <v>146459583.01706171</v>
      </c>
      <c r="J14" s="634">
        <f t="shared" si="5"/>
        <v>153559232.44258639</v>
      </c>
      <c r="K14" s="634">
        <f t="shared" si="5"/>
        <v>161003038.39871845</v>
      </c>
      <c r="L14" s="634">
        <f t="shared" si="5"/>
        <v>168807683.92295179</v>
      </c>
      <c r="M14" s="764" t="s">
        <v>2919</v>
      </c>
      <c r="N14" s="625"/>
      <c r="O14" s="625"/>
    </row>
    <row r="15" spans="1:15">
      <c r="A15" s="997"/>
      <c r="B15" s="761" t="s">
        <v>396</v>
      </c>
      <c r="C15" s="762">
        <f>SUM(C13:C14)</f>
        <v>110580000</v>
      </c>
      <c r="D15" s="762">
        <f>SUM(D13:D14)</f>
        <v>118426400</v>
      </c>
      <c r="E15" s="762">
        <f>SUM(E13:E14)</f>
        <v>123871070.83269337</v>
      </c>
      <c r="F15" s="762">
        <f>SUM(F13:F14)</f>
        <v>129720900.03129973</v>
      </c>
      <c r="G15" s="762">
        <f>SUM(G13:G14)</f>
        <v>136009139.38316566</v>
      </c>
      <c r="H15" s="762">
        <f t="shared" ref="H15:L15" si="6">SUM(H13:H14)</f>
        <v>142602202.0452061</v>
      </c>
      <c r="I15" s="762">
        <f t="shared" si="6"/>
        <v>149514864.37137741</v>
      </c>
      <c r="J15" s="762">
        <f t="shared" si="6"/>
        <v>156762619.00152674</v>
      </c>
      <c r="K15" s="762">
        <f t="shared" si="6"/>
        <v>164361709.58345392</v>
      </c>
      <c r="L15" s="762">
        <f t="shared" si="6"/>
        <v>172329167.17813033</v>
      </c>
    </row>
    <row r="16" spans="1:15">
      <c r="A16" s="997" t="s">
        <v>1264</v>
      </c>
      <c r="B16" s="633"/>
      <c r="C16" s="634">
        <v>0</v>
      </c>
      <c r="D16" s="634">
        <f>C16*(1+$D$1)</f>
        <v>0</v>
      </c>
      <c r="E16" s="634">
        <f>D16*(1+$E$1)</f>
        <v>0</v>
      </c>
      <c r="F16" s="634">
        <f>E16*(1+$F$1)</f>
        <v>0</v>
      </c>
      <c r="G16" s="634">
        <f>F16*(1+$G$1)</f>
        <v>0</v>
      </c>
      <c r="H16" s="634">
        <f t="shared" ref="H16:L16" si="7">G16*(1+$G$1)</f>
        <v>0</v>
      </c>
      <c r="I16" s="634">
        <f t="shared" si="7"/>
        <v>0</v>
      </c>
      <c r="J16" s="634">
        <f t="shared" si="7"/>
        <v>0</v>
      </c>
      <c r="K16" s="634">
        <f t="shared" si="7"/>
        <v>0</v>
      </c>
      <c r="L16" s="634">
        <f t="shared" si="7"/>
        <v>0</v>
      </c>
      <c r="M16" s="764" t="s">
        <v>2920</v>
      </c>
    </row>
    <row r="17" spans="1:13">
      <c r="A17" s="997"/>
      <c r="B17" s="633"/>
      <c r="C17" s="634">
        <v>0</v>
      </c>
      <c r="D17" s="634">
        <v>0</v>
      </c>
      <c r="E17" s="634">
        <v>0</v>
      </c>
      <c r="F17" s="634">
        <v>0</v>
      </c>
      <c r="G17" s="634">
        <v>0</v>
      </c>
      <c r="H17" s="634">
        <v>1</v>
      </c>
      <c r="I17" s="634">
        <v>2</v>
      </c>
      <c r="J17" s="634">
        <v>3</v>
      </c>
      <c r="K17" s="634">
        <v>4</v>
      </c>
      <c r="L17" s="634">
        <v>5</v>
      </c>
      <c r="M17" s="766"/>
    </row>
    <row r="18" spans="1:13">
      <c r="A18" s="997"/>
      <c r="B18" s="761" t="s">
        <v>396</v>
      </c>
      <c r="C18" s="762">
        <f>SUM(C16:C17)</f>
        <v>0</v>
      </c>
      <c r="D18" s="762">
        <f>SUM(D16:D17)</f>
        <v>0</v>
      </c>
      <c r="E18" s="762">
        <f>SUM(E16:E17)</f>
        <v>0</v>
      </c>
      <c r="F18" s="762">
        <f>SUM(F16:F17)</f>
        <v>0</v>
      </c>
      <c r="G18" s="762">
        <f>SUM(G16:G17)</f>
        <v>0</v>
      </c>
      <c r="H18" s="762">
        <f t="shared" ref="H18:L18" si="8">SUM(H16:H17)</f>
        <v>1</v>
      </c>
      <c r="I18" s="762">
        <f t="shared" si="8"/>
        <v>2</v>
      </c>
      <c r="J18" s="762">
        <f t="shared" si="8"/>
        <v>3</v>
      </c>
      <c r="K18" s="762">
        <f t="shared" si="8"/>
        <v>4</v>
      </c>
      <c r="L18" s="762">
        <f t="shared" si="8"/>
        <v>5</v>
      </c>
    </row>
    <row r="19" spans="1:13">
      <c r="A19" s="997" t="s">
        <v>1267</v>
      </c>
      <c r="B19" s="633"/>
      <c r="C19" s="634">
        <v>0</v>
      </c>
      <c r="D19" s="634">
        <f>C19*(1+$D$1)</f>
        <v>0</v>
      </c>
      <c r="E19" s="634">
        <f>D19*(1+$E$1)</f>
        <v>0</v>
      </c>
      <c r="F19" s="634">
        <f>E19*(1+$F$1)</f>
        <v>0</v>
      </c>
      <c r="G19" s="634">
        <f>F19*(1+$G$1)</f>
        <v>0</v>
      </c>
      <c r="H19" s="634">
        <f t="shared" ref="H19:L19" si="9">G19*(1+$G$1)</f>
        <v>0</v>
      </c>
      <c r="I19" s="634">
        <f t="shared" si="9"/>
        <v>0</v>
      </c>
      <c r="J19" s="634">
        <f t="shared" si="9"/>
        <v>0</v>
      </c>
      <c r="K19" s="634">
        <f t="shared" si="9"/>
        <v>0</v>
      </c>
      <c r="L19" s="634">
        <f t="shared" si="9"/>
        <v>0</v>
      </c>
      <c r="M19" s="764" t="s">
        <v>2920</v>
      </c>
    </row>
    <row r="20" spans="1:13">
      <c r="A20" s="997"/>
      <c r="B20" s="633"/>
      <c r="C20" s="634">
        <v>0</v>
      </c>
      <c r="D20" s="634">
        <v>0</v>
      </c>
      <c r="E20" s="634">
        <v>0</v>
      </c>
      <c r="F20" s="634">
        <v>0</v>
      </c>
      <c r="G20" s="634">
        <v>0</v>
      </c>
      <c r="H20" s="634">
        <v>1</v>
      </c>
      <c r="I20" s="634">
        <v>2</v>
      </c>
      <c r="J20" s="634">
        <v>3</v>
      </c>
      <c r="K20" s="634">
        <v>4</v>
      </c>
      <c r="L20" s="634">
        <v>5</v>
      </c>
      <c r="M20" s="766"/>
    </row>
    <row r="21" spans="1:13">
      <c r="A21" s="997"/>
      <c r="B21" s="761" t="s">
        <v>396</v>
      </c>
      <c r="C21" s="762">
        <f>SUM(C19:C20)</f>
        <v>0</v>
      </c>
      <c r="D21" s="762">
        <f>SUM(D19:D20)</f>
        <v>0</v>
      </c>
      <c r="E21" s="762">
        <f>SUM(E19:E20)</f>
        <v>0</v>
      </c>
      <c r="F21" s="762">
        <f>SUM(F19:F20)</f>
        <v>0</v>
      </c>
      <c r="G21" s="762">
        <f>SUM(G19:G20)</f>
        <v>0</v>
      </c>
      <c r="H21" s="762">
        <f t="shared" ref="H21:L21" si="10">SUM(H19:H20)</f>
        <v>1</v>
      </c>
      <c r="I21" s="762">
        <f t="shared" si="10"/>
        <v>2</v>
      </c>
      <c r="J21" s="762">
        <f t="shared" si="10"/>
        <v>3</v>
      </c>
      <c r="K21" s="762">
        <f t="shared" si="10"/>
        <v>4</v>
      </c>
      <c r="L21" s="762">
        <f t="shared" si="10"/>
        <v>5</v>
      </c>
    </row>
    <row r="22" spans="1:13">
      <c r="A22" s="997" t="s">
        <v>1269</v>
      </c>
      <c r="B22" s="633"/>
      <c r="C22" s="634">
        <v>0</v>
      </c>
      <c r="D22" s="634">
        <v>0</v>
      </c>
      <c r="E22" s="634">
        <f>D22*(1+$E$1)</f>
        <v>0</v>
      </c>
      <c r="F22" s="634">
        <f>E22*(1+$F$1)</f>
        <v>0</v>
      </c>
      <c r="G22" s="634">
        <f>F22*(1+$G$1)</f>
        <v>0</v>
      </c>
      <c r="H22" s="634">
        <f t="shared" ref="H22:L22" si="11">G22*(1+$G$1)</f>
        <v>0</v>
      </c>
      <c r="I22" s="634">
        <f t="shared" si="11"/>
        <v>0</v>
      </c>
      <c r="J22" s="634">
        <f t="shared" si="11"/>
        <v>0</v>
      </c>
      <c r="K22" s="634">
        <f t="shared" si="11"/>
        <v>0</v>
      </c>
      <c r="L22" s="634">
        <f t="shared" si="11"/>
        <v>0</v>
      </c>
      <c r="M22" s="766" t="s">
        <v>2921</v>
      </c>
    </row>
    <row r="23" spans="1:13">
      <c r="A23" s="997"/>
      <c r="B23" s="633"/>
      <c r="C23" s="634">
        <v>0</v>
      </c>
      <c r="D23" s="634">
        <v>0</v>
      </c>
      <c r="E23" s="634">
        <v>0</v>
      </c>
      <c r="F23" s="634">
        <v>0</v>
      </c>
      <c r="G23" s="634">
        <v>0</v>
      </c>
      <c r="H23" s="634">
        <v>1</v>
      </c>
      <c r="I23" s="634">
        <v>2</v>
      </c>
      <c r="J23" s="634">
        <v>3</v>
      </c>
      <c r="K23" s="634">
        <v>4</v>
      </c>
      <c r="L23" s="634">
        <v>5</v>
      </c>
      <c r="M23" s="766"/>
    </row>
    <row r="24" spans="1:13">
      <c r="A24" s="997"/>
      <c r="B24" s="761" t="s">
        <v>396</v>
      </c>
      <c r="C24" s="762">
        <f>SUM(C22:C23)</f>
        <v>0</v>
      </c>
      <c r="D24" s="762">
        <f>SUM(D22:D23)</f>
        <v>0</v>
      </c>
      <c r="E24" s="762">
        <f>SUM(E22:E23)</f>
        <v>0</v>
      </c>
      <c r="F24" s="762">
        <f>SUM(F22:F23)</f>
        <v>0</v>
      </c>
      <c r="G24" s="762">
        <f>SUM(G22:G23)</f>
        <v>0</v>
      </c>
      <c r="H24" s="762">
        <f t="shared" ref="H24:L24" si="12">SUM(H22:H23)</f>
        <v>1</v>
      </c>
      <c r="I24" s="762">
        <f t="shared" si="12"/>
        <v>2</v>
      </c>
      <c r="J24" s="762">
        <f t="shared" si="12"/>
        <v>3</v>
      </c>
      <c r="K24" s="762">
        <f t="shared" si="12"/>
        <v>4</v>
      </c>
      <c r="L24" s="762">
        <f t="shared" si="12"/>
        <v>5</v>
      </c>
    </row>
    <row r="25" spans="1:13">
      <c r="A25" s="997" t="s">
        <v>392</v>
      </c>
      <c r="B25" s="633" t="s">
        <v>2916</v>
      </c>
      <c r="C25" s="634">
        <v>1140000</v>
      </c>
      <c r="D25" s="634">
        <v>2420000</v>
      </c>
      <c r="E25" s="634">
        <f>D25*(1+$E$1)</f>
        <v>2531259.8492829129</v>
      </c>
      <c r="F25" s="634">
        <f>E25*(1+$F$1)</f>
        <v>2650798.9610065436</v>
      </c>
      <c r="G25" s="634">
        <f>F25*(1+$G$1)</f>
        <v>2779296.8232358741</v>
      </c>
      <c r="H25" s="634">
        <f t="shared" ref="H25:L25" si="13">G25*(1+$G$1)</f>
        <v>2914023.6378830965</v>
      </c>
      <c r="I25" s="634">
        <f t="shared" si="13"/>
        <v>3055281.3543157042</v>
      </c>
      <c r="J25" s="634">
        <f t="shared" si="13"/>
        <v>3203386.5589403608</v>
      </c>
      <c r="K25" s="634">
        <f t="shared" si="13"/>
        <v>3358671.1847354858</v>
      </c>
      <c r="L25" s="634">
        <f t="shared" si="13"/>
        <v>3521483.2551785363</v>
      </c>
      <c r="M25" s="765" t="s">
        <v>2917</v>
      </c>
    </row>
    <row r="26" spans="1:13">
      <c r="A26" s="997"/>
      <c r="B26" s="761" t="s">
        <v>396</v>
      </c>
      <c r="C26" s="762">
        <f>SUM(C25:C25)</f>
        <v>1140000</v>
      </c>
      <c r="D26" s="762">
        <f>SUM(D25:D25)</f>
        <v>2420000</v>
      </c>
      <c r="E26" s="762">
        <f>SUM(E25:E25)</f>
        <v>2531259.8492829129</v>
      </c>
      <c r="F26" s="762">
        <f>SUM(F25:F25)</f>
        <v>2650798.9610065436</v>
      </c>
      <c r="G26" s="762">
        <f>SUM(G25:G25)</f>
        <v>2779296.8232358741</v>
      </c>
      <c r="H26" s="762">
        <f t="shared" ref="H26:L26" si="14">SUM(H25:H25)</f>
        <v>2914023.6378830965</v>
      </c>
      <c r="I26" s="762">
        <f t="shared" si="14"/>
        <v>3055281.3543157042</v>
      </c>
      <c r="J26" s="762">
        <f t="shared" si="14"/>
        <v>3203386.5589403608</v>
      </c>
      <c r="K26" s="762">
        <f t="shared" si="14"/>
        <v>3358671.1847354858</v>
      </c>
      <c r="L26" s="762">
        <f t="shared" si="14"/>
        <v>3521483.2551785363</v>
      </c>
    </row>
    <row r="27" spans="1:13">
      <c r="A27" s="997" t="s">
        <v>393</v>
      </c>
      <c r="B27" s="633" t="s">
        <v>2916</v>
      </c>
      <c r="C27" s="634">
        <v>1140000</v>
      </c>
      <c r="D27" s="634">
        <v>2420000</v>
      </c>
      <c r="E27" s="634">
        <f>D27*(1+$E$1)</f>
        <v>2531259.8492829129</v>
      </c>
      <c r="F27" s="634">
        <f>E27*(1+$F$1)</f>
        <v>2650798.9610065436</v>
      </c>
      <c r="G27" s="634">
        <f>F27*(1+$G$1)</f>
        <v>2779296.8232358741</v>
      </c>
      <c r="H27" s="634">
        <f t="shared" ref="H27:L27" si="15">G27*(1+$G$1)</f>
        <v>2914023.6378830965</v>
      </c>
      <c r="I27" s="634">
        <f t="shared" si="15"/>
        <v>3055281.3543157042</v>
      </c>
      <c r="J27" s="634">
        <f t="shared" si="15"/>
        <v>3203386.5589403608</v>
      </c>
      <c r="K27" s="634">
        <f t="shared" si="15"/>
        <v>3358671.1847354858</v>
      </c>
      <c r="L27" s="634">
        <f t="shared" si="15"/>
        <v>3521483.2551785363</v>
      </c>
      <c r="M27" s="765" t="s">
        <v>2917</v>
      </c>
    </row>
    <row r="28" spans="1:13">
      <c r="A28" s="997"/>
      <c r="B28" s="761" t="s">
        <v>396</v>
      </c>
      <c r="C28" s="762">
        <f>SUM(C27:C27)</f>
        <v>1140000</v>
      </c>
      <c r="D28" s="762">
        <f>SUM(D27:D27)</f>
        <v>2420000</v>
      </c>
      <c r="E28" s="762">
        <f>SUM(E27:E27)</f>
        <v>2531259.8492829129</v>
      </c>
      <c r="F28" s="762">
        <f>SUM(F27:F27)</f>
        <v>2650798.9610065436</v>
      </c>
      <c r="G28" s="762">
        <f>SUM(G27:G27)</f>
        <v>2779296.8232358741</v>
      </c>
      <c r="H28" s="762">
        <f t="shared" ref="H28:L28" si="16">SUM(H27:H27)</f>
        <v>2914023.6378830965</v>
      </c>
      <c r="I28" s="762">
        <f t="shared" si="16"/>
        <v>3055281.3543157042</v>
      </c>
      <c r="J28" s="762">
        <f t="shared" si="16"/>
        <v>3203386.5589403608</v>
      </c>
      <c r="K28" s="762">
        <f t="shared" si="16"/>
        <v>3358671.1847354858</v>
      </c>
      <c r="L28" s="762">
        <f t="shared" si="16"/>
        <v>3521483.2551785363</v>
      </c>
    </row>
    <row r="29" spans="1:13">
      <c r="A29" s="997" t="s">
        <v>394</v>
      </c>
      <c r="B29" s="633" t="s">
        <v>2916</v>
      </c>
      <c r="C29" s="634">
        <v>1140000</v>
      </c>
      <c r="D29" s="634">
        <v>2420000</v>
      </c>
      <c r="E29" s="634">
        <f>D29*(1+$E$1)</f>
        <v>2531259.8492829129</v>
      </c>
      <c r="F29" s="634">
        <f>E29*(1+$F$1)</f>
        <v>2650798.9610065436</v>
      </c>
      <c r="G29" s="634">
        <f>F29*(1+$G$1)</f>
        <v>2779296.8232358741</v>
      </c>
      <c r="H29" s="634">
        <f t="shared" ref="H29:L29" si="17">G29*(1+$G$1)</f>
        <v>2914023.6378830965</v>
      </c>
      <c r="I29" s="634">
        <f t="shared" si="17"/>
        <v>3055281.3543157042</v>
      </c>
      <c r="J29" s="634">
        <f t="shared" si="17"/>
        <v>3203386.5589403608</v>
      </c>
      <c r="K29" s="634">
        <f t="shared" si="17"/>
        <v>3358671.1847354858</v>
      </c>
      <c r="L29" s="634">
        <f t="shared" si="17"/>
        <v>3521483.2551785363</v>
      </c>
      <c r="M29" s="765" t="s">
        <v>2917</v>
      </c>
    </row>
    <row r="30" spans="1:13">
      <c r="A30" s="997"/>
      <c r="B30" s="761" t="s">
        <v>396</v>
      </c>
      <c r="C30" s="762">
        <f>SUM(C29:C29)</f>
        <v>1140000</v>
      </c>
      <c r="D30" s="762">
        <f>SUM(D29:D29)</f>
        <v>2420000</v>
      </c>
      <c r="E30" s="762">
        <f>SUM(E29:E29)</f>
        <v>2531259.8492829129</v>
      </c>
      <c r="F30" s="762">
        <f>SUM(F29:F29)</f>
        <v>2650798.9610065436</v>
      </c>
      <c r="G30" s="762">
        <f>SUM(G29:G29)</f>
        <v>2779296.8232358741</v>
      </c>
      <c r="H30" s="762">
        <f t="shared" ref="H30:L30" si="18">SUM(H29:H29)</f>
        <v>2914023.6378830965</v>
      </c>
      <c r="I30" s="762">
        <f t="shared" si="18"/>
        <v>3055281.3543157042</v>
      </c>
      <c r="J30" s="762">
        <f t="shared" si="18"/>
        <v>3203386.5589403608</v>
      </c>
      <c r="K30" s="762">
        <f t="shared" si="18"/>
        <v>3358671.1847354858</v>
      </c>
      <c r="L30" s="762">
        <f t="shared" si="18"/>
        <v>3521483.2551785363</v>
      </c>
    </row>
    <row r="31" spans="1:13">
      <c r="A31" s="997" t="s">
        <v>1274</v>
      </c>
      <c r="B31" s="633" t="s">
        <v>2916</v>
      </c>
      <c r="C31" s="634">
        <v>1140000</v>
      </c>
      <c r="D31" s="634">
        <v>2420000</v>
      </c>
      <c r="E31" s="634">
        <f>D31*(1+$E$1)</f>
        <v>2531259.8492829129</v>
      </c>
      <c r="F31" s="634">
        <f>E31*(1+$F$1)</f>
        <v>2650798.9610065436</v>
      </c>
      <c r="G31" s="634">
        <f>F31*(1+$G$1)</f>
        <v>2779296.8232358741</v>
      </c>
      <c r="H31" s="634">
        <f t="shared" ref="H31:L31" si="19">G31*(1+$G$1)</f>
        <v>2914023.6378830965</v>
      </c>
      <c r="I31" s="634">
        <f t="shared" si="19"/>
        <v>3055281.3543157042</v>
      </c>
      <c r="J31" s="634">
        <f t="shared" si="19"/>
        <v>3203386.5589403608</v>
      </c>
      <c r="K31" s="634">
        <f t="shared" si="19"/>
        <v>3358671.1847354858</v>
      </c>
      <c r="L31" s="634">
        <f t="shared" si="19"/>
        <v>3521483.2551785363</v>
      </c>
      <c r="M31" s="765" t="s">
        <v>2917</v>
      </c>
    </row>
    <row r="32" spans="1:13">
      <c r="A32" s="997"/>
      <c r="B32" s="761" t="s">
        <v>396</v>
      </c>
      <c r="C32" s="762">
        <f>SUM(C31:C31)</f>
        <v>1140000</v>
      </c>
      <c r="D32" s="762">
        <f>SUM(D31:D31)</f>
        <v>2420000</v>
      </c>
      <c r="E32" s="762">
        <f>SUM(E31:E31)</f>
        <v>2531259.8492829129</v>
      </c>
      <c r="F32" s="762">
        <f>SUM(F31:F31)</f>
        <v>2650798.9610065436</v>
      </c>
      <c r="G32" s="762">
        <f>SUM(G31:G31)</f>
        <v>2779296.8232358741</v>
      </c>
      <c r="H32" s="762">
        <f t="shared" ref="H32:L32" si="20">SUM(H31:H31)</f>
        <v>2914023.6378830965</v>
      </c>
      <c r="I32" s="762">
        <f t="shared" si="20"/>
        <v>3055281.3543157042</v>
      </c>
      <c r="J32" s="762">
        <f t="shared" si="20"/>
        <v>3203386.5589403608</v>
      </c>
      <c r="K32" s="762">
        <f t="shared" si="20"/>
        <v>3358671.1847354858</v>
      </c>
      <c r="L32" s="762">
        <f t="shared" si="20"/>
        <v>3521483.2551785363</v>
      </c>
    </row>
    <row r="33" spans="1:13">
      <c r="A33" s="997" t="s">
        <v>1275</v>
      </c>
      <c r="B33" s="633" t="s">
        <v>2916</v>
      </c>
      <c r="C33" s="634">
        <v>1140000</v>
      </c>
      <c r="D33" s="634">
        <v>2420000</v>
      </c>
      <c r="E33" s="634">
        <f>D33*(1+$E$1)</f>
        <v>2531259.8492829129</v>
      </c>
      <c r="F33" s="634">
        <f>E33*(1+$F$1)</f>
        <v>2650798.9610065436</v>
      </c>
      <c r="G33" s="634">
        <f>F33*(1+$G$1)</f>
        <v>2779296.8232358741</v>
      </c>
      <c r="H33" s="634">
        <f t="shared" ref="H33:L33" si="21">G33*(1+$G$1)</f>
        <v>2914023.6378830965</v>
      </c>
      <c r="I33" s="634">
        <f t="shared" si="21"/>
        <v>3055281.3543157042</v>
      </c>
      <c r="J33" s="634">
        <f t="shared" si="21"/>
        <v>3203386.5589403608</v>
      </c>
      <c r="K33" s="634">
        <f t="shared" si="21"/>
        <v>3358671.1847354858</v>
      </c>
      <c r="L33" s="634">
        <f t="shared" si="21"/>
        <v>3521483.2551785363</v>
      </c>
      <c r="M33" s="765" t="s">
        <v>2917</v>
      </c>
    </row>
    <row r="34" spans="1:13">
      <c r="A34" s="997"/>
      <c r="B34" s="761" t="s">
        <v>396</v>
      </c>
      <c r="C34" s="762">
        <f t="shared" ref="C34:G34" si="22">SUM(C33:C33)</f>
        <v>1140000</v>
      </c>
      <c r="D34" s="762">
        <f t="shared" si="22"/>
        <v>2420000</v>
      </c>
      <c r="E34" s="762">
        <f t="shared" si="22"/>
        <v>2531259.8492829129</v>
      </c>
      <c r="F34" s="762">
        <f t="shared" si="22"/>
        <v>2650798.9610065436</v>
      </c>
      <c r="G34" s="762">
        <f t="shared" si="22"/>
        <v>2779296.8232358741</v>
      </c>
      <c r="H34" s="762">
        <f t="shared" ref="H34:L34" si="23">SUM(H33:H33)</f>
        <v>2914023.6378830965</v>
      </c>
      <c r="I34" s="762">
        <f t="shared" si="23"/>
        <v>3055281.3543157042</v>
      </c>
      <c r="J34" s="762">
        <f t="shared" si="23"/>
        <v>3203386.5589403608</v>
      </c>
      <c r="K34" s="762">
        <f t="shared" si="23"/>
        <v>3358671.1847354858</v>
      </c>
      <c r="L34" s="762">
        <f t="shared" si="23"/>
        <v>3521483.2551785363</v>
      </c>
    </row>
    <row r="35" spans="1:13">
      <c r="A35" s="997" t="s">
        <v>383</v>
      </c>
      <c r="B35" s="633" t="s">
        <v>2916</v>
      </c>
      <c r="C35" s="634">
        <v>1140000</v>
      </c>
      <c r="D35" s="634">
        <v>2420000</v>
      </c>
      <c r="E35" s="634">
        <f>D35*(1+$E$1)</f>
        <v>2531259.8492829129</v>
      </c>
      <c r="F35" s="634">
        <f>E35*(1+$F$1)</f>
        <v>2650798.9610065436</v>
      </c>
      <c r="G35" s="634">
        <f>F35*(1+$G$1)</f>
        <v>2779296.8232358741</v>
      </c>
      <c r="H35" s="634">
        <f t="shared" ref="H35:L35" si="24">G35*(1+$G$1)</f>
        <v>2914023.6378830965</v>
      </c>
      <c r="I35" s="634">
        <f t="shared" si="24"/>
        <v>3055281.3543157042</v>
      </c>
      <c r="J35" s="634">
        <f t="shared" si="24"/>
        <v>3203386.5589403608</v>
      </c>
      <c r="K35" s="634">
        <f t="shared" si="24"/>
        <v>3358671.1847354858</v>
      </c>
      <c r="L35" s="634">
        <f t="shared" si="24"/>
        <v>3521483.2551785363</v>
      </c>
      <c r="M35" s="765" t="s">
        <v>2917</v>
      </c>
    </row>
    <row r="36" spans="1:13">
      <c r="A36" s="997"/>
      <c r="B36" s="761" t="s">
        <v>396</v>
      </c>
      <c r="C36" s="762">
        <f t="shared" ref="C36:G36" si="25">SUM(C35:C35)</f>
        <v>1140000</v>
      </c>
      <c r="D36" s="762">
        <f t="shared" si="25"/>
        <v>2420000</v>
      </c>
      <c r="E36" s="762">
        <f t="shared" si="25"/>
        <v>2531259.8492829129</v>
      </c>
      <c r="F36" s="762">
        <f t="shared" si="25"/>
        <v>2650798.9610065436</v>
      </c>
      <c r="G36" s="762">
        <f t="shared" si="25"/>
        <v>2779296.8232358741</v>
      </c>
      <c r="H36" s="762">
        <f t="shared" ref="H36:L36" si="26">SUM(H35:H35)</f>
        <v>2914023.6378830965</v>
      </c>
      <c r="I36" s="762">
        <f t="shared" si="26"/>
        <v>3055281.3543157042</v>
      </c>
      <c r="J36" s="762">
        <f t="shared" si="26"/>
        <v>3203386.5589403608</v>
      </c>
      <c r="K36" s="762">
        <f t="shared" si="26"/>
        <v>3358671.1847354858</v>
      </c>
      <c r="L36" s="762">
        <f t="shared" si="26"/>
        <v>3521483.2551785363</v>
      </c>
    </row>
    <row r="37" spans="1:13">
      <c r="A37" s="997" t="s">
        <v>1278</v>
      </c>
      <c r="B37" s="633" t="s">
        <v>2916</v>
      </c>
      <c r="C37" s="634">
        <v>1140000</v>
      </c>
      <c r="D37" s="634">
        <v>2420000</v>
      </c>
      <c r="E37" s="634">
        <f>D37*(1+$E$1)</f>
        <v>2531259.8492829129</v>
      </c>
      <c r="F37" s="634">
        <f>E37*(1+$F$1)</f>
        <v>2650798.9610065436</v>
      </c>
      <c r="G37" s="634">
        <f>F37*(1+$G$1)</f>
        <v>2779296.8232358741</v>
      </c>
      <c r="H37" s="634">
        <f t="shared" ref="H37:L37" si="27">G37*(1+$G$1)</f>
        <v>2914023.6378830965</v>
      </c>
      <c r="I37" s="634">
        <f t="shared" si="27"/>
        <v>3055281.3543157042</v>
      </c>
      <c r="J37" s="634">
        <f t="shared" si="27"/>
        <v>3203386.5589403608</v>
      </c>
      <c r="K37" s="634">
        <f t="shared" si="27"/>
        <v>3358671.1847354858</v>
      </c>
      <c r="L37" s="634">
        <f t="shared" si="27"/>
        <v>3521483.2551785363</v>
      </c>
      <c r="M37" s="765" t="s">
        <v>2917</v>
      </c>
    </row>
    <row r="38" spans="1:13">
      <c r="A38" s="997"/>
      <c r="B38" s="761" t="s">
        <v>396</v>
      </c>
      <c r="C38" s="762">
        <f t="shared" ref="C38:G38" si="28">SUM(C37:C37)</f>
        <v>1140000</v>
      </c>
      <c r="D38" s="762">
        <f t="shared" si="28"/>
        <v>2420000</v>
      </c>
      <c r="E38" s="762">
        <f t="shared" si="28"/>
        <v>2531259.8492829129</v>
      </c>
      <c r="F38" s="762">
        <f t="shared" si="28"/>
        <v>2650798.9610065436</v>
      </c>
      <c r="G38" s="762">
        <f t="shared" si="28"/>
        <v>2779296.8232358741</v>
      </c>
      <c r="H38" s="762">
        <f t="shared" ref="H38:L38" si="29">SUM(H37:H37)</f>
        <v>2914023.6378830965</v>
      </c>
      <c r="I38" s="762">
        <f t="shared" si="29"/>
        <v>3055281.3543157042</v>
      </c>
      <c r="J38" s="762">
        <f t="shared" si="29"/>
        <v>3203386.5589403608</v>
      </c>
      <c r="K38" s="762">
        <f t="shared" si="29"/>
        <v>3358671.1847354858</v>
      </c>
      <c r="L38" s="762">
        <f t="shared" si="29"/>
        <v>3521483.2551785363</v>
      </c>
    </row>
    <row r="39" spans="1:13">
      <c r="A39" s="997" t="s">
        <v>1279</v>
      </c>
      <c r="B39" s="633" t="s">
        <v>2916</v>
      </c>
      <c r="C39" s="634">
        <v>1140000</v>
      </c>
      <c r="D39" s="634">
        <v>2420000</v>
      </c>
      <c r="E39" s="634">
        <f>D39*(1+$E$1)</f>
        <v>2531259.8492829129</v>
      </c>
      <c r="F39" s="634">
        <f>E39*(1+$F$1)</f>
        <v>2650798.9610065436</v>
      </c>
      <c r="G39" s="634">
        <f>F39*(1+$G$1)</f>
        <v>2779296.8232358741</v>
      </c>
      <c r="H39" s="634">
        <f t="shared" ref="H39:L39" si="30">G39*(1+$G$1)</f>
        <v>2914023.6378830965</v>
      </c>
      <c r="I39" s="634">
        <f t="shared" si="30"/>
        <v>3055281.3543157042</v>
      </c>
      <c r="J39" s="634">
        <f t="shared" si="30"/>
        <v>3203386.5589403608</v>
      </c>
      <c r="K39" s="634">
        <f t="shared" si="30"/>
        <v>3358671.1847354858</v>
      </c>
      <c r="L39" s="634">
        <f t="shared" si="30"/>
        <v>3521483.2551785363</v>
      </c>
      <c r="M39" s="765" t="s">
        <v>2917</v>
      </c>
    </row>
    <row r="40" spans="1:13">
      <c r="A40" s="997"/>
      <c r="B40" s="761" t="s">
        <v>396</v>
      </c>
      <c r="C40" s="762">
        <f t="shared" ref="C40:G40" si="31">SUM(C39:C39)</f>
        <v>1140000</v>
      </c>
      <c r="D40" s="762">
        <f t="shared" si="31"/>
        <v>2420000</v>
      </c>
      <c r="E40" s="762">
        <f t="shared" si="31"/>
        <v>2531259.8492829129</v>
      </c>
      <c r="F40" s="762">
        <f t="shared" si="31"/>
        <v>2650798.9610065436</v>
      </c>
      <c r="G40" s="762">
        <f t="shared" si="31"/>
        <v>2779296.8232358741</v>
      </c>
      <c r="H40" s="762">
        <f t="shared" ref="H40:L40" si="32">SUM(H39:H39)</f>
        <v>2914023.6378830965</v>
      </c>
      <c r="I40" s="762">
        <f t="shared" si="32"/>
        <v>3055281.3543157042</v>
      </c>
      <c r="J40" s="762">
        <f t="shared" si="32"/>
        <v>3203386.5589403608</v>
      </c>
      <c r="K40" s="762">
        <f t="shared" si="32"/>
        <v>3358671.1847354858</v>
      </c>
      <c r="L40" s="762">
        <f t="shared" si="32"/>
        <v>3521483.2551785363</v>
      </c>
    </row>
    <row r="41" spans="1:13">
      <c r="A41" s="997" t="s">
        <v>1281</v>
      </c>
      <c r="B41" s="633" t="s">
        <v>2916</v>
      </c>
      <c r="C41" s="634">
        <v>1140000</v>
      </c>
      <c r="D41" s="634">
        <v>2420000</v>
      </c>
      <c r="E41" s="634">
        <f>D41*(1+$E$1)</f>
        <v>2531259.8492829129</v>
      </c>
      <c r="F41" s="634">
        <f>E41*(1+$F$1)</f>
        <v>2650798.9610065436</v>
      </c>
      <c r="G41" s="634">
        <f>F41*(1+$G$1)</f>
        <v>2779296.8232358741</v>
      </c>
      <c r="H41" s="634">
        <f t="shared" ref="H41:L41" si="33">G41*(1+$G$1)</f>
        <v>2914023.6378830965</v>
      </c>
      <c r="I41" s="634">
        <f t="shared" si="33"/>
        <v>3055281.3543157042</v>
      </c>
      <c r="J41" s="634">
        <f t="shared" si="33"/>
        <v>3203386.5589403608</v>
      </c>
      <c r="K41" s="634">
        <f t="shared" si="33"/>
        <v>3358671.1847354858</v>
      </c>
      <c r="L41" s="634">
        <f t="shared" si="33"/>
        <v>3521483.2551785363</v>
      </c>
      <c r="M41" s="765" t="s">
        <v>2917</v>
      </c>
    </row>
    <row r="42" spans="1:13">
      <c r="A42" s="997"/>
      <c r="B42" s="761" t="s">
        <v>396</v>
      </c>
      <c r="C42" s="762">
        <f>SUM(C41:C41)</f>
        <v>1140000</v>
      </c>
      <c r="D42" s="762">
        <f>SUM(D41:D41)</f>
        <v>2420000</v>
      </c>
      <c r="E42" s="762">
        <f>SUM(E41:E41)</f>
        <v>2531259.8492829129</v>
      </c>
      <c r="F42" s="762">
        <f>SUM(F41:F41)</f>
        <v>2650798.9610065436</v>
      </c>
      <c r="G42" s="762">
        <f>SUM(G41:G41)</f>
        <v>2779296.8232358741</v>
      </c>
      <c r="H42" s="762">
        <f t="shared" ref="H42:L42" si="34">SUM(H41:H41)</f>
        <v>2914023.6378830965</v>
      </c>
      <c r="I42" s="762">
        <f t="shared" si="34"/>
        <v>3055281.3543157042</v>
      </c>
      <c r="J42" s="762">
        <f t="shared" si="34"/>
        <v>3203386.5589403608</v>
      </c>
      <c r="K42" s="762">
        <f t="shared" si="34"/>
        <v>3358671.1847354858</v>
      </c>
      <c r="L42" s="762">
        <f t="shared" si="34"/>
        <v>3521483.2551785363</v>
      </c>
    </row>
    <row r="43" spans="1:13">
      <c r="A43" s="997" t="s">
        <v>1282</v>
      </c>
      <c r="B43" s="633" t="s">
        <v>2916</v>
      </c>
      <c r="C43" s="634">
        <v>1140000</v>
      </c>
      <c r="D43" s="634">
        <v>2420000</v>
      </c>
      <c r="E43" s="634">
        <f>D43*(1+$E$1)</f>
        <v>2531259.8492829129</v>
      </c>
      <c r="F43" s="634">
        <f>E43*(1+$F$1)</f>
        <v>2650798.9610065436</v>
      </c>
      <c r="G43" s="634">
        <f>F43*(1+$G$1)</f>
        <v>2779296.8232358741</v>
      </c>
      <c r="H43" s="634">
        <f t="shared" ref="H43:L43" si="35">G43*(1+$G$1)</f>
        <v>2914023.6378830965</v>
      </c>
      <c r="I43" s="634">
        <f t="shared" si="35"/>
        <v>3055281.3543157042</v>
      </c>
      <c r="J43" s="634">
        <f t="shared" si="35"/>
        <v>3203386.5589403608</v>
      </c>
      <c r="K43" s="634">
        <f t="shared" si="35"/>
        <v>3358671.1847354858</v>
      </c>
      <c r="L43" s="634">
        <f t="shared" si="35"/>
        <v>3521483.2551785363</v>
      </c>
      <c r="M43" s="765" t="s">
        <v>2917</v>
      </c>
    </row>
    <row r="44" spans="1:13">
      <c r="A44" s="997"/>
      <c r="B44" s="761" t="s">
        <v>396</v>
      </c>
      <c r="C44" s="762">
        <f>SUM(C43:C43)</f>
        <v>1140000</v>
      </c>
      <c r="D44" s="762">
        <f>SUM(D43:D43)</f>
        <v>2420000</v>
      </c>
      <c r="E44" s="762">
        <f>SUM(E43:E43)</f>
        <v>2531259.8492829129</v>
      </c>
      <c r="F44" s="762">
        <f>SUM(F43:F43)</f>
        <v>2650798.9610065436</v>
      </c>
      <c r="G44" s="762">
        <f>SUM(G43:G43)</f>
        <v>2779296.8232358741</v>
      </c>
      <c r="H44" s="762">
        <f t="shared" ref="H44:L44" si="36">SUM(H43:H43)</f>
        <v>2914023.6378830965</v>
      </c>
      <c r="I44" s="762">
        <f t="shared" si="36"/>
        <v>3055281.3543157042</v>
      </c>
      <c r="J44" s="762">
        <f t="shared" si="36"/>
        <v>3203386.5589403608</v>
      </c>
      <c r="K44" s="762">
        <f t="shared" si="36"/>
        <v>3358671.1847354858</v>
      </c>
      <c r="L44" s="762">
        <f t="shared" si="36"/>
        <v>3521483.2551785363</v>
      </c>
    </row>
    <row r="45" spans="1:13">
      <c r="A45" s="997" t="s">
        <v>1283</v>
      </c>
      <c r="B45" s="633" t="s">
        <v>2916</v>
      </c>
      <c r="C45" s="634">
        <v>1140000</v>
      </c>
      <c r="D45" s="634">
        <v>2420000</v>
      </c>
      <c r="E45" s="634">
        <f>D45*(1+$E$1)</f>
        <v>2531259.8492829129</v>
      </c>
      <c r="F45" s="634">
        <f>E45*(1+$F$1)</f>
        <v>2650798.9610065436</v>
      </c>
      <c r="G45" s="634">
        <f>F45*(1+$G$1)</f>
        <v>2779296.8232358741</v>
      </c>
      <c r="H45" s="634">
        <f t="shared" ref="H45:L45" si="37">G45*(1+$G$1)</f>
        <v>2914023.6378830965</v>
      </c>
      <c r="I45" s="634">
        <f t="shared" si="37"/>
        <v>3055281.3543157042</v>
      </c>
      <c r="J45" s="634">
        <f t="shared" si="37"/>
        <v>3203386.5589403608</v>
      </c>
      <c r="K45" s="634">
        <f t="shared" si="37"/>
        <v>3358671.1847354858</v>
      </c>
      <c r="L45" s="634">
        <f t="shared" si="37"/>
        <v>3521483.2551785363</v>
      </c>
      <c r="M45" s="765" t="s">
        <v>2917</v>
      </c>
    </row>
    <row r="46" spans="1:13">
      <c r="A46" s="997"/>
      <c r="B46" s="761" t="s">
        <v>396</v>
      </c>
      <c r="C46" s="762">
        <f t="shared" ref="C46:G46" si="38">SUM(C45:C45)</f>
        <v>1140000</v>
      </c>
      <c r="D46" s="762">
        <f t="shared" si="38"/>
        <v>2420000</v>
      </c>
      <c r="E46" s="762">
        <f t="shared" si="38"/>
        <v>2531259.8492829129</v>
      </c>
      <c r="F46" s="762">
        <f t="shared" si="38"/>
        <v>2650798.9610065436</v>
      </c>
      <c r="G46" s="762">
        <f t="shared" si="38"/>
        <v>2779296.8232358741</v>
      </c>
      <c r="H46" s="762">
        <f t="shared" ref="H46:L46" si="39">SUM(H45:H45)</f>
        <v>2914023.6378830965</v>
      </c>
      <c r="I46" s="762">
        <f t="shared" si="39"/>
        <v>3055281.3543157042</v>
      </c>
      <c r="J46" s="762">
        <f t="shared" si="39"/>
        <v>3203386.5589403608</v>
      </c>
      <c r="K46" s="762">
        <f t="shared" si="39"/>
        <v>3358671.1847354858</v>
      </c>
      <c r="L46" s="762">
        <f t="shared" si="39"/>
        <v>3521483.2551785363</v>
      </c>
    </row>
    <row r="47" spans="1:13">
      <c r="A47" s="997" t="s">
        <v>1284</v>
      </c>
      <c r="B47" s="633" t="s">
        <v>2916</v>
      </c>
      <c r="C47" s="634">
        <v>1140000</v>
      </c>
      <c r="D47" s="634">
        <v>2420000</v>
      </c>
      <c r="E47" s="634">
        <f>D47*(1+$E$1)</f>
        <v>2531259.8492829129</v>
      </c>
      <c r="F47" s="634">
        <f>E47*(1+$F$1)</f>
        <v>2650798.9610065436</v>
      </c>
      <c r="G47" s="634">
        <f>F47*(1+$G$1)</f>
        <v>2779296.8232358741</v>
      </c>
      <c r="H47" s="634">
        <f t="shared" ref="H47:L47" si="40">G47*(1+$G$1)</f>
        <v>2914023.6378830965</v>
      </c>
      <c r="I47" s="634">
        <f t="shared" si="40"/>
        <v>3055281.3543157042</v>
      </c>
      <c r="J47" s="634">
        <f t="shared" si="40"/>
        <v>3203386.5589403608</v>
      </c>
      <c r="K47" s="634">
        <f t="shared" si="40"/>
        <v>3358671.1847354858</v>
      </c>
      <c r="L47" s="634">
        <f t="shared" si="40"/>
        <v>3521483.2551785363</v>
      </c>
      <c r="M47" s="765" t="s">
        <v>2917</v>
      </c>
    </row>
    <row r="48" spans="1:13">
      <c r="A48" s="997"/>
      <c r="B48" s="761" t="s">
        <v>396</v>
      </c>
      <c r="C48" s="762">
        <f t="shared" ref="C48:G48" si="41">SUM(C47:C47)</f>
        <v>1140000</v>
      </c>
      <c r="D48" s="762">
        <f t="shared" si="41"/>
        <v>2420000</v>
      </c>
      <c r="E48" s="762">
        <f t="shared" si="41"/>
        <v>2531259.8492829129</v>
      </c>
      <c r="F48" s="762">
        <f t="shared" si="41"/>
        <v>2650798.9610065436</v>
      </c>
      <c r="G48" s="762">
        <f t="shared" si="41"/>
        <v>2779296.8232358741</v>
      </c>
      <c r="H48" s="762">
        <f t="shared" ref="H48:L48" si="42">SUM(H47:H47)</f>
        <v>2914023.6378830965</v>
      </c>
      <c r="I48" s="762">
        <f t="shared" si="42"/>
        <v>3055281.3543157042</v>
      </c>
      <c r="J48" s="762">
        <f t="shared" si="42"/>
        <v>3203386.5589403608</v>
      </c>
      <c r="K48" s="762">
        <f t="shared" si="42"/>
        <v>3358671.1847354858</v>
      </c>
      <c r="L48" s="762">
        <f t="shared" si="42"/>
        <v>3521483.2551785363</v>
      </c>
    </row>
    <row r="49" spans="1:13">
      <c r="A49" s="997" t="s">
        <v>1285</v>
      </c>
      <c r="B49" s="633"/>
      <c r="C49" s="634">
        <v>0</v>
      </c>
      <c r="D49" s="634">
        <v>0</v>
      </c>
      <c r="E49" s="634">
        <v>0</v>
      </c>
      <c r="F49" s="634">
        <v>0</v>
      </c>
      <c r="G49" s="634">
        <v>0</v>
      </c>
      <c r="H49" s="634">
        <v>0</v>
      </c>
      <c r="I49" s="634">
        <v>0</v>
      </c>
      <c r="J49" s="634">
        <v>0</v>
      </c>
      <c r="K49" s="634">
        <v>0</v>
      </c>
      <c r="L49" s="634">
        <v>0</v>
      </c>
      <c r="M49" s="766" t="s">
        <v>2921</v>
      </c>
    </row>
    <row r="50" spans="1:13">
      <c r="A50" s="997"/>
      <c r="B50" s="633"/>
      <c r="C50" s="634">
        <v>0</v>
      </c>
      <c r="D50" s="634">
        <v>0</v>
      </c>
      <c r="E50" s="634">
        <v>0</v>
      </c>
      <c r="F50" s="634">
        <v>0</v>
      </c>
      <c r="G50" s="634">
        <v>0</v>
      </c>
      <c r="H50" s="634">
        <v>0</v>
      </c>
      <c r="I50" s="634">
        <v>0</v>
      </c>
      <c r="J50" s="634">
        <v>0</v>
      </c>
      <c r="K50" s="634">
        <v>0</v>
      </c>
      <c r="L50" s="634">
        <v>0</v>
      </c>
      <c r="M50" s="766"/>
    </row>
    <row r="51" spans="1:13">
      <c r="A51" s="997"/>
      <c r="B51" s="761" t="s">
        <v>396</v>
      </c>
      <c r="C51" s="762">
        <f>SUM(C49:C50)</f>
        <v>0</v>
      </c>
      <c r="D51" s="762">
        <f>SUM(D49:D50)</f>
        <v>0</v>
      </c>
      <c r="E51" s="762">
        <f>SUM(E49:E50)</f>
        <v>0</v>
      </c>
      <c r="F51" s="762">
        <f>SUM(F49:F50)</f>
        <v>0</v>
      </c>
      <c r="G51" s="762">
        <f>SUM(G49:G50)</f>
        <v>0</v>
      </c>
      <c r="H51" s="762">
        <f t="shared" ref="H51:L51" si="43">SUM(H49:H50)</f>
        <v>0</v>
      </c>
      <c r="I51" s="762">
        <f t="shared" si="43"/>
        <v>0</v>
      </c>
      <c r="J51" s="762">
        <f t="shared" si="43"/>
        <v>0</v>
      </c>
      <c r="K51" s="762">
        <f t="shared" si="43"/>
        <v>0</v>
      </c>
      <c r="L51" s="762">
        <f t="shared" si="43"/>
        <v>0</v>
      </c>
    </row>
    <row r="52" spans="1:13">
      <c r="A52" s="997" t="s">
        <v>1288</v>
      </c>
      <c r="B52" s="633"/>
      <c r="C52" s="634">
        <v>0</v>
      </c>
      <c r="D52" s="634">
        <v>0</v>
      </c>
      <c r="E52" s="634">
        <v>0</v>
      </c>
      <c r="F52" s="634">
        <v>0</v>
      </c>
      <c r="G52" s="634">
        <v>0</v>
      </c>
      <c r="H52" s="634">
        <v>0</v>
      </c>
      <c r="I52" s="634">
        <v>0</v>
      </c>
      <c r="J52" s="634">
        <v>0</v>
      </c>
      <c r="K52" s="634">
        <v>0</v>
      </c>
      <c r="L52" s="634">
        <v>0</v>
      </c>
      <c r="M52" s="766" t="s">
        <v>2921</v>
      </c>
    </row>
    <row r="53" spans="1:13">
      <c r="A53" s="997"/>
      <c r="B53" s="633"/>
      <c r="C53" s="634">
        <v>0</v>
      </c>
      <c r="D53" s="634">
        <v>0</v>
      </c>
      <c r="E53" s="634">
        <v>0</v>
      </c>
      <c r="F53" s="634">
        <v>0</v>
      </c>
      <c r="G53" s="634">
        <v>0</v>
      </c>
      <c r="H53" s="634">
        <v>0</v>
      </c>
      <c r="I53" s="634">
        <v>0</v>
      </c>
      <c r="J53" s="634">
        <v>0</v>
      </c>
      <c r="K53" s="634">
        <v>0</v>
      </c>
      <c r="L53" s="634">
        <v>0</v>
      </c>
    </row>
    <row r="54" spans="1:13">
      <c r="A54" s="997"/>
      <c r="B54" s="761" t="s">
        <v>396</v>
      </c>
      <c r="C54" s="762">
        <f>SUM(C52:C53)</f>
        <v>0</v>
      </c>
      <c r="D54" s="762">
        <f>SUM(D52:D53)</f>
        <v>0</v>
      </c>
      <c r="E54" s="762">
        <f>SUM(E52:E53)</f>
        <v>0</v>
      </c>
      <c r="F54" s="762">
        <f>SUM(F52:F53)</f>
        <v>0</v>
      </c>
      <c r="G54" s="762">
        <f>SUM(G52:G53)</f>
        <v>0</v>
      </c>
      <c r="H54" s="762">
        <f t="shared" ref="H54:L54" si="44">SUM(H52:H53)</f>
        <v>0</v>
      </c>
      <c r="I54" s="762">
        <f t="shared" si="44"/>
        <v>0</v>
      </c>
      <c r="J54" s="762">
        <f t="shared" si="44"/>
        <v>0</v>
      </c>
      <c r="K54" s="762">
        <f t="shared" si="44"/>
        <v>0</v>
      </c>
      <c r="L54" s="762">
        <f t="shared" si="44"/>
        <v>0</v>
      </c>
    </row>
    <row r="55" spans="1:13">
      <c r="A55" s="632"/>
      <c r="B55" s="632"/>
      <c r="C55" s="635"/>
      <c r="D55" s="635"/>
      <c r="E55" s="635"/>
      <c r="F55" s="635"/>
      <c r="G55" s="635"/>
      <c r="H55" s="635"/>
      <c r="I55" s="635"/>
      <c r="J55" s="635"/>
      <c r="K55" s="635"/>
      <c r="L55" s="635"/>
    </row>
    <row r="56" spans="1:13">
      <c r="A56" s="998" t="s">
        <v>1290</v>
      </c>
      <c r="B56" s="998"/>
      <c r="C56" s="763">
        <f>C6+C9+C12+C15+C18+C21+C24+C26+C28+C30+C32+C34+C36+C38+C40+C42+C44+C46+C48+C51+C54</f>
        <v>284600000</v>
      </c>
      <c r="D56" s="763">
        <f>D6+D9+D12+D15+D18+D21+D24+D26+D28+D30+D32+D34+D36+D38+D40+D42+D44+D46+D48+D51+D54</f>
        <v>147466400</v>
      </c>
      <c r="E56" s="763">
        <f>E6+E9+E12+E15+E18+E21+E24+E26+E28+E30+E32+E34+E36+E38+E40+E42+E44+E46+E48+E51+E54</f>
        <v>154246189.02408841</v>
      </c>
      <c r="F56" s="763">
        <f>F6+F9+F12+F15+F18+F21+F24+F26+F28+F30+F32+F34+F36+F38+F40+F42+F44+F46+F48+F51+F54</f>
        <v>161530487.56337833</v>
      </c>
      <c r="G56" s="763">
        <f>G6+G9+G12+G15+G18+G21+G24+G26+G28+G30+G32+G34+G36+G38+G40+G42+G44+G46+G48+G51+G54</f>
        <v>169360701.26199609</v>
      </c>
      <c r="H56" s="763">
        <f t="shared" ref="H56:L56" si="45">H6+H9+H12+H15+H18+H21+H24+H26+H28+H30+H32+H34+H36+H38+H40+H42+H44+H46+H48+H51+H54</f>
        <v>177570489.69980326</v>
      </c>
      <c r="I56" s="763">
        <f t="shared" si="45"/>
        <v>186178248.62316579</v>
      </c>
      <c r="J56" s="763">
        <f t="shared" si="45"/>
        <v>195203269.70881096</v>
      </c>
      <c r="K56" s="763">
        <f t="shared" si="45"/>
        <v>204665779.80027965</v>
      </c>
      <c r="L56" s="763">
        <f t="shared" si="45"/>
        <v>214586986.24027282</v>
      </c>
    </row>
  </sheetData>
  <autoFilter ref="A3:L54" xr:uid="{00000000-0009-0000-0000-000024000000}"/>
  <mergeCells count="22">
    <mergeCell ref="A33:A34"/>
    <mergeCell ref="A4:A6"/>
    <mergeCell ref="A7:A9"/>
    <mergeCell ref="A10:A12"/>
    <mergeCell ref="A13:A15"/>
    <mergeCell ref="A16:A18"/>
    <mergeCell ref="A19:A21"/>
    <mergeCell ref="A22:A24"/>
    <mergeCell ref="A25:A26"/>
    <mergeCell ref="A27:A28"/>
    <mergeCell ref="A29:A30"/>
    <mergeCell ref="A31:A32"/>
    <mergeCell ref="A47:A48"/>
    <mergeCell ref="A49:A51"/>
    <mergeCell ref="A52:A54"/>
    <mergeCell ref="A56:B56"/>
    <mergeCell ref="A35:A36"/>
    <mergeCell ref="A37:A38"/>
    <mergeCell ref="A39:A40"/>
    <mergeCell ref="A41:A42"/>
    <mergeCell ref="A43:A44"/>
    <mergeCell ref="A45:A46"/>
  </mergeCells>
  <phoneticPr fontId="30" type="noConversion"/>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A111"/>
  <sheetViews>
    <sheetView showGridLines="0" workbookViewId="0">
      <pane ySplit="7" topLeftCell="A8" activePane="bottomLeft" state="frozen"/>
      <selection pane="bottomLeft" activeCell="R13" sqref="R13"/>
    </sheetView>
  </sheetViews>
  <sheetFormatPr baseColWidth="10" defaultColWidth="11.42578125" defaultRowHeight="15"/>
  <cols>
    <col min="1" max="1" width="17.140625" style="483" bestFit="1" customWidth="1"/>
    <col min="2" max="2" width="14.85546875" style="483" bestFit="1" customWidth="1"/>
    <col min="3" max="3" width="11" style="483" bestFit="1" customWidth="1"/>
    <col min="4" max="4" width="11.140625" style="483" bestFit="1" customWidth="1"/>
    <col min="5" max="5" width="13.85546875" style="483" bestFit="1" customWidth="1"/>
    <col min="6" max="6" width="10.85546875" style="483" bestFit="1" customWidth="1"/>
    <col min="7" max="7" width="7.5703125" style="483" customWidth="1"/>
    <col min="8" max="16384" width="11.42578125" style="483"/>
  </cols>
  <sheetData>
    <row r="1" spans="1:27">
      <c r="I1" s="436" t="s">
        <v>436</v>
      </c>
      <c r="J1" s="436"/>
      <c r="K1" s="436"/>
      <c r="L1" s="436"/>
    </row>
    <row r="2" spans="1:27">
      <c r="I2" s="294">
        <v>2025</v>
      </c>
      <c r="J2" s="294">
        <v>2026</v>
      </c>
      <c r="K2" s="294">
        <v>2027</v>
      </c>
      <c r="L2" s="294">
        <v>2028</v>
      </c>
      <c r="M2" s="294">
        <v>2029</v>
      </c>
      <c r="N2" s="294">
        <v>2030</v>
      </c>
      <c r="O2" s="294">
        <v>2031</v>
      </c>
      <c r="P2" s="294">
        <v>2032</v>
      </c>
      <c r="Q2" s="294">
        <v>2033</v>
      </c>
    </row>
    <row r="3" spans="1:27">
      <c r="I3" s="481">
        <f>+'IPC - CAFÉ'!E24</f>
        <v>0.06</v>
      </c>
      <c r="J3" s="481">
        <f>+'IPC - CAFÉ'!F24</f>
        <v>4.5975144331782153E-2</v>
      </c>
      <c r="K3" s="481">
        <f>+'IPC - CAFÉ'!G24</f>
        <v>4.7225144331782154E-2</v>
      </c>
      <c r="L3" s="481">
        <f>+'IPC - CAFÉ'!H24</f>
        <v>4.8475144331782155E-2</v>
      </c>
      <c r="M3" s="481">
        <f>+'IPC - CAFÉ'!I24</f>
        <v>4.9725144331782156E-2</v>
      </c>
      <c r="N3" s="481">
        <f>+'IPC - CAFÉ'!J24</f>
        <v>5.0975144331782157E-2</v>
      </c>
      <c r="O3" s="481">
        <f>+'IPC - CAFÉ'!K24</f>
        <v>5.2225144331782158E-2</v>
      </c>
      <c r="P3" s="481">
        <f>+'IPC - CAFÉ'!L24</f>
        <v>5.347514433178216E-2</v>
      </c>
      <c r="Q3" s="481">
        <f>+'IPC - CAFÉ'!M24</f>
        <v>5.4725144331782161E-2</v>
      </c>
    </row>
    <row r="6" spans="1:27">
      <c r="I6" s="991" t="s">
        <v>2830</v>
      </c>
      <c r="J6" s="991"/>
      <c r="K6" s="991"/>
      <c r="L6" s="991"/>
      <c r="M6" s="991"/>
      <c r="N6" s="748"/>
      <c r="O6" s="748"/>
      <c r="P6" s="748"/>
      <c r="Q6" s="748"/>
      <c r="R6" s="748"/>
    </row>
    <row r="7" spans="1:27" ht="45">
      <c r="A7" s="553" t="s">
        <v>627</v>
      </c>
      <c r="B7" s="553" t="s">
        <v>629</v>
      </c>
      <c r="C7" s="553" t="s">
        <v>624</v>
      </c>
      <c r="D7" s="554" t="s">
        <v>626</v>
      </c>
      <c r="E7" s="553" t="s">
        <v>625</v>
      </c>
      <c r="F7" s="554" t="s">
        <v>628</v>
      </c>
      <c r="G7" s="553" t="s">
        <v>630</v>
      </c>
      <c r="I7" s="555" t="s">
        <v>226</v>
      </c>
      <c r="J7" s="484" t="s">
        <v>227</v>
      </c>
      <c r="K7" s="484" t="s">
        <v>228</v>
      </c>
      <c r="L7" s="484" t="s">
        <v>229</v>
      </c>
      <c r="M7" s="484" t="s">
        <v>230</v>
      </c>
      <c r="N7" s="484" t="s">
        <v>231</v>
      </c>
      <c r="O7" s="484" t="s">
        <v>232</v>
      </c>
      <c r="P7" s="484" t="s">
        <v>233</v>
      </c>
      <c r="Q7" s="484" t="s">
        <v>3010</v>
      </c>
      <c r="R7" s="484" t="s">
        <v>3011</v>
      </c>
      <c r="T7" s="376" t="s">
        <v>439</v>
      </c>
      <c r="U7" s="149"/>
      <c r="V7" s="149"/>
      <c r="W7" s="149"/>
      <c r="X7" s="149"/>
      <c r="Y7" s="149"/>
      <c r="Z7" s="149"/>
      <c r="AA7" s="149"/>
    </row>
    <row r="8" spans="1:27">
      <c r="A8" s="556">
        <v>44001</v>
      </c>
      <c r="B8" s="480" t="s">
        <v>2647</v>
      </c>
      <c r="C8" s="480" t="s">
        <v>2648</v>
      </c>
      <c r="D8" s="480" t="s">
        <v>631</v>
      </c>
      <c r="E8" s="480" t="s">
        <v>2649</v>
      </c>
      <c r="F8" s="557">
        <v>73300</v>
      </c>
      <c r="G8" s="480" t="s">
        <v>2650</v>
      </c>
      <c r="I8" s="558">
        <v>16685034.522</v>
      </c>
      <c r="J8" s="490">
        <f>+I8*(1+I3)</f>
        <v>17686136.593320001</v>
      </c>
      <c r="K8" s="490">
        <f>+J8*(1+J3)</f>
        <v>18499259.275869504</v>
      </c>
      <c r="L8" s="490">
        <f>+K8*(1+K3)</f>
        <v>19372889.465203501</v>
      </c>
      <c r="M8" s="490">
        <f>+L8*(1+L3)</f>
        <v>20311993.078152902</v>
      </c>
      <c r="N8" s="490">
        <f t="shared" ref="N8:R8" si="0">+M8*(1+M3)</f>
        <v>21322009.865630213</v>
      </c>
      <c r="O8" s="490">
        <f t="shared" si="0"/>
        <v>22408902.395974394</v>
      </c>
      <c r="P8" s="490">
        <f t="shared" si="0"/>
        <v>23579210.557920974</v>
      </c>
      <c r="Q8" s="490">
        <f t="shared" si="0"/>
        <v>24840112.24573528</v>
      </c>
      <c r="R8" s="490">
        <f t="shared" si="0"/>
        <v>26199490.973600816</v>
      </c>
      <c r="T8" s="962" t="s">
        <v>646</v>
      </c>
      <c r="U8" s="963"/>
      <c r="V8" s="963"/>
      <c r="W8" s="963"/>
      <c r="X8" s="963"/>
      <c r="Y8" s="963"/>
      <c r="Z8" s="963"/>
      <c r="AA8" s="964"/>
    </row>
    <row r="9" spans="1:27">
      <c r="A9" s="556">
        <v>44132</v>
      </c>
      <c r="B9" s="480" t="s">
        <v>2651</v>
      </c>
      <c r="C9" s="480" t="s">
        <v>2652</v>
      </c>
      <c r="D9" s="480" t="s">
        <v>631</v>
      </c>
      <c r="E9" s="480" t="s">
        <v>2653</v>
      </c>
      <c r="F9" s="557">
        <v>135000</v>
      </c>
      <c r="G9" s="480" t="s">
        <v>633</v>
      </c>
      <c r="T9" s="965"/>
      <c r="U9" s="966"/>
      <c r="V9" s="966"/>
      <c r="W9" s="966"/>
      <c r="X9" s="966"/>
      <c r="Y9" s="966"/>
      <c r="Z9" s="966"/>
      <c r="AA9" s="967"/>
    </row>
    <row r="10" spans="1:27">
      <c r="A10" s="556">
        <v>44147</v>
      </c>
      <c r="B10" s="480" t="s">
        <v>2651</v>
      </c>
      <c r="C10" s="480" t="s">
        <v>2654</v>
      </c>
      <c r="D10" s="480" t="s">
        <v>631</v>
      </c>
      <c r="E10" s="480" t="s">
        <v>2655</v>
      </c>
      <c r="F10" s="557">
        <v>23529</v>
      </c>
      <c r="G10" s="480" t="s">
        <v>633</v>
      </c>
      <c r="T10" s="965"/>
      <c r="U10" s="966"/>
      <c r="V10" s="966"/>
      <c r="W10" s="966"/>
      <c r="X10" s="966"/>
      <c r="Y10" s="966"/>
      <c r="Z10" s="966"/>
      <c r="AA10" s="967"/>
    </row>
    <row r="11" spans="1:27">
      <c r="A11" s="556">
        <v>44158</v>
      </c>
      <c r="B11" s="480" t="s">
        <v>2647</v>
      </c>
      <c r="C11" s="480" t="s">
        <v>2656</v>
      </c>
      <c r="D11" s="480" t="s">
        <v>631</v>
      </c>
      <c r="E11" s="480" t="s">
        <v>2657</v>
      </c>
      <c r="F11" s="557">
        <v>85700</v>
      </c>
      <c r="G11" s="480" t="s">
        <v>2658</v>
      </c>
      <c r="T11" s="965"/>
      <c r="U11" s="966"/>
      <c r="V11" s="966"/>
      <c r="W11" s="966"/>
      <c r="X11" s="966"/>
      <c r="Y11" s="966"/>
      <c r="Z11" s="966"/>
      <c r="AA11" s="967"/>
    </row>
    <row r="12" spans="1:27">
      <c r="A12" s="556">
        <v>44096</v>
      </c>
      <c r="B12" s="480" t="s">
        <v>2659</v>
      </c>
      <c r="C12" s="480" t="s">
        <v>2660</v>
      </c>
      <c r="D12" s="480" t="s">
        <v>631</v>
      </c>
      <c r="E12" s="480" t="s">
        <v>2661</v>
      </c>
      <c r="F12" s="557">
        <v>18000</v>
      </c>
      <c r="G12" s="480" t="s">
        <v>633</v>
      </c>
      <c r="T12" s="965"/>
      <c r="U12" s="966"/>
      <c r="V12" s="966"/>
      <c r="W12" s="966"/>
      <c r="X12" s="966"/>
      <c r="Y12" s="966"/>
      <c r="Z12" s="966"/>
      <c r="AA12" s="967"/>
    </row>
    <row r="13" spans="1:27">
      <c r="A13" s="556">
        <v>44096</v>
      </c>
      <c r="B13" s="480" t="s">
        <v>2659</v>
      </c>
      <c r="C13" s="480" t="s">
        <v>2660</v>
      </c>
      <c r="D13" s="480" t="s">
        <v>631</v>
      </c>
      <c r="E13" s="480" t="s">
        <v>2661</v>
      </c>
      <c r="F13" s="557">
        <v>55997</v>
      </c>
      <c r="G13" s="480" t="s">
        <v>633</v>
      </c>
      <c r="T13" s="965"/>
      <c r="U13" s="966"/>
      <c r="V13" s="966"/>
      <c r="W13" s="966"/>
      <c r="X13" s="966"/>
      <c r="Y13" s="966"/>
      <c r="Z13" s="966"/>
      <c r="AA13" s="967"/>
    </row>
    <row r="14" spans="1:27">
      <c r="A14" s="556">
        <v>44100</v>
      </c>
      <c r="B14" s="480" t="s">
        <v>2659</v>
      </c>
      <c r="C14" s="480" t="s">
        <v>2662</v>
      </c>
      <c r="D14" s="480" t="s">
        <v>631</v>
      </c>
      <c r="E14" s="480" t="s">
        <v>2663</v>
      </c>
      <c r="F14" s="557">
        <v>11500</v>
      </c>
      <c r="G14" s="480" t="s">
        <v>633</v>
      </c>
      <c r="T14" s="965"/>
      <c r="U14" s="966"/>
      <c r="V14" s="966"/>
      <c r="W14" s="966"/>
      <c r="X14" s="966"/>
      <c r="Y14" s="966"/>
      <c r="Z14" s="966"/>
      <c r="AA14" s="967"/>
    </row>
    <row r="15" spans="1:27">
      <c r="A15" s="556">
        <v>44100</v>
      </c>
      <c r="B15" s="480" t="s">
        <v>2659</v>
      </c>
      <c r="C15" s="480" t="s">
        <v>2662</v>
      </c>
      <c r="D15" s="480" t="s">
        <v>631</v>
      </c>
      <c r="E15" s="480" t="s">
        <v>2663</v>
      </c>
      <c r="F15" s="557">
        <v>4000</v>
      </c>
      <c r="G15" s="480" t="s">
        <v>633</v>
      </c>
      <c r="T15" s="965"/>
      <c r="U15" s="966"/>
      <c r="V15" s="966"/>
      <c r="W15" s="966"/>
      <c r="X15" s="966"/>
      <c r="Y15" s="966"/>
      <c r="Z15" s="966"/>
      <c r="AA15" s="967"/>
    </row>
    <row r="16" spans="1:27">
      <c r="A16" s="556">
        <v>44100</v>
      </c>
      <c r="B16" s="480" t="s">
        <v>633</v>
      </c>
      <c r="C16" s="480" t="s">
        <v>2664</v>
      </c>
      <c r="D16" s="480" t="s">
        <v>631</v>
      </c>
      <c r="E16" s="480" t="s">
        <v>2665</v>
      </c>
      <c r="F16" s="557">
        <v>72000</v>
      </c>
      <c r="G16" s="480" t="s">
        <v>633</v>
      </c>
      <c r="T16" s="965"/>
      <c r="U16" s="966"/>
      <c r="V16" s="966"/>
      <c r="W16" s="966"/>
      <c r="X16" s="966"/>
      <c r="Y16" s="966"/>
      <c r="Z16" s="966"/>
      <c r="AA16" s="967"/>
    </row>
    <row r="17" spans="1:27">
      <c r="A17" s="556">
        <v>44100</v>
      </c>
      <c r="B17" s="480" t="s">
        <v>633</v>
      </c>
      <c r="C17" s="480" t="s">
        <v>2664</v>
      </c>
      <c r="D17" s="480" t="s">
        <v>631</v>
      </c>
      <c r="E17" s="480" t="s">
        <v>2665</v>
      </c>
      <c r="F17" s="557">
        <v>8500</v>
      </c>
      <c r="G17" s="480" t="s">
        <v>633</v>
      </c>
      <c r="T17" s="968"/>
      <c r="U17" s="969"/>
      <c r="V17" s="969"/>
      <c r="W17" s="969"/>
      <c r="X17" s="969"/>
      <c r="Y17" s="969"/>
      <c r="Z17" s="969"/>
      <c r="AA17" s="970"/>
    </row>
    <row r="18" spans="1:27">
      <c r="A18" s="556">
        <v>44103</v>
      </c>
      <c r="B18" s="480" t="s">
        <v>633</v>
      </c>
      <c r="C18" s="480" t="s">
        <v>2664</v>
      </c>
      <c r="D18" s="480" t="s">
        <v>631</v>
      </c>
      <c r="E18" s="480" t="s">
        <v>2666</v>
      </c>
      <c r="F18" s="557">
        <v>60504</v>
      </c>
      <c r="G18" s="480" t="s">
        <v>633</v>
      </c>
    </row>
    <row r="19" spans="1:27">
      <c r="A19" s="556">
        <v>44103</v>
      </c>
      <c r="B19" s="480" t="s">
        <v>633</v>
      </c>
      <c r="C19" s="480" t="s">
        <v>2664</v>
      </c>
      <c r="D19" s="480" t="s">
        <v>631</v>
      </c>
      <c r="E19" s="480" t="s">
        <v>2666</v>
      </c>
      <c r="F19" s="557">
        <v>7143</v>
      </c>
      <c r="G19" s="480" t="s">
        <v>633</v>
      </c>
    </row>
    <row r="20" spans="1:27">
      <c r="A20" s="556">
        <v>44112</v>
      </c>
      <c r="B20" s="480" t="s">
        <v>2659</v>
      </c>
      <c r="C20" s="480" t="s">
        <v>2667</v>
      </c>
      <c r="D20" s="480" t="s">
        <v>631</v>
      </c>
      <c r="E20" s="480" t="s">
        <v>2668</v>
      </c>
      <c r="F20" s="557">
        <v>120000</v>
      </c>
      <c r="G20" s="480" t="s">
        <v>633</v>
      </c>
    </row>
    <row r="21" spans="1:27">
      <c r="A21" s="556">
        <v>44112</v>
      </c>
      <c r="B21" s="480" t="s">
        <v>2659</v>
      </c>
      <c r="C21" s="480" t="s">
        <v>2667</v>
      </c>
      <c r="D21" s="480" t="s">
        <v>631</v>
      </c>
      <c r="E21" s="480" t="s">
        <v>2668</v>
      </c>
      <c r="F21" s="557">
        <v>230000</v>
      </c>
      <c r="G21" s="480" t="s">
        <v>633</v>
      </c>
    </row>
    <row r="22" spans="1:27">
      <c r="A22" s="556">
        <v>44114</v>
      </c>
      <c r="B22" s="480" t="s">
        <v>2659</v>
      </c>
      <c r="C22" s="480" t="s">
        <v>2669</v>
      </c>
      <c r="D22" s="480" t="s">
        <v>631</v>
      </c>
      <c r="E22" s="480" t="s">
        <v>2670</v>
      </c>
      <c r="F22" s="557">
        <v>222000</v>
      </c>
      <c r="G22" s="480" t="s">
        <v>633</v>
      </c>
    </row>
    <row r="23" spans="1:27">
      <c r="A23" s="556">
        <v>44122</v>
      </c>
      <c r="B23" s="480" t="s">
        <v>2659</v>
      </c>
      <c r="C23" s="480" t="s">
        <v>2671</v>
      </c>
      <c r="D23" s="480" t="s">
        <v>631</v>
      </c>
      <c r="E23" s="480" t="s">
        <v>2672</v>
      </c>
      <c r="F23" s="557">
        <v>96000</v>
      </c>
      <c r="G23" s="480" t="s">
        <v>633</v>
      </c>
    </row>
    <row r="24" spans="1:27">
      <c r="A24" s="556">
        <v>44122</v>
      </c>
      <c r="B24" s="480" t="s">
        <v>2659</v>
      </c>
      <c r="C24" s="480" t="s">
        <v>2671</v>
      </c>
      <c r="D24" s="480" t="s">
        <v>631</v>
      </c>
      <c r="E24" s="480" t="s">
        <v>2672</v>
      </c>
      <c r="F24" s="557">
        <v>108000</v>
      </c>
      <c r="G24" s="480" t="s">
        <v>633</v>
      </c>
    </row>
    <row r="25" spans="1:27">
      <c r="A25" s="556">
        <v>44128</v>
      </c>
      <c r="B25" s="480" t="s">
        <v>633</v>
      </c>
      <c r="C25" s="480" t="s">
        <v>2673</v>
      </c>
      <c r="D25" s="480" t="s">
        <v>631</v>
      </c>
      <c r="E25" s="480" t="s">
        <v>2674</v>
      </c>
      <c r="F25" s="557">
        <v>53200</v>
      </c>
      <c r="G25" s="480" t="s">
        <v>633</v>
      </c>
    </row>
    <row r="26" spans="1:27">
      <c r="A26" s="556">
        <v>44144</v>
      </c>
      <c r="B26" s="480" t="s">
        <v>2659</v>
      </c>
      <c r="C26" s="480" t="s">
        <v>2675</v>
      </c>
      <c r="D26" s="480" t="s">
        <v>631</v>
      </c>
      <c r="E26" s="480" t="s">
        <v>2676</v>
      </c>
      <c r="F26" s="557">
        <v>25500</v>
      </c>
      <c r="G26" s="480" t="s">
        <v>633</v>
      </c>
    </row>
    <row r="27" spans="1:27">
      <c r="A27" s="556">
        <v>44144</v>
      </c>
      <c r="B27" s="480" t="s">
        <v>2659</v>
      </c>
      <c r="C27" s="480" t="s">
        <v>2675</v>
      </c>
      <c r="D27" s="480" t="s">
        <v>631</v>
      </c>
      <c r="E27" s="480" t="s">
        <v>2676</v>
      </c>
      <c r="F27" s="557">
        <v>8000</v>
      </c>
      <c r="G27" s="480" t="s">
        <v>633</v>
      </c>
    </row>
    <row r="28" spans="1:27">
      <c r="A28" s="556">
        <v>44144</v>
      </c>
      <c r="B28" s="480" t="s">
        <v>2659</v>
      </c>
      <c r="C28" s="480" t="s">
        <v>2675</v>
      </c>
      <c r="D28" s="480" t="s">
        <v>631</v>
      </c>
      <c r="E28" s="480" t="s">
        <v>2676</v>
      </c>
      <c r="F28" s="557">
        <v>1000</v>
      </c>
      <c r="G28" s="480" t="s">
        <v>633</v>
      </c>
    </row>
    <row r="29" spans="1:27">
      <c r="A29" s="556">
        <v>44152</v>
      </c>
      <c r="B29" s="480" t="s">
        <v>2677</v>
      </c>
      <c r="C29" s="480" t="s">
        <v>2678</v>
      </c>
      <c r="D29" s="480" t="s">
        <v>631</v>
      </c>
      <c r="E29" s="480" t="s">
        <v>2679</v>
      </c>
      <c r="F29" s="557">
        <v>2400</v>
      </c>
      <c r="G29" s="480" t="s">
        <v>633</v>
      </c>
    </row>
    <row r="30" spans="1:27">
      <c r="A30" s="556">
        <v>44152</v>
      </c>
      <c r="B30" s="480" t="s">
        <v>2677</v>
      </c>
      <c r="C30" s="480" t="s">
        <v>2678</v>
      </c>
      <c r="D30" s="480" t="s">
        <v>631</v>
      </c>
      <c r="E30" s="480" t="s">
        <v>2679</v>
      </c>
      <c r="F30" s="557">
        <v>3500</v>
      </c>
      <c r="G30" s="480" t="s">
        <v>633</v>
      </c>
    </row>
    <row r="31" spans="1:27">
      <c r="A31" s="556">
        <v>44152</v>
      </c>
      <c r="B31" s="480" t="s">
        <v>2677</v>
      </c>
      <c r="C31" s="480" t="s">
        <v>2678</v>
      </c>
      <c r="D31" s="480" t="s">
        <v>631</v>
      </c>
      <c r="E31" s="480" t="s">
        <v>2679</v>
      </c>
      <c r="F31" s="557">
        <v>3200</v>
      </c>
      <c r="G31" s="480" t="s">
        <v>633</v>
      </c>
    </row>
    <row r="32" spans="1:27">
      <c r="A32" s="556">
        <v>44152</v>
      </c>
      <c r="B32" s="480" t="s">
        <v>2677</v>
      </c>
      <c r="C32" s="480" t="s">
        <v>2678</v>
      </c>
      <c r="D32" s="480" t="s">
        <v>631</v>
      </c>
      <c r="E32" s="480" t="s">
        <v>2679</v>
      </c>
      <c r="F32" s="557">
        <v>16500</v>
      </c>
      <c r="G32" s="480" t="s">
        <v>633</v>
      </c>
    </row>
    <row r="33" spans="1:7">
      <c r="A33" s="556">
        <v>44152</v>
      </c>
      <c r="B33" s="480" t="s">
        <v>2677</v>
      </c>
      <c r="C33" s="480" t="s">
        <v>2678</v>
      </c>
      <c r="D33" s="480" t="s">
        <v>631</v>
      </c>
      <c r="E33" s="480" t="s">
        <v>2679</v>
      </c>
      <c r="F33" s="557">
        <v>3000</v>
      </c>
      <c r="G33" s="480" t="s">
        <v>633</v>
      </c>
    </row>
    <row r="34" spans="1:7">
      <c r="A34" s="556">
        <v>44152</v>
      </c>
      <c r="B34" s="480" t="s">
        <v>2677</v>
      </c>
      <c r="C34" s="480" t="s">
        <v>2678</v>
      </c>
      <c r="D34" s="480" t="s">
        <v>631</v>
      </c>
      <c r="E34" s="480" t="s">
        <v>2679</v>
      </c>
      <c r="F34" s="557">
        <v>300</v>
      </c>
      <c r="G34" s="480" t="s">
        <v>633</v>
      </c>
    </row>
    <row r="35" spans="1:7">
      <c r="A35" s="556">
        <v>44152</v>
      </c>
      <c r="B35" s="480" t="s">
        <v>2677</v>
      </c>
      <c r="C35" s="480" t="s">
        <v>2678</v>
      </c>
      <c r="D35" s="480" t="s">
        <v>631</v>
      </c>
      <c r="E35" s="480" t="s">
        <v>2679</v>
      </c>
      <c r="F35" s="557">
        <v>23600</v>
      </c>
      <c r="G35" s="480" t="s">
        <v>633</v>
      </c>
    </row>
    <row r="36" spans="1:7">
      <c r="A36" s="556">
        <v>44152</v>
      </c>
      <c r="B36" s="480" t="s">
        <v>2677</v>
      </c>
      <c r="C36" s="480" t="s">
        <v>2678</v>
      </c>
      <c r="D36" s="480" t="s">
        <v>631</v>
      </c>
      <c r="E36" s="480" t="s">
        <v>2679</v>
      </c>
      <c r="F36" s="557">
        <v>5500</v>
      </c>
      <c r="G36" s="480" t="s">
        <v>633</v>
      </c>
    </row>
    <row r="37" spans="1:7">
      <c r="A37" s="556">
        <v>44152</v>
      </c>
      <c r="B37" s="480" t="s">
        <v>2677</v>
      </c>
      <c r="C37" s="480" t="s">
        <v>2678</v>
      </c>
      <c r="D37" s="480" t="s">
        <v>631</v>
      </c>
      <c r="E37" s="480" t="s">
        <v>2679</v>
      </c>
      <c r="F37" s="557">
        <v>10000</v>
      </c>
      <c r="G37" s="480" t="s">
        <v>633</v>
      </c>
    </row>
    <row r="38" spans="1:7">
      <c r="A38" s="556">
        <v>44158</v>
      </c>
      <c r="B38" s="480" t="s">
        <v>2677</v>
      </c>
      <c r="C38" s="480" t="s">
        <v>2678</v>
      </c>
      <c r="D38" s="480" t="s">
        <v>631</v>
      </c>
      <c r="E38" s="480" t="s">
        <v>2680</v>
      </c>
      <c r="F38" s="557">
        <v>2400</v>
      </c>
      <c r="G38" s="480" t="s">
        <v>633</v>
      </c>
    </row>
    <row r="39" spans="1:7">
      <c r="A39" s="556">
        <v>44158</v>
      </c>
      <c r="B39" s="480" t="s">
        <v>2677</v>
      </c>
      <c r="C39" s="480" t="s">
        <v>2678</v>
      </c>
      <c r="D39" s="480" t="s">
        <v>631</v>
      </c>
      <c r="E39" s="480" t="s">
        <v>2680</v>
      </c>
      <c r="F39" s="557">
        <v>3500</v>
      </c>
      <c r="G39" s="480" t="s">
        <v>633</v>
      </c>
    </row>
    <row r="40" spans="1:7">
      <c r="A40" s="556">
        <v>44158</v>
      </c>
      <c r="B40" s="480" t="s">
        <v>2677</v>
      </c>
      <c r="C40" s="480" t="s">
        <v>2678</v>
      </c>
      <c r="D40" s="480" t="s">
        <v>631</v>
      </c>
      <c r="E40" s="480" t="s">
        <v>2680</v>
      </c>
      <c r="F40" s="557">
        <v>3200</v>
      </c>
      <c r="G40" s="480" t="s">
        <v>633</v>
      </c>
    </row>
    <row r="41" spans="1:7">
      <c r="A41" s="556">
        <v>44158</v>
      </c>
      <c r="B41" s="480" t="s">
        <v>2677</v>
      </c>
      <c r="C41" s="480" t="s">
        <v>2678</v>
      </c>
      <c r="D41" s="480" t="s">
        <v>631</v>
      </c>
      <c r="E41" s="480" t="s">
        <v>2680</v>
      </c>
      <c r="F41" s="557">
        <v>16500</v>
      </c>
      <c r="G41" s="480" t="s">
        <v>633</v>
      </c>
    </row>
    <row r="42" spans="1:7">
      <c r="A42" s="556">
        <v>44158</v>
      </c>
      <c r="B42" s="480" t="s">
        <v>2677</v>
      </c>
      <c r="C42" s="480" t="s">
        <v>2678</v>
      </c>
      <c r="D42" s="480" t="s">
        <v>631</v>
      </c>
      <c r="E42" s="480" t="s">
        <v>2680</v>
      </c>
      <c r="F42" s="557">
        <v>3000</v>
      </c>
      <c r="G42" s="480" t="s">
        <v>633</v>
      </c>
    </row>
    <row r="43" spans="1:7">
      <c r="A43" s="556">
        <v>44158</v>
      </c>
      <c r="B43" s="480" t="s">
        <v>2677</v>
      </c>
      <c r="C43" s="480" t="s">
        <v>2678</v>
      </c>
      <c r="D43" s="480" t="s">
        <v>631</v>
      </c>
      <c r="E43" s="480" t="s">
        <v>2680</v>
      </c>
      <c r="F43" s="557">
        <v>300</v>
      </c>
      <c r="G43" s="480" t="s">
        <v>633</v>
      </c>
    </row>
    <row r="44" spans="1:7">
      <c r="A44" s="556">
        <v>44158</v>
      </c>
      <c r="B44" s="480" t="s">
        <v>2677</v>
      </c>
      <c r="C44" s="480" t="s">
        <v>2678</v>
      </c>
      <c r="D44" s="480" t="s">
        <v>631</v>
      </c>
      <c r="E44" s="480" t="s">
        <v>2680</v>
      </c>
      <c r="F44" s="557">
        <v>23600</v>
      </c>
      <c r="G44" s="480" t="s">
        <v>633</v>
      </c>
    </row>
    <row r="45" spans="1:7">
      <c r="A45" s="556">
        <v>44158</v>
      </c>
      <c r="B45" s="480" t="s">
        <v>2677</v>
      </c>
      <c r="C45" s="480" t="s">
        <v>2678</v>
      </c>
      <c r="D45" s="480" t="s">
        <v>631</v>
      </c>
      <c r="E45" s="480" t="s">
        <v>2680</v>
      </c>
      <c r="F45" s="557">
        <v>5500</v>
      </c>
      <c r="G45" s="480" t="s">
        <v>633</v>
      </c>
    </row>
    <row r="46" spans="1:7">
      <c r="A46" s="556">
        <v>44158</v>
      </c>
      <c r="B46" s="480" t="s">
        <v>2677</v>
      </c>
      <c r="C46" s="480" t="s">
        <v>2678</v>
      </c>
      <c r="D46" s="480" t="s">
        <v>631</v>
      </c>
      <c r="E46" s="480" t="s">
        <v>2680</v>
      </c>
      <c r="F46" s="557">
        <v>10000</v>
      </c>
      <c r="G46" s="480" t="s">
        <v>633</v>
      </c>
    </row>
    <row r="47" spans="1:7">
      <c r="A47" s="556">
        <v>44158</v>
      </c>
      <c r="B47" s="480" t="s">
        <v>2677</v>
      </c>
      <c r="C47" s="480" t="s">
        <v>2678</v>
      </c>
      <c r="D47" s="480" t="s">
        <v>631</v>
      </c>
      <c r="E47" s="480" t="s">
        <v>2681</v>
      </c>
      <c r="F47" s="557">
        <v>8000</v>
      </c>
      <c r="G47" s="480" t="s">
        <v>2682</v>
      </c>
    </row>
    <row r="48" spans="1:7">
      <c r="A48" s="556">
        <v>44170</v>
      </c>
      <c r="B48" s="480" t="s">
        <v>2677</v>
      </c>
      <c r="C48" s="480" t="s">
        <v>2683</v>
      </c>
      <c r="D48" s="480" t="s">
        <v>631</v>
      </c>
      <c r="E48" s="480" t="s">
        <v>2684</v>
      </c>
      <c r="F48" s="557">
        <v>110000</v>
      </c>
      <c r="G48" s="480" t="s">
        <v>633</v>
      </c>
    </row>
    <row r="49" spans="1:7">
      <c r="A49" s="556">
        <v>44170</v>
      </c>
      <c r="B49" s="480" t="s">
        <v>2685</v>
      </c>
      <c r="C49" s="480" t="s">
        <v>2683</v>
      </c>
      <c r="D49" s="480" t="s">
        <v>631</v>
      </c>
      <c r="E49" s="480" t="s">
        <v>2684</v>
      </c>
      <c r="F49" s="557">
        <v>110000</v>
      </c>
      <c r="G49" s="480" t="s">
        <v>633</v>
      </c>
    </row>
    <row r="50" spans="1:7">
      <c r="A50" s="556">
        <v>44172</v>
      </c>
      <c r="B50" s="480" t="s">
        <v>2659</v>
      </c>
      <c r="C50" s="480" t="s">
        <v>2686</v>
      </c>
      <c r="D50" s="480" t="s">
        <v>631</v>
      </c>
      <c r="E50" s="480" t="s">
        <v>2687</v>
      </c>
      <c r="F50" s="557">
        <v>50000</v>
      </c>
      <c r="G50" s="480" t="s">
        <v>633</v>
      </c>
    </row>
    <row r="51" spans="1:7">
      <c r="A51" s="556">
        <v>44172</v>
      </c>
      <c r="B51" s="480" t="s">
        <v>2688</v>
      </c>
      <c r="C51" s="480" t="s">
        <v>2689</v>
      </c>
      <c r="D51" s="480" t="s">
        <v>631</v>
      </c>
      <c r="E51" s="480" t="s">
        <v>2690</v>
      </c>
      <c r="F51" s="557">
        <v>175000</v>
      </c>
      <c r="G51" s="480" t="s">
        <v>633</v>
      </c>
    </row>
    <row r="52" spans="1:7">
      <c r="A52" s="556">
        <v>44184</v>
      </c>
      <c r="B52" s="480" t="s">
        <v>2688</v>
      </c>
      <c r="C52" s="480" t="s">
        <v>2691</v>
      </c>
      <c r="D52" s="480" t="s">
        <v>631</v>
      </c>
      <c r="E52" s="480" t="s">
        <v>2692</v>
      </c>
      <c r="F52" s="557">
        <v>110000</v>
      </c>
      <c r="G52" s="480" t="s">
        <v>633</v>
      </c>
    </row>
    <row r="53" spans="1:7">
      <c r="A53" s="556">
        <v>44196</v>
      </c>
      <c r="B53" s="480" t="s">
        <v>2693</v>
      </c>
      <c r="C53" s="480" t="s">
        <v>2694</v>
      </c>
      <c r="D53" s="480" t="s">
        <v>631</v>
      </c>
      <c r="E53" s="480" t="s">
        <v>2695</v>
      </c>
      <c r="F53" s="557">
        <v>110000</v>
      </c>
      <c r="G53" s="480" t="s">
        <v>633</v>
      </c>
    </row>
    <row r="54" spans="1:7">
      <c r="A54" s="556">
        <v>44246</v>
      </c>
      <c r="B54" s="480" t="s">
        <v>2647</v>
      </c>
      <c r="C54" s="480" t="s">
        <v>2696</v>
      </c>
      <c r="D54" s="480" t="s">
        <v>631</v>
      </c>
      <c r="E54" s="480" t="s">
        <v>2697</v>
      </c>
      <c r="F54" s="557">
        <v>63000</v>
      </c>
      <c r="G54" s="480" t="s">
        <v>2650</v>
      </c>
    </row>
    <row r="55" spans="1:7">
      <c r="A55" s="556">
        <v>44281</v>
      </c>
      <c r="B55" s="480" t="s">
        <v>2647</v>
      </c>
      <c r="C55" s="480" t="s">
        <v>2698</v>
      </c>
      <c r="D55" s="480" t="s">
        <v>631</v>
      </c>
      <c r="E55" s="480" t="s">
        <v>2699</v>
      </c>
      <c r="F55" s="557">
        <v>60000</v>
      </c>
      <c r="G55" s="480" t="s">
        <v>2700</v>
      </c>
    </row>
    <row r="56" spans="1:7">
      <c r="A56" s="556">
        <v>44309</v>
      </c>
      <c r="B56" s="480" t="s">
        <v>2647</v>
      </c>
      <c r="C56" s="480" t="s">
        <v>2701</v>
      </c>
      <c r="D56" s="480" t="s">
        <v>631</v>
      </c>
      <c r="E56" s="480" t="s">
        <v>2702</v>
      </c>
      <c r="F56" s="557">
        <v>9500</v>
      </c>
      <c r="G56" s="480" t="s">
        <v>633</v>
      </c>
    </row>
    <row r="57" spans="1:7">
      <c r="A57" s="556">
        <v>44309</v>
      </c>
      <c r="B57" s="480" t="s">
        <v>2703</v>
      </c>
      <c r="C57" s="480" t="s">
        <v>2701</v>
      </c>
      <c r="D57" s="480" t="s">
        <v>631</v>
      </c>
      <c r="E57" s="480" t="s">
        <v>2702</v>
      </c>
      <c r="F57" s="557">
        <v>45000</v>
      </c>
      <c r="G57" s="480" t="s">
        <v>633</v>
      </c>
    </row>
    <row r="58" spans="1:7">
      <c r="A58" s="556">
        <v>44309</v>
      </c>
      <c r="B58" s="480" t="s">
        <v>2647</v>
      </c>
      <c r="C58" s="480" t="s">
        <v>2701</v>
      </c>
      <c r="D58" s="480" t="s">
        <v>631</v>
      </c>
      <c r="E58" s="480" t="s">
        <v>2702</v>
      </c>
      <c r="F58" s="557">
        <v>35000</v>
      </c>
      <c r="G58" s="480" t="s">
        <v>633</v>
      </c>
    </row>
    <row r="59" spans="1:7">
      <c r="A59" s="556">
        <v>44363</v>
      </c>
      <c r="B59" s="480" t="s">
        <v>2647</v>
      </c>
      <c r="C59" s="480" t="s">
        <v>2704</v>
      </c>
      <c r="D59" s="480" t="s">
        <v>631</v>
      </c>
      <c r="E59" s="480" t="s">
        <v>2705</v>
      </c>
      <c r="F59" s="557">
        <v>82700</v>
      </c>
      <c r="G59" s="480" t="s">
        <v>633</v>
      </c>
    </row>
    <row r="60" spans="1:7">
      <c r="A60" s="556">
        <v>44385</v>
      </c>
      <c r="B60" s="480" t="s">
        <v>2647</v>
      </c>
      <c r="C60" s="480" t="s">
        <v>2706</v>
      </c>
      <c r="D60" s="480" t="s">
        <v>631</v>
      </c>
      <c r="E60" s="480" t="s">
        <v>2707</v>
      </c>
      <c r="F60" s="557">
        <v>4000</v>
      </c>
      <c r="G60" s="480" t="s">
        <v>633</v>
      </c>
    </row>
    <row r="61" spans="1:7">
      <c r="A61" s="556">
        <v>44480</v>
      </c>
      <c r="B61" s="480" t="s">
        <v>2708</v>
      </c>
      <c r="C61" s="480" t="s">
        <v>2709</v>
      </c>
      <c r="D61" s="480" t="s">
        <v>631</v>
      </c>
      <c r="E61" s="480" t="s">
        <v>2710</v>
      </c>
      <c r="F61" s="557">
        <v>160000</v>
      </c>
      <c r="G61" s="480" t="s">
        <v>633</v>
      </c>
    </row>
    <row r="62" spans="1:7">
      <c r="A62" s="556">
        <v>44547</v>
      </c>
      <c r="B62" s="480" t="s">
        <v>2711</v>
      </c>
      <c r="C62" s="480" t="s">
        <v>2712</v>
      </c>
      <c r="D62" s="480" t="s">
        <v>631</v>
      </c>
      <c r="E62" s="480" t="s">
        <v>2713</v>
      </c>
      <c r="F62" s="557">
        <v>120400</v>
      </c>
      <c r="G62" s="480" t="s">
        <v>633</v>
      </c>
    </row>
    <row r="63" spans="1:7">
      <c r="A63" s="556">
        <v>44205</v>
      </c>
      <c r="B63" s="480" t="s">
        <v>2659</v>
      </c>
      <c r="C63" s="480" t="s">
        <v>2714</v>
      </c>
      <c r="D63" s="480" t="s">
        <v>631</v>
      </c>
      <c r="E63" s="480" t="s">
        <v>2715</v>
      </c>
      <c r="F63" s="557">
        <v>52938</v>
      </c>
      <c r="G63" s="480" t="s">
        <v>633</v>
      </c>
    </row>
    <row r="64" spans="1:7">
      <c r="A64" s="556">
        <v>44221</v>
      </c>
      <c r="B64" s="480" t="s">
        <v>2716</v>
      </c>
      <c r="C64" s="480" t="s">
        <v>2717</v>
      </c>
      <c r="D64" s="480" t="s">
        <v>631</v>
      </c>
      <c r="E64" s="480" t="s">
        <v>2718</v>
      </c>
      <c r="F64" s="557">
        <v>16000</v>
      </c>
      <c r="G64" s="480" t="s">
        <v>633</v>
      </c>
    </row>
    <row r="65" spans="1:7">
      <c r="A65" s="556">
        <v>44236</v>
      </c>
      <c r="B65" s="480" t="s">
        <v>2659</v>
      </c>
      <c r="C65" s="480" t="s">
        <v>2719</v>
      </c>
      <c r="D65" s="480" t="s">
        <v>631</v>
      </c>
      <c r="E65" s="480" t="s">
        <v>2720</v>
      </c>
      <c r="F65" s="557">
        <v>250000</v>
      </c>
      <c r="G65" s="480" t="s">
        <v>633</v>
      </c>
    </row>
    <row r="66" spans="1:7">
      <c r="A66" s="556">
        <v>44236</v>
      </c>
      <c r="B66" s="480" t="s">
        <v>2659</v>
      </c>
      <c r="C66" s="480" t="s">
        <v>2719</v>
      </c>
      <c r="D66" s="480" t="s">
        <v>631</v>
      </c>
      <c r="E66" s="480" t="s">
        <v>2720</v>
      </c>
      <c r="F66" s="557">
        <v>135000</v>
      </c>
      <c r="G66" s="480" t="s">
        <v>633</v>
      </c>
    </row>
    <row r="67" spans="1:7">
      <c r="A67" s="556">
        <v>44251</v>
      </c>
      <c r="B67" s="480" t="s">
        <v>2659</v>
      </c>
      <c r="C67" s="480" t="s">
        <v>2721</v>
      </c>
      <c r="D67" s="480" t="s">
        <v>631</v>
      </c>
      <c r="E67" s="480" t="s">
        <v>2722</v>
      </c>
      <c r="F67" s="557">
        <v>1118600</v>
      </c>
      <c r="G67" s="480" t="s">
        <v>633</v>
      </c>
    </row>
    <row r="68" spans="1:7">
      <c r="A68" s="556">
        <v>44251</v>
      </c>
      <c r="B68" s="480" t="s">
        <v>2659</v>
      </c>
      <c r="C68" s="480" t="s">
        <v>2721</v>
      </c>
      <c r="D68" s="480" t="s">
        <v>631</v>
      </c>
      <c r="E68" s="480" t="s">
        <v>2722</v>
      </c>
      <c r="F68" s="557">
        <v>1249500</v>
      </c>
      <c r="G68" s="480" t="s">
        <v>633</v>
      </c>
    </row>
    <row r="69" spans="1:7">
      <c r="A69" s="556">
        <v>44254</v>
      </c>
      <c r="B69" s="480" t="s">
        <v>2659</v>
      </c>
      <c r="C69" s="480" t="s">
        <v>2721</v>
      </c>
      <c r="D69" s="480" t="s">
        <v>631</v>
      </c>
      <c r="E69" s="480" t="s">
        <v>2723</v>
      </c>
      <c r="F69" s="557">
        <v>940000</v>
      </c>
      <c r="G69" s="480" t="s">
        <v>633</v>
      </c>
    </row>
    <row r="70" spans="1:7">
      <c r="A70" s="556">
        <v>44254</v>
      </c>
      <c r="B70" s="480" t="s">
        <v>2659</v>
      </c>
      <c r="C70" s="480" t="s">
        <v>2721</v>
      </c>
      <c r="D70" s="480" t="s">
        <v>631</v>
      </c>
      <c r="E70" s="480" t="s">
        <v>2723</v>
      </c>
      <c r="F70" s="557">
        <v>1249500</v>
      </c>
      <c r="G70" s="480" t="s">
        <v>633</v>
      </c>
    </row>
    <row r="71" spans="1:7">
      <c r="A71" s="556">
        <v>44255</v>
      </c>
      <c r="B71" s="480" t="s">
        <v>2659</v>
      </c>
      <c r="C71" s="480" t="s">
        <v>2721</v>
      </c>
      <c r="D71" s="480" t="s">
        <v>631</v>
      </c>
      <c r="E71" s="480" t="s">
        <v>2724</v>
      </c>
      <c r="F71" s="557">
        <v>940000</v>
      </c>
      <c r="G71" s="480" t="s">
        <v>633</v>
      </c>
    </row>
    <row r="72" spans="1:7">
      <c r="A72" s="556">
        <v>44255</v>
      </c>
      <c r="B72" s="480" t="s">
        <v>2659</v>
      </c>
      <c r="C72" s="480" t="s">
        <v>2721</v>
      </c>
      <c r="D72" s="480" t="s">
        <v>631</v>
      </c>
      <c r="E72" s="480" t="s">
        <v>2724</v>
      </c>
      <c r="F72" s="557">
        <v>1050000</v>
      </c>
      <c r="G72" s="480" t="s">
        <v>633</v>
      </c>
    </row>
    <row r="73" spans="1:7">
      <c r="A73" s="556">
        <v>44259</v>
      </c>
      <c r="B73" s="480" t="s">
        <v>2659</v>
      </c>
      <c r="C73" s="480" t="s">
        <v>2725</v>
      </c>
      <c r="D73" s="480" t="s">
        <v>631</v>
      </c>
      <c r="E73" s="480" t="s">
        <v>2726</v>
      </c>
      <c r="F73" s="557">
        <v>400000</v>
      </c>
      <c r="G73" s="480" t="s">
        <v>633</v>
      </c>
    </row>
    <row r="74" spans="1:7">
      <c r="A74" s="556">
        <v>44259</v>
      </c>
      <c r="B74" s="480" t="s">
        <v>2659</v>
      </c>
      <c r="C74" s="480" t="s">
        <v>2725</v>
      </c>
      <c r="D74" s="480" t="s">
        <v>631</v>
      </c>
      <c r="E74" s="480" t="s">
        <v>2726</v>
      </c>
      <c r="F74" s="557">
        <v>230000</v>
      </c>
      <c r="G74" s="480" t="s">
        <v>633</v>
      </c>
    </row>
    <row r="75" spans="1:7">
      <c r="A75" s="556">
        <v>44259</v>
      </c>
      <c r="B75" s="480" t="s">
        <v>2659</v>
      </c>
      <c r="C75" s="480" t="s">
        <v>2725</v>
      </c>
      <c r="D75" s="480" t="s">
        <v>631</v>
      </c>
      <c r="E75" s="480" t="s">
        <v>2726</v>
      </c>
      <c r="F75" s="557">
        <v>200000</v>
      </c>
      <c r="G75" s="480" t="s">
        <v>633</v>
      </c>
    </row>
    <row r="76" spans="1:7">
      <c r="A76" s="556">
        <v>44268</v>
      </c>
      <c r="B76" s="480" t="s">
        <v>2685</v>
      </c>
      <c r="C76" s="480" t="s">
        <v>2727</v>
      </c>
      <c r="D76" s="480" t="s">
        <v>631</v>
      </c>
      <c r="E76" s="480" t="s">
        <v>2728</v>
      </c>
      <c r="F76" s="557">
        <v>200000</v>
      </c>
      <c r="G76" s="480" t="s">
        <v>633</v>
      </c>
    </row>
    <row r="77" spans="1:7">
      <c r="A77" s="556">
        <v>44310</v>
      </c>
      <c r="B77" s="480" t="s">
        <v>2729</v>
      </c>
      <c r="C77" s="480" t="s">
        <v>2701</v>
      </c>
      <c r="D77" s="480" t="s">
        <v>631</v>
      </c>
      <c r="E77" s="480" t="s">
        <v>2730</v>
      </c>
      <c r="F77" s="557">
        <v>45000</v>
      </c>
      <c r="G77" s="480" t="s">
        <v>633</v>
      </c>
    </row>
    <row r="78" spans="1:7">
      <c r="A78" s="556">
        <v>44312</v>
      </c>
      <c r="B78" s="480" t="s">
        <v>2685</v>
      </c>
      <c r="C78" s="480" t="s">
        <v>2731</v>
      </c>
      <c r="D78" s="480" t="s">
        <v>631</v>
      </c>
      <c r="E78" s="480" t="s">
        <v>2732</v>
      </c>
      <c r="F78" s="557">
        <v>12000</v>
      </c>
      <c r="G78" s="480" t="s">
        <v>633</v>
      </c>
    </row>
    <row r="79" spans="1:7">
      <c r="A79" s="556">
        <v>44312</v>
      </c>
      <c r="B79" s="480" t="s">
        <v>2685</v>
      </c>
      <c r="C79" s="480" t="s">
        <v>2731</v>
      </c>
      <c r="D79" s="480" t="s">
        <v>631</v>
      </c>
      <c r="E79" s="480" t="s">
        <v>2732</v>
      </c>
      <c r="F79" s="557">
        <v>9500</v>
      </c>
      <c r="G79" s="480" t="s">
        <v>633</v>
      </c>
    </row>
    <row r="80" spans="1:7">
      <c r="A80" s="556">
        <v>44344</v>
      </c>
      <c r="B80" s="480" t="s">
        <v>2659</v>
      </c>
      <c r="C80" s="480" t="s">
        <v>2733</v>
      </c>
      <c r="D80" s="480" t="s">
        <v>631</v>
      </c>
      <c r="E80" s="480" t="s">
        <v>2734</v>
      </c>
      <c r="F80" s="557">
        <v>45000</v>
      </c>
      <c r="G80" s="480" t="s">
        <v>633</v>
      </c>
    </row>
    <row r="81" spans="1:7">
      <c r="A81" s="556">
        <v>44365</v>
      </c>
      <c r="B81" s="480" t="s">
        <v>2677</v>
      </c>
      <c r="C81" s="480" t="s">
        <v>2735</v>
      </c>
      <c r="D81" s="480" t="s">
        <v>631</v>
      </c>
      <c r="E81" s="480" t="s">
        <v>2736</v>
      </c>
      <c r="F81" s="557">
        <v>19000</v>
      </c>
      <c r="G81" s="480" t="s">
        <v>633</v>
      </c>
    </row>
    <row r="82" spans="1:7">
      <c r="A82" s="556">
        <v>44365</v>
      </c>
      <c r="B82" s="480" t="s">
        <v>2677</v>
      </c>
      <c r="C82" s="480" t="s">
        <v>2735</v>
      </c>
      <c r="D82" s="480" t="s">
        <v>631</v>
      </c>
      <c r="E82" s="480" t="s">
        <v>2736</v>
      </c>
      <c r="F82" s="557">
        <v>11000</v>
      </c>
      <c r="G82" s="480" t="s">
        <v>633</v>
      </c>
    </row>
    <row r="83" spans="1:7">
      <c r="A83" s="556">
        <v>44365</v>
      </c>
      <c r="B83" s="480" t="s">
        <v>2677</v>
      </c>
      <c r="C83" s="480" t="s">
        <v>2737</v>
      </c>
      <c r="D83" s="480" t="s">
        <v>631</v>
      </c>
      <c r="E83" s="480" t="s">
        <v>2738</v>
      </c>
      <c r="F83" s="557">
        <v>8000</v>
      </c>
      <c r="G83" s="480" t="s">
        <v>2682</v>
      </c>
    </row>
    <row r="84" spans="1:7">
      <c r="A84" s="556">
        <v>44365</v>
      </c>
      <c r="B84" s="480" t="s">
        <v>2677</v>
      </c>
      <c r="C84" s="480" t="s">
        <v>2737</v>
      </c>
      <c r="D84" s="480" t="s">
        <v>631</v>
      </c>
      <c r="E84" s="480" t="s">
        <v>2739</v>
      </c>
      <c r="F84" s="557">
        <v>5000</v>
      </c>
      <c r="G84" s="480" t="s">
        <v>2682</v>
      </c>
    </row>
    <row r="85" spans="1:7">
      <c r="A85" s="556">
        <v>44400</v>
      </c>
      <c r="B85" s="480" t="s">
        <v>2659</v>
      </c>
      <c r="C85" s="480" t="s">
        <v>2740</v>
      </c>
      <c r="D85" s="480" t="s">
        <v>631</v>
      </c>
      <c r="E85" s="480" t="s">
        <v>2741</v>
      </c>
      <c r="F85" s="557">
        <v>15000</v>
      </c>
      <c r="G85" s="480" t="s">
        <v>633</v>
      </c>
    </row>
    <row r="86" spans="1:7">
      <c r="A86" s="556">
        <v>44400</v>
      </c>
      <c r="B86" s="480" t="s">
        <v>2659</v>
      </c>
      <c r="C86" s="480" t="s">
        <v>2742</v>
      </c>
      <c r="D86" s="480" t="s">
        <v>631</v>
      </c>
      <c r="E86" s="480" t="s">
        <v>2743</v>
      </c>
      <c r="F86" s="557">
        <v>24000</v>
      </c>
      <c r="G86" s="480" t="s">
        <v>633</v>
      </c>
    </row>
    <row r="87" spans="1:7">
      <c r="A87" s="556">
        <v>44400</v>
      </c>
      <c r="B87" s="480" t="s">
        <v>2659</v>
      </c>
      <c r="C87" s="480" t="s">
        <v>2742</v>
      </c>
      <c r="D87" s="480" t="s">
        <v>631</v>
      </c>
      <c r="E87" s="480" t="s">
        <v>2744</v>
      </c>
      <c r="F87" s="557">
        <v>4500</v>
      </c>
      <c r="G87" s="480" t="s">
        <v>633</v>
      </c>
    </row>
    <row r="88" spans="1:7">
      <c r="A88" s="556">
        <v>44400</v>
      </c>
      <c r="B88" s="480" t="s">
        <v>2659</v>
      </c>
      <c r="C88" s="480" t="s">
        <v>2742</v>
      </c>
      <c r="D88" s="480" t="s">
        <v>631</v>
      </c>
      <c r="E88" s="480" t="s">
        <v>2744</v>
      </c>
      <c r="F88" s="557">
        <v>1500</v>
      </c>
      <c r="G88" s="480" t="s">
        <v>633</v>
      </c>
    </row>
    <row r="89" spans="1:7">
      <c r="A89" s="556">
        <v>44400</v>
      </c>
      <c r="B89" s="480" t="s">
        <v>2659</v>
      </c>
      <c r="C89" s="480" t="s">
        <v>2742</v>
      </c>
      <c r="D89" s="480" t="s">
        <v>631</v>
      </c>
      <c r="E89" s="480" t="s">
        <v>2744</v>
      </c>
      <c r="F89" s="557">
        <v>1500</v>
      </c>
      <c r="G89" s="480" t="s">
        <v>633</v>
      </c>
    </row>
    <row r="90" spans="1:7">
      <c r="A90" s="556">
        <v>44404</v>
      </c>
      <c r="B90" s="480" t="s">
        <v>2659</v>
      </c>
      <c r="C90" s="480" t="s">
        <v>2742</v>
      </c>
      <c r="D90" s="480" t="s">
        <v>631</v>
      </c>
      <c r="E90" s="480" t="s">
        <v>2745</v>
      </c>
      <c r="F90" s="557">
        <v>4500</v>
      </c>
      <c r="G90" s="480" t="s">
        <v>633</v>
      </c>
    </row>
    <row r="91" spans="1:7">
      <c r="A91" s="556">
        <v>44404</v>
      </c>
      <c r="B91" s="480" t="s">
        <v>2659</v>
      </c>
      <c r="C91" s="480" t="s">
        <v>2742</v>
      </c>
      <c r="D91" s="480" t="s">
        <v>631</v>
      </c>
      <c r="E91" s="480" t="s">
        <v>2745</v>
      </c>
      <c r="F91" s="557">
        <v>3000</v>
      </c>
      <c r="G91" s="480" t="s">
        <v>633</v>
      </c>
    </row>
    <row r="92" spans="1:7">
      <c r="A92" s="556">
        <v>44404</v>
      </c>
      <c r="B92" s="480" t="s">
        <v>2659</v>
      </c>
      <c r="C92" s="480" t="s">
        <v>2742</v>
      </c>
      <c r="D92" s="480" t="s">
        <v>631</v>
      </c>
      <c r="E92" s="480" t="s">
        <v>2745</v>
      </c>
      <c r="F92" s="557">
        <v>1500</v>
      </c>
      <c r="G92" s="480" t="s">
        <v>633</v>
      </c>
    </row>
    <row r="93" spans="1:7">
      <c r="A93" s="556">
        <v>44420</v>
      </c>
      <c r="B93" s="480" t="s">
        <v>2659</v>
      </c>
      <c r="C93" s="480" t="s">
        <v>2746</v>
      </c>
      <c r="D93" s="480" t="s">
        <v>631</v>
      </c>
      <c r="E93" s="480" t="s">
        <v>2747</v>
      </c>
      <c r="F93" s="557">
        <v>43500</v>
      </c>
      <c r="G93" s="480" t="s">
        <v>633</v>
      </c>
    </row>
    <row r="94" spans="1:7">
      <c r="A94" s="556">
        <v>44420</v>
      </c>
      <c r="B94" s="480" t="s">
        <v>2659</v>
      </c>
      <c r="C94" s="480" t="s">
        <v>2746</v>
      </c>
      <c r="D94" s="480" t="s">
        <v>631</v>
      </c>
      <c r="E94" s="480" t="s">
        <v>2748</v>
      </c>
      <c r="F94" s="557">
        <v>23200</v>
      </c>
      <c r="G94" s="480" t="s">
        <v>633</v>
      </c>
    </row>
    <row r="95" spans="1:7">
      <c r="A95" s="556">
        <v>44428</v>
      </c>
      <c r="B95" s="480" t="s">
        <v>2659</v>
      </c>
      <c r="C95" s="480" t="s">
        <v>2749</v>
      </c>
      <c r="D95" s="480" t="s">
        <v>631</v>
      </c>
      <c r="E95" s="480" t="s">
        <v>2750</v>
      </c>
      <c r="F95" s="557">
        <v>28000</v>
      </c>
      <c r="G95" s="480" t="s">
        <v>633</v>
      </c>
    </row>
    <row r="96" spans="1:7">
      <c r="A96" s="556">
        <v>44480</v>
      </c>
      <c r="B96" s="480" t="s">
        <v>2659</v>
      </c>
      <c r="C96" s="480" t="s">
        <v>2751</v>
      </c>
      <c r="D96" s="480" t="s">
        <v>631</v>
      </c>
      <c r="E96" s="480" t="s">
        <v>2752</v>
      </c>
      <c r="F96" s="557">
        <v>440000</v>
      </c>
      <c r="G96" s="480" t="s">
        <v>633</v>
      </c>
    </row>
    <row r="97" spans="1:8">
      <c r="A97" s="556">
        <v>44488</v>
      </c>
      <c r="B97" s="480" t="s">
        <v>2753</v>
      </c>
      <c r="C97" s="480" t="s">
        <v>2751</v>
      </c>
      <c r="D97" s="480" t="s">
        <v>631</v>
      </c>
      <c r="E97" s="480" t="s">
        <v>2754</v>
      </c>
      <c r="F97" s="557">
        <v>88000</v>
      </c>
      <c r="G97" s="480" t="s">
        <v>633</v>
      </c>
    </row>
    <row r="98" spans="1:8">
      <c r="A98" s="556">
        <v>44488</v>
      </c>
      <c r="B98" s="480" t="s">
        <v>2755</v>
      </c>
      <c r="C98" s="480" t="s">
        <v>2751</v>
      </c>
      <c r="D98" s="480" t="s">
        <v>631</v>
      </c>
      <c r="E98" s="480" t="s">
        <v>2754</v>
      </c>
      <c r="F98" s="557">
        <v>88000</v>
      </c>
      <c r="G98" s="480" t="s">
        <v>633</v>
      </c>
    </row>
    <row r="99" spans="1:8">
      <c r="A99" s="556">
        <v>44488</v>
      </c>
      <c r="B99" s="480" t="s">
        <v>2756</v>
      </c>
      <c r="C99" s="480" t="s">
        <v>2751</v>
      </c>
      <c r="D99" s="480" t="s">
        <v>631</v>
      </c>
      <c r="E99" s="480" t="s">
        <v>2754</v>
      </c>
      <c r="F99" s="557">
        <v>88000</v>
      </c>
      <c r="G99" s="480" t="s">
        <v>633</v>
      </c>
    </row>
    <row r="100" spans="1:8">
      <c r="A100" s="556">
        <v>44488</v>
      </c>
      <c r="B100" s="480" t="s">
        <v>2757</v>
      </c>
      <c r="C100" s="480" t="s">
        <v>2751</v>
      </c>
      <c r="D100" s="480" t="s">
        <v>631</v>
      </c>
      <c r="E100" s="480" t="s">
        <v>2754</v>
      </c>
      <c r="F100" s="557">
        <v>88000</v>
      </c>
      <c r="G100" s="480" t="s">
        <v>633</v>
      </c>
    </row>
    <row r="101" spans="1:8">
      <c r="A101" s="556">
        <v>44488</v>
      </c>
      <c r="B101" s="480" t="s">
        <v>2758</v>
      </c>
      <c r="C101" s="480" t="s">
        <v>2751</v>
      </c>
      <c r="D101" s="480" t="s">
        <v>631</v>
      </c>
      <c r="E101" s="480" t="s">
        <v>2754</v>
      </c>
      <c r="F101" s="557">
        <v>88000</v>
      </c>
      <c r="G101" s="480" t="s">
        <v>633</v>
      </c>
    </row>
    <row r="102" spans="1:8">
      <c r="A102" s="556">
        <v>44508</v>
      </c>
      <c r="B102" s="480" t="s">
        <v>2688</v>
      </c>
      <c r="C102" s="480" t="s">
        <v>2759</v>
      </c>
      <c r="D102" s="480" t="s">
        <v>631</v>
      </c>
      <c r="E102" s="480" t="s">
        <v>2760</v>
      </c>
      <c r="F102" s="557">
        <v>200000</v>
      </c>
      <c r="G102" s="480" t="s">
        <v>633</v>
      </c>
    </row>
    <row r="103" spans="1:8">
      <c r="A103" s="556">
        <v>44523</v>
      </c>
      <c r="B103" s="480" t="s">
        <v>2761</v>
      </c>
      <c r="C103" s="480" t="s">
        <v>2762</v>
      </c>
      <c r="D103" s="480" t="s">
        <v>631</v>
      </c>
      <c r="E103" s="480" t="s">
        <v>2763</v>
      </c>
      <c r="F103" s="557">
        <v>304938</v>
      </c>
      <c r="G103" s="480" t="s">
        <v>633</v>
      </c>
    </row>
    <row r="104" spans="1:8">
      <c r="A104" s="556">
        <v>44523</v>
      </c>
      <c r="B104" s="480" t="s">
        <v>2755</v>
      </c>
      <c r="C104" s="480" t="s">
        <v>2762</v>
      </c>
      <c r="D104" s="480" t="s">
        <v>631</v>
      </c>
      <c r="E104" s="480" t="s">
        <v>2763</v>
      </c>
      <c r="F104" s="557">
        <v>304938</v>
      </c>
      <c r="G104" s="480" t="s">
        <v>633</v>
      </c>
    </row>
    <row r="105" spans="1:8">
      <c r="A105" s="556">
        <v>44523</v>
      </c>
      <c r="B105" s="480" t="s">
        <v>2756</v>
      </c>
      <c r="C105" s="480" t="s">
        <v>2762</v>
      </c>
      <c r="D105" s="480" t="s">
        <v>631</v>
      </c>
      <c r="E105" s="480" t="s">
        <v>2763</v>
      </c>
      <c r="F105" s="557">
        <v>609875</v>
      </c>
      <c r="G105" s="480" t="s">
        <v>633</v>
      </c>
    </row>
    <row r="106" spans="1:8">
      <c r="A106" s="556">
        <v>44523</v>
      </c>
      <c r="B106" s="480" t="s">
        <v>2753</v>
      </c>
      <c r="C106" s="480" t="s">
        <v>2762</v>
      </c>
      <c r="D106" s="480" t="s">
        <v>631</v>
      </c>
      <c r="E106" s="480" t="s">
        <v>2763</v>
      </c>
      <c r="F106" s="557">
        <v>327250</v>
      </c>
      <c r="G106" s="480" t="s">
        <v>633</v>
      </c>
    </row>
    <row r="107" spans="1:8">
      <c r="A107" s="556">
        <v>44523</v>
      </c>
      <c r="B107" s="480" t="s">
        <v>2761</v>
      </c>
      <c r="C107" s="480" t="s">
        <v>2762</v>
      </c>
      <c r="D107" s="480" t="s">
        <v>631</v>
      </c>
      <c r="E107" s="480" t="s">
        <v>2763</v>
      </c>
      <c r="F107" s="557">
        <v>327250</v>
      </c>
      <c r="G107" s="480" t="s">
        <v>633</v>
      </c>
    </row>
    <row r="108" spans="1:8">
      <c r="A108" s="556">
        <v>44523</v>
      </c>
      <c r="B108" s="480" t="s">
        <v>2758</v>
      </c>
      <c r="C108" s="480" t="s">
        <v>2762</v>
      </c>
      <c r="D108" s="480" t="s">
        <v>631</v>
      </c>
      <c r="E108" s="480" t="s">
        <v>2763</v>
      </c>
      <c r="F108" s="557">
        <v>327250</v>
      </c>
      <c r="G108" s="480" t="s">
        <v>633</v>
      </c>
    </row>
    <row r="109" spans="1:8">
      <c r="A109" s="556">
        <v>44523</v>
      </c>
      <c r="B109" s="480" t="s">
        <v>2756</v>
      </c>
      <c r="C109" s="480" t="s">
        <v>2762</v>
      </c>
      <c r="D109" s="480" t="s">
        <v>631</v>
      </c>
      <c r="E109" s="480" t="s">
        <v>2763</v>
      </c>
      <c r="F109" s="557">
        <v>327250</v>
      </c>
      <c r="G109" s="480" t="s">
        <v>633</v>
      </c>
    </row>
    <row r="110" spans="1:8">
      <c r="F110" s="545">
        <f>SUM(F8:F109)</f>
        <v>14752462</v>
      </c>
      <c r="G110" s="548">
        <v>0.13100000000000001</v>
      </c>
      <c r="H110" s="549" t="s">
        <v>149</v>
      </c>
    </row>
    <row r="111" spans="1:8">
      <c r="F111" s="483">
        <f>+F110*(1+G110)</f>
        <v>16685034.522</v>
      </c>
    </row>
  </sheetData>
  <autoFilter ref="A7:E110" xr:uid="{00000000-0009-0000-0000-000025000000}"/>
  <mergeCells count="4">
    <mergeCell ref="T8:AA11"/>
    <mergeCell ref="T12:AA13"/>
    <mergeCell ref="T14:AA17"/>
    <mergeCell ref="I6:M6"/>
  </mergeCells>
  <phoneticPr fontId="30"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N12"/>
  <sheetViews>
    <sheetView showGridLines="0" topLeftCell="E1" workbookViewId="0">
      <selection activeCell="N9" sqref="N9"/>
    </sheetView>
  </sheetViews>
  <sheetFormatPr baseColWidth="10" defaultRowHeight="12.75"/>
  <cols>
    <col min="3" max="3" width="15.28515625" bestFit="1" customWidth="1"/>
    <col min="4" max="4" width="14" bestFit="1" customWidth="1"/>
    <col min="5" max="5" width="15.85546875" bestFit="1" customWidth="1"/>
    <col min="6" max="9" width="14.85546875" bestFit="1" customWidth="1"/>
    <col min="10" max="14" width="14.85546875" customWidth="1"/>
  </cols>
  <sheetData>
    <row r="2" spans="2:14" ht="15">
      <c r="B2" s="893"/>
      <c r="C2" s="952"/>
      <c r="D2" s="894"/>
      <c r="E2" s="56" t="s">
        <v>226</v>
      </c>
      <c r="F2" s="56" t="s">
        <v>227</v>
      </c>
      <c r="G2" s="56" t="s">
        <v>228</v>
      </c>
      <c r="H2" s="56" t="s">
        <v>229</v>
      </c>
      <c r="I2" s="596" t="s">
        <v>230</v>
      </c>
      <c r="J2" s="596" t="s">
        <v>231</v>
      </c>
      <c r="K2" s="596" t="s">
        <v>232</v>
      </c>
      <c r="L2" s="596" t="s">
        <v>233</v>
      </c>
      <c r="M2" s="596" t="s">
        <v>3010</v>
      </c>
      <c r="N2" s="596" t="s">
        <v>3011</v>
      </c>
    </row>
    <row r="3" spans="2:14" ht="15">
      <c r="B3" s="953" t="s">
        <v>436</v>
      </c>
      <c r="C3" s="954"/>
      <c r="D3" s="955"/>
      <c r="E3" s="599">
        <v>0</v>
      </c>
      <c r="F3" s="599">
        <f>+'IPC - CAFÉ'!E24</f>
        <v>0.06</v>
      </c>
      <c r="G3" s="599">
        <f>+'IPC - CAFÉ'!F24</f>
        <v>4.5975144331782153E-2</v>
      </c>
      <c r="H3" s="599">
        <f>+'IPC - CAFÉ'!G24</f>
        <v>4.7225144331782154E-2</v>
      </c>
      <c r="I3" s="599">
        <f>+'IPC - CAFÉ'!H24</f>
        <v>4.8475144331782155E-2</v>
      </c>
      <c r="J3" s="599">
        <f>+'IPC - CAFÉ'!I24</f>
        <v>4.9725144331782156E-2</v>
      </c>
      <c r="K3" s="599">
        <f>+'IPC - CAFÉ'!J24</f>
        <v>5.0975144331782157E-2</v>
      </c>
      <c r="L3" s="599">
        <f>+'IPC - CAFÉ'!K24</f>
        <v>5.2225144331782158E-2</v>
      </c>
      <c r="M3" s="599">
        <f>+'IPC - CAFÉ'!L24</f>
        <v>5.347514433178216E-2</v>
      </c>
      <c r="N3" s="599">
        <f>+'IPC - CAFÉ'!M24</f>
        <v>5.4725144331782161E-2</v>
      </c>
    </row>
    <row r="5" spans="2:14" ht="15">
      <c r="B5" s="895" t="s">
        <v>2877</v>
      </c>
      <c r="C5" s="896"/>
      <c r="D5" s="896"/>
      <c r="E5">
        <v>10</v>
      </c>
      <c r="F5" s="619">
        <f>+E5*(1+F3)</f>
        <v>10.600000000000001</v>
      </c>
      <c r="G5" s="619">
        <f t="shared" ref="G5:I5" si="0">+F5*(1+G3)</f>
        <v>11.087336529916893</v>
      </c>
      <c r="H5" s="619">
        <f t="shared" si="0"/>
        <v>11.610937597797259</v>
      </c>
      <c r="I5" s="619">
        <f t="shared" si="0"/>
        <v>12.173779473677797</v>
      </c>
      <c r="J5" s="619"/>
      <c r="K5" s="619"/>
      <c r="L5" s="619"/>
      <c r="M5" s="619"/>
      <c r="N5" s="619"/>
    </row>
    <row r="8" spans="2:14" ht="15">
      <c r="B8" s="899"/>
      <c r="C8" s="899"/>
      <c r="D8" s="899"/>
      <c r="E8" s="56" t="s">
        <v>226</v>
      </c>
      <c r="F8" s="56" t="s">
        <v>227</v>
      </c>
      <c r="G8" s="56" t="s">
        <v>228</v>
      </c>
      <c r="H8" s="56" t="s">
        <v>229</v>
      </c>
      <c r="I8" s="56" t="s">
        <v>230</v>
      </c>
      <c r="J8" s="56" t="s">
        <v>231</v>
      </c>
      <c r="K8" s="56" t="s">
        <v>232</v>
      </c>
      <c r="L8" s="56" t="s">
        <v>233</v>
      </c>
      <c r="M8" s="56" t="s">
        <v>3010</v>
      </c>
      <c r="N8" s="56" t="s">
        <v>3011</v>
      </c>
    </row>
    <row r="9" spans="2:14">
      <c r="B9" s="951" t="s">
        <v>2953</v>
      </c>
      <c r="C9" s="951"/>
      <c r="D9" s="951"/>
      <c r="E9" s="16">
        <f>+'I-C Almacenes'!D32</f>
        <v>18200000000</v>
      </c>
      <c r="F9" s="16">
        <f>+'I-C Almacenes'!E32</f>
        <v>20256600000</v>
      </c>
      <c r="G9" s="16">
        <f>+'I-C Almacenes'!F32</f>
        <v>22247295114.10474</v>
      </c>
      <c r="H9" s="16">
        <f>+'I-C Almacenes'!G32</f>
        <v>24462823178.703098</v>
      </c>
      <c r="I9" s="16">
        <f>+'I-C Almacenes'!H32</f>
        <v>26931095166.206272</v>
      </c>
      <c r="J9" s="16">
        <f>+'I-C Almacenes'!I32</f>
        <v>27200406117.868336</v>
      </c>
      <c r="K9" s="16">
        <f>+'I-C Almacenes'!J32</f>
        <v>27472410179.04702</v>
      </c>
      <c r="L9" s="16">
        <f>+'I-C Almacenes'!K32</f>
        <v>27747134280.83749</v>
      </c>
      <c r="M9" s="16">
        <f>+'I-C Almacenes'!L32</f>
        <v>28024605623.645866</v>
      </c>
      <c r="N9" s="16">
        <f>+'I-C Almacenes'!M32</f>
        <v>28304851679.882324</v>
      </c>
    </row>
    <row r="10" spans="2:14">
      <c r="B10" s="950" t="s">
        <v>1</v>
      </c>
      <c r="C10" s="950"/>
      <c r="D10" s="950"/>
      <c r="E10" s="621">
        <f>SUM(E9:E9)</f>
        <v>18200000000</v>
      </c>
      <c r="F10" s="621">
        <f t="shared" ref="F10:I10" si="1">SUM(F9:F9)</f>
        <v>20256600000</v>
      </c>
      <c r="G10" s="621">
        <f t="shared" si="1"/>
        <v>22247295114.10474</v>
      </c>
      <c r="H10" s="621">
        <f t="shared" si="1"/>
        <v>24462823178.703098</v>
      </c>
      <c r="I10" s="621">
        <f t="shared" si="1"/>
        <v>26931095166.206272</v>
      </c>
      <c r="J10" s="621">
        <f t="shared" ref="J10:N10" si="2">SUM(J9:J9)</f>
        <v>27200406117.868336</v>
      </c>
      <c r="K10" s="621">
        <f t="shared" si="2"/>
        <v>27472410179.04702</v>
      </c>
      <c r="L10" s="621">
        <f t="shared" si="2"/>
        <v>27747134280.83749</v>
      </c>
      <c r="M10" s="621">
        <f t="shared" si="2"/>
        <v>28024605623.645866</v>
      </c>
      <c r="N10" s="621">
        <f t="shared" si="2"/>
        <v>28304851679.882324</v>
      </c>
    </row>
    <row r="11" spans="2:14">
      <c r="B11" s="51"/>
      <c r="C11" s="51"/>
      <c r="D11" s="51"/>
    </row>
    <row r="12" spans="2:14">
      <c r="B12" s="951" t="s">
        <v>2954</v>
      </c>
      <c r="C12" s="951"/>
      <c r="D12" s="951"/>
      <c r="E12" s="16">
        <v>0</v>
      </c>
      <c r="F12" s="16">
        <f>+E10*0.004</f>
        <v>72800000</v>
      </c>
      <c r="G12" s="16">
        <f t="shared" ref="G12:I12" si="3">+F10*0.004</f>
        <v>81026400</v>
      </c>
      <c r="H12" s="16">
        <f t="shared" si="3"/>
        <v>88989180.456418961</v>
      </c>
      <c r="I12" s="16">
        <f t="shared" si="3"/>
        <v>97851292.714812398</v>
      </c>
      <c r="J12" s="16">
        <f t="shared" ref="J12" si="4">+I10*0.004</f>
        <v>107724380.6648251</v>
      </c>
      <c r="K12" s="16">
        <f t="shared" ref="K12" si="5">+J10*0.004</f>
        <v>108801624.47147335</v>
      </c>
      <c r="L12" s="16">
        <f t="shared" ref="L12" si="6">+K10*0.004</f>
        <v>109889640.71618809</v>
      </c>
      <c r="M12" s="16">
        <f t="shared" ref="M12" si="7">+L10*0.004</f>
        <v>110988537.12334996</v>
      </c>
      <c r="N12" s="16">
        <f t="shared" ref="N12" si="8">+M10*0.004</f>
        <v>112098422.49458347</v>
      </c>
    </row>
  </sheetData>
  <mergeCells count="7">
    <mergeCell ref="B10:D10"/>
    <mergeCell ref="B12:D12"/>
    <mergeCell ref="B2:D2"/>
    <mergeCell ref="B3:D3"/>
    <mergeCell ref="B5:D5"/>
    <mergeCell ref="B8:D8"/>
    <mergeCell ref="B9:D9"/>
  </mergeCells>
  <phoneticPr fontId="30"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18"/>
  <sheetViews>
    <sheetView showGridLines="0" zoomScale="90" zoomScaleNormal="90" workbookViewId="0">
      <pane xSplit="1" ySplit="2" topLeftCell="L3" activePane="bottomRight" state="frozen"/>
      <selection pane="topRight" activeCell="B1" sqref="B1"/>
      <selection pane="bottomLeft" activeCell="A3" sqref="A3"/>
      <selection pane="bottomRight" activeCell="Z34" sqref="Z34"/>
    </sheetView>
  </sheetViews>
  <sheetFormatPr baseColWidth="10" defaultRowHeight="15"/>
  <cols>
    <col min="1" max="1" width="36.140625" style="817" customWidth="1"/>
    <col min="2" max="2" width="8.7109375" style="817" hidden="1" customWidth="1"/>
    <col min="3" max="3" width="11.28515625" style="817" hidden="1" customWidth="1"/>
    <col min="4" max="4" width="8.7109375" style="817" hidden="1" customWidth="1"/>
    <col min="5" max="5" width="11.5703125" style="817" hidden="1" customWidth="1"/>
    <col min="6" max="6" width="8.7109375" style="817" hidden="1" customWidth="1"/>
    <col min="7" max="7" width="11.28515625" style="817" hidden="1" customWidth="1"/>
    <col min="8" max="8" width="8.7109375" style="817" hidden="1" customWidth="1"/>
    <col min="9" max="9" width="11.28515625" style="817" hidden="1" customWidth="1"/>
    <col min="10" max="10" width="8.7109375" style="817" hidden="1" customWidth="1"/>
    <col min="11" max="11" width="11.5703125" style="817" hidden="1" customWidth="1"/>
    <col min="12" max="12" width="18.7109375" style="817" customWidth="1"/>
    <col min="13" max="13" width="20.140625" style="817" customWidth="1"/>
    <col min="14" max="14" width="11.85546875" style="817" customWidth="1"/>
    <col min="15" max="15" width="10.28515625" style="817" bestFit="1" customWidth="1"/>
    <col min="16" max="16" width="8.7109375" style="817" hidden="1" customWidth="1"/>
    <col min="17" max="17" width="11.5703125" style="817" hidden="1" customWidth="1"/>
    <col min="18" max="18" width="8.7109375" style="817" hidden="1" customWidth="1"/>
    <col min="19" max="19" width="11.5703125" style="817" hidden="1" customWidth="1"/>
    <col min="20" max="20" width="8.7109375" style="817" hidden="1" customWidth="1"/>
    <col min="21" max="21" width="11.28515625" style="817" hidden="1" customWidth="1"/>
    <col min="22" max="22" width="8.7109375" style="817" hidden="1" customWidth="1"/>
    <col min="23" max="23" width="11.5703125" style="817" hidden="1" customWidth="1"/>
    <col min="24" max="24" width="8.7109375" style="817" hidden="1" customWidth="1"/>
    <col min="25" max="25" width="11.28515625" style="817" hidden="1" customWidth="1"/>
    <col min="26" max="26" width="20" style="817" customWidth="1"/>
    <col min="27" max="27" width="16.85546875" style="817" customWidth="1"/>
    <col min="28" max="28" width="11.28515625" style="817" customWidth="1"/>
    <col min="29" max="29" width="12.28515625" style="817" customWidth="1"/>
    <col min="30" max="30" width="19.42578125" style="817" customWidth="1"/>
    <col min="31" max="31" width="17.140625" style="817" customWidth="1"/>
    <col min="32" max="32" width="12.28515625" style="817" customWidth="1"/>
    <col min="33" max="33" width="13.85546875" style="817" customWidth="1"/>
    <col min="34" max="34" width="19.5703125" style="817" bestFit="1" customWidth="1"/>
    <col min="35" max="35" width="19.140625" style="817" customWidth="1"/>
    <col min="36" max="36" width="11.7109375" style="817" customWidth="1"/>
    <col min="37" max="37" width="11.85546875" style="817" customWidth="1"/>
    <col min="38" max="38" width="19.5703125" style="817" bestFit="1" customWidth="1"/>
    <col min="39" max="39" width="19.28515625" style="817" customWidth="1"/>
    <col min="40" max="40" width="11.5703125" style="817" customWidth="1"/>
    <col min="41" max="41" width="10.42578125" style="817" customWidth="1"/>
    <col min="42" max="16384" width="11.42578125" style="817"/>
  </cols>
  <sheetData>
    <row r="1" spans="1:41" ht="15.75" thickBot="1">
      <c r="A1" s="809" t="s">
        <v>3051</v>
      </c>
      <c r="B1" s="885">
        <v>2011</v>
      </c>
      <c r="C1" s="884"/>
      <c r="D1" s="885">
        <v>2012</v>
      </c>
      <c r="E1" s="884"/>
      <c r="F1" s="885">
        <v>2013</v>
      </c>
      <c r="G1" s="884"/>
      <c r="H1" s="885">
        <v>2014</v>
      </c>
      <c r="I1" s="884"/>
      <c r="J1" s="885">
        <v>2015</v>
      </c>
      <c r="K1" s="883"/>
      <c r="L1" s="886" t="s">
        <v>3052</v>
      </c>
      <c r="M1" s="887"/>
      <c r="N1" s="887"/>
      <c r="O1" s="888"/>
      <c r="P1" s="883">
        <v>2016</v>
      </c>
      <c r="Q1" s="884"/>
      <c r="R1" s="885">
        <v>2017</v>
      </c>
      <c r="S1" s="884"/>
      <c r="T1" s="885">
        <v>2018</v>
      </c>
      <c r="U1" s="884"/>
      <c r="V1" s="885">
        <v>2019</v>
      </c>
      <c r="W1" s="884"/>
      <c r="X1" s="885">
        <v>2020</v>
      </c>
      <c r="Y1" s="883"/>
      <c r="Z1" s="875" t="s">
        <v>3053</v>
      </c>
      <c r="AA1" s="876"/>
      <c r="AB1" s="876"/>
      <c r="AC1" s="876"/>
      <c r="AD1" s="875">
        <v>2021</v>
      </c>
      <c r="AE1" s="876"/>
      <c r="AF1" s="876"/>
      <c r="AG1" s="877"/>
      <c r="AH1" s="878" t="s">
        <v>3054</v>
      </c>
      <c r="AI1" s="879"/>
      <c r="AJ1" s="879"/>
      <c r="AK1" s="880"/>
      <c r="AL1" s="881" t="s">
        <v>3055</v>
      </c>
      <c r="AM1" s="879"/>
      <c r="AN1" s="879"/>
      <c r="AO1" s="882"/>
    </row>
    <row r="2" spans="1:41" ht="15.75" thickBot="1">
      <c r="A2" s="818"/>
      <c r="B2" s="819" t="s">
        <v>3056</v>
      </c>
      <c r="C2" s="819" t="s">
        <v>3057</v>
      </c>
      <c r="D2" s="819" t="s">
        <v>3056</v>
      </c>
      <c r="E2" s="819" t="s">
        <v>3057</v>
      </c>
      <c r="F2" s="819" t="s">
        <v>3056</v>
      </c>
      <c r="G2" s="819" t="s">
        <v>3057</v>
      </c>
      <c r="H2" s="819" t="s">
        <v>3056</v>
      </c>
      <c r="I2" s="819" t="s">
        <v>3057</v>
      </c>
      <c r="J2" s="819" t="s">
        <v>3056</v>
      </c>
      <c r="K2" s="810" t="s">
        <v>3057</v>
      </c>
      <c r="L2" s="815" t="s">
        <v>3058</v>
      </c>
      <c r="M2" s="813" t="s">
        <v>3059</v>
      </c>
      <c r="N2" s="813" t="s">
        <v>3060</v>
      </c>
      <c r="O2" s="816" t="s">
        <v>3061</v>
      </c>
      <c r="P2" s="811" t="s">
        <v>3056</v>
      </c>
      <c r="Q2" s="819" t="s">
        <v>3057</v>
      </c>
      <c r="R2" s="819" t="s">
        <v>3056</v>
      </c>
      <c r="S2" s="819" t="s">
        <v>3057</v>
      </c>
      <c r="T2" s="819" t="s">
        <v>3056</v>
      </c>
      <c r="U2" s="819" t="s">
        <v>3057</v>
      </c>
      <c r="V2" s="819" t="s">
        <v>3056</v>
      </c>
      <c r="W2" s="819" t="s">
        <v>3057</v>
      </c>
      <c r="X2" s="819" t="s">
        <v>3056</v>
      </c>
      <c r="Y2" s="810" t="s">
        <v>3057</v>
      </c>
      <c r="Z2" s="815" t="s">
        <v>3058</v>
      </c>
      <c r="AA2" s="813" t="s">
        <v>3059</v>
      </c>
      <c r="AB2" s="813" t="s">
        <v>3060</v>
      </c>
      <c r="AC2" s="814" t="s">
        <v>3061</v>
      </c>
      <c r="AD2" s="815" t="s">
        <v>3058</v>
      </c>
      <c r="AE2" s="813" t="s">
        <v>3059</v>
      </c>
      <c r="AF2" s="813" t="s">
        <v>3060</v>
      </c>
      <c r="AG2" s="816" t="s">
        <v>3061</v>
      </c>
      <c r="AH2" s="812" t="s">
        <v>3058</v>
      </c>
      <c r="AI2" s="813" t="s">
        <v>3059</v>
      </c>
      <c r="AJ2" s="813" t="s">
        <v>3060</v>
      </c>
      <c r="AK2" s="814" t="s">
        <v>3061</v>
      </c>
      <c r="AL2" s="815" t="s">
        <v>3058</v>
      </c>
      <c r="AM2" s="813" t="s">
        <v>3059</v>
      </c>
      <c r="AN2" s="813" t="s">
        <v>3060</v>
      </c>
      <c r="AO2" s="816" t="s">
        <v>3061</v>
      </c>
    </row>
    <row r="3" spans="1:41">
      <c r="A3" s="820" t="s">
        <v>3062</v>
      </c>
      <c r="B3" s="821">
        <v>2719</v>
      </c>
      <c r="C3" s="821">
        <v>321160</v>
      </c>
      <c r="D3" s="821">
        <v>2724</v>
      </c>
      <c r="E3" s="821">
        <v>333890</v>
      </c>
      <c r="F3" s="821">
        <v>5505</v>
      </c>
      <c r="G3" s="821">
        <v>743252</v>
      </c>
      <c r="H3" s="821">
        <v>3662</v>
      </c>
      <c r="I3" s="821">
        <v>492727</v>
      </c>
      <c r="J3" s="821">
        <v>2981</v>
      </c>
      <c r="K3" s="822">
        <v>391668</v>
      </c>
      <c r="L3" s="823">
        <f>AVERAGE(B3,D3,F3,H3,J3)</f>
        <v>3518.2</v>
      </c>
      <c r="M3" s="824">
        <f>AVERAGE(C3,E3,G3,I3,K3)</f>
        <v>456539.4</v>
      </c>
      <c r="N3" s="825">
        <f>L3/L$12</f>
        <v>0.46443658253247427</v>
      </c>
      <c r="O3" s="826">
        <f>M3/M$12</f>
        <v>1.4689225086920532E-2</v>
      </c>
      <c r="P3" s="824">
        <v>2858</v>
      </c>
      <c r="Q3" s="824">
        <v>395502</v>
      </c>
      <c r="R3" s="824">
        <v>2943</v>
      </c>
      <c r="S3" s="824">
        <v>391314</v>
      </c>
      <c r="T3" s="824">
        <v>2335</v>
      </c>
      <c r="U3" s="824">
        <v>335696</v>
      </c>
      <c r="V3" s="824">
        <v>1971</v>
      </c>
      <c r="W3" s="824">
        <v>301028</v>
      </c>
      <c r="X3" s="824">
        <v>1431</v>
      </c>
      <c r="Y3" s="824">
        <v>238612</v>
      </c>
      <c r="Z3" s="824">
        <f>AVERAGE(P3,R3,T3,V3,X3)</f>
        <v>2307.6</v>
      </c>
      <c r="AA3" s="824">
        <f>AVERAGE(Q3,S3,U3,W3,Y3)</f>
        <v>332430.40000000002</v>
      </c>
      <c r="AB3" s="825">
        <f>Z3/Z$12</f>
        <v>0.34777104620670946</v>
      </c>
      <c r="AC3" s="825">
        <f>AA3/AA$12</f>
        <v>8.4694110834203466E-3</v>
      </c>
      <c r="AD3" s="823">
        <v>1749</v>
      </c>
      <c r="AE3" s="824">
        <v>314353</v>
      </c>
      <c r="AF3" s="825">
        <f>AD3/AD$12</f>
        <v>0.34334511189634864</v>
      </c>
      <c r="AG3" s="826">
        <f>AE3/AE$12</f>
        <v>2.8243062861081664E-2</v>
      </c>
      <c r="AH3" s="824">
        <f>AVERAGE(L3,Z3)*0.8</f>
        <v>2330.3199999999997</v>
      </c>
      <c r="AI3" s="824">
        <f>AVERAGE(M3,AA3)*0.825</f>
        <v>325450.04249999998</v>
      </c>
      <c r="AJ3" s="824">
        <f>AH3/AH$12</f>
        <v>0.42556859479380105</v>
      </c>
      <c r="AK3" s="824">
        <f>AI3/AI$12</f>
        <v>1.9632751631950163E-2</v>
      </c>
      <c r="AL3" s="823">
        <f>AVERAGE(L3,Z3)*0.9</f>
        <v>2621.6099999999997</v>
      </c>
      <c r="AM3" s="824">
        <f>AVERAGE(M3,AA3)*0.9</f>
        <v>355036.41000000003</v>
      </c>
      <c r="AN3" s="824">
        <f>AL3/AL$12</f>
        <v>0.42551281759956888</v>
      </c>
      <c r="AO3" s="827">
        <f>AM3/AM$12</f>
        <v>1.8898063308060913E-2</v>
      </c>
    </row>
    <row r="4" spans="1:41">
      <c r="A4" s="828" t="s">
        <v>3063</v>
      </c>
      <c r="B4" s="829">
        <v>693</v>
      </c>
      <c r="C4" s="829">
        <v>505733</v>
      </c>
      <c r="D4" s="829">
        <v>650</v>
      </c>
      <c r="E4" s="829">
        <v>476078</v>
      </c>
      <c r="F4" s="829">
        <v>1199</v>
      </c>
      <c r="G4" s="829">
        <v>867169</v>
      </c>
      <c r="H4" s="829">
        <v>942</v>
      </c>
      <c r="I4" s="829">
        <v>687796</v>
      </c>
      <c r="J4" s="829">
        <v>727</v>
      </c>
      <c r="K4" s="830">
        <v>534174</v>
      </c>
      <c r="L4" s="831">
        <f t="shared" ref="L4:M11" si="0">AVERAGE(B4,D4,F4,H4,J4)</f>
        <v>842.2</v>
      </c>
      <c r="M4" s="832">
        <f t="shared" si="0"/>
        <v>614190</v>
      </c>
      <c r="N4" s="833">
        <f t="shared" ref="N4:O11" si="1">L4/L$12</f>
        <v>0.11117858274368991</v>
      </c>
      <c r="O4" s="834">
        <f t="shared" si="1"/>
        <v>1.9761657276755787E-2</v>
      </c>
      <c r="P4" s="832">
        <v>773</v>
      </c>
      <c r="Q4" s="832">
        <v>557579</v>
      </c>
      <c r="R4" s="832">
        <v>750</v>
      </c>
      <c r="S4" s="832">
        <v>549609</v>
      </c>
      <c r="T4" s="832">
        <v>696</v>
      </c>
      <c r="U4" s="832">
        <v>521515</v>
      </c>
      <c r="V4" s="832">
        <v>710</v>
      </c>
      <c r="W4" s="832">
        <v>515103</v>
      </c>
      <c r="X4" s="832">
        <v>657</v>
      </c>
      <c r="Y4" s="832">
        <v>488838</v>
      </c>
      <c r="Z4" s="832">
        <f t="shared" ref="Z4:AA11" si="2">AVERAGE(P4,R4,T4,V4,X4)</f>
        <v>717.2</v>
      </c>
      <c r="AA4" s="832">
        <f t="shared" si="2"/>
        <v>526528.80000000005</v>
      </c>
      <c r="AB4" s="833">
        <f t="shared" ref="AB4:AC11" si="3">Z4/Z$12</f>
        <v>0.10808692769087019</v>
      </c>
      <c r="AC4" s="833">
        <f t="shared" si="3"/>
        <v>1.3414503771195459E-2</v>
      </c>
      <c r="AD4" s="831">
        <v>821</v>
      </c>
      <c r="AE4" s="832">
        <v>603500</v>
      </c>
      <c r="AF4" s="833">
        <f t="shared" ref="AF4:AG11" si="4">AD4/AD$12</f>
        <v>0.16117000392618766</v>
      </c>
      <c r="AG4" s="834">
        <f t="shared" si="4"/>
        <v>5.4221491242847322E-2</v>
      </c>
      <c r="AH4" s="832">
        <f t="shared" ref="AH4:AH6" si="5">AVERAGE(L4,Z4)*0.8</f>
        <v>623.7600000000001</v>
      </c>
      <c r="AI4" s="832">
        <f t="shared" ref="AI4:AI6" si="6">AVERAGE(M4,AA4)*0.825</f>
        <v>470546.505</v>
      </c>
      <c r="AJ4" s="833">
        <f t="shared" ref="AJ4:AK11" si="7">AH4/AH$12</f>
        <v>0.11391253848766754</v>
      </c>
      <c r="AK4" s="833">
        <f t="shared" si="7"/>
        <v>2.8385685842850047E-2</v>
      </c>
      <c r="AL4" s="831">
        <f t="shared" ref="AL4:AM6" si="8">AVERAGE(L4,Z4)*0.9</f>
        <v>701.73</v>
      </c>
      <c r="AM4" s="832">
        <f t="shared" si="8"/>
        <v>513323.46</v>
      </c>
      <c r="AN4" s="835">
        <f t="shared" ref="AN4:AO11" si="9">AL4/AL$12</f>
        <v>0.1138976085284026</v>
      </c>
      <c r="AO4" s="836">
        <f t="shared" si="9"/>
        <v>2.7323449007928154E-2</v>
      </c>
    </row>
    <row r="5" spans="1:41">
      <c r="A5" s="828" t="s">
        <v>3064</v>
      </c>
      <c r="B5" s="829">
        <v>1609</v>
      </c>
      <c r="C5" s="829">
        <v>3661522</v>
      </c>
      <c r="D5" s="829">
        <v>1664</v>
      </c>
      <c r="E5" s="829">
        <v>4031567</v>
      </c>
      <c r="F5" s="829">
        <v>2794</v>
      </c>
      <c r="G5" s="829">
        <v>6608033</v>
      </c>
      <c r="H5" s="829">
        <v>2439</v>
      </c>
      <c r="I5" s="829">
        <v>5858795</v>
      </c>
      <c r="J5" s="829">
        <v>2492</v>
      </c>
      <c r="K5" s="830">
        <v>6258977</v>
      </c>
      <c r="L5" s="831">
        <f t="shared" si="0"/>
        <v>2199.6</v>
      </c>
      <c r="M5" s="832">
        <f t="shared" si="0"/>
        <v>5283778.8</v>
      </c>
      <c r="N5" s="833">
        <f t="shared" si="1"/>
        <v>0.29036857112683484</v>
      </c>
      <c r="O5" s="834">
        <f t="shared" si="1"/>
        <v>0.17000639178721236</v>
      </c>
      <c r="P5" s="832">
        <v>2457</v>
      </c>
      <c r="Q5" s="832">
        <v>6207437</v>
      </c>
      <c r="R5" s="832">
        <v>2272</v>
      </c>
      <c r="S5" s="832">
        <v>5758570</v>
      </c>
      <c r="T5" s="832">
        <v>2558</v>
      </c>
      <c r="U5" s="832">
        <v>6143182</v>
      </c>
      <c r="V5" s="832">
        <v>2523</v>
      </c>
      <c r="W5" s="832">
        <v>6406815</v>
      </c>
      <c r="X5" s="832">
        <v>2456</v>
      </c>
      <c r="Y5" s="832">
        <v>6164536</v>
      </c>
      <c r="Z5" s="832">
        <f t="shared" si="2"/>
        <v>2453.1999999999998</v>
      </c>
      <c r="AA5" s="832">
        <f t="shared" si="2"/>
        <v>6136108</v>
      </c>
      <c r="AB5" s="833">
        <f t="shared" si="3"/>
        <v>0.36971395846520178</v>
      </c>
      <c r="AC5" s="833">
        <f t="shared" si="3"/>
        <v>0.15633113308609639</v>
      </c>
      <c r="AD5" s="831">
        <v>2134</v>
      </c>
      <c r="AE5" s="832">
        <v>4794592</v>
      </c>
      <c r="AF5" s="833">
        <f t="shared" si="4"/>
        <v>0.41892422457793482</v>
      </c>
      <c r="AG5" s="834">
        <f t="shared" si="4"/>
        <v>0.43077038631487297</v>
      </c>
      <c r="AH5" s="832">
        <f t="shared" si="5"/>
        <v>1861.12</v>
      </c>
      <c r="AI5" s="832">
        <f t="shared" si="6"/>
        <v>4710703.3049999997</v>
      </c>
      <c r="AJ5" s="833">
        <f t="shared" si="7"/>
        <v>0.33988217203759097</v>
      </c>
      <c r="AK5" s="833">
        <f t="shared" si="7"/>
        <v>0.28417285580434909</v>
      </c>
      <c r="AL5" s="831">
        <f t="shared" si="8"/>
        <v>2093.7599999999998</v>
      </c>
      <c r="AM5" s="832">
        <f t="shared" si="8"/>
        <v>5138949.0600000005</v>
      </c>
      <c r="AN5" s="835">
        <f t="shared" si="9"/>
        <v>0.33983762534369083</v>
      </c>
      <c r="AO5" s="836">
        <f t="shared" si="9"/>
        <v>0.2735386623382659</v>
      </c>
    </row>
    <row r="6" spans="1:41">
      <c r="A6" s="828" t="s">
        <v>3065</v>
      </c>
      <c r="B6" s="829">
        <v>284</v>
      </c>
      <c r="C6" s="829">
        <v>1915858</v>
      </c>
      <c r="D6" s="829">
        <v>419</v>
      </c>
      <c r="E6" s="829">
        <v>2911199</v>
      </c>
      <c r="F6" s="829">
        <v>639</v>
      </c>
      <c r="G6" s="829">
        <v>4409194</v>
      </c>
      <c r="H6" s="829">
        <v>584</v>
      </c>
      <c r="I6" s="829">
        <v>4033392</v>
      </c>
      <c r="J6" s="829">
        <v>807</v>
      </c>
      <c r="K6" s="830">
        <v>5596162</v>
      </c>
      <c r="L6" s="831">
        <f t="shared" si="0"/>
        <v>546.6</v>
      </c>
      <c r="M6" s="832">
        <f t="shared" si="0"/>
        <v>3773161</v>
      </c>
      <c r="N6" s="833">
        <f t="shared" si="1"/>
        <v>7.2156510719188924E-2</v>
      </c>
      <c r="O6" s="834">
        <f t="shared" si="1"/>
        <v>0.12140203281072819</v>
      </c>
      <c r="P6" s="832">
        <v>739</v>
      </c>
      <c r="Q6" s="832">
        <v>5125933</v>
      </c>
      <c r="R6" s="832">
        <v>498</v>
      </c>
      <c r="S6" s="832">
        <v>3426554</v>
      </c>
      <c r="T6" s="832">
        <v>528</v>
      </c>
      <c r="U6" s="832">
        <v>3627329</v>
      </c>
      <c r="V6" s="832">
        <v>730</v>
      </c>
      <c r="W6" s="832">
        <v>4973757</v>
      </c>
      <c r="X6" s="832">
        <v>601</v>
      </c>
      <c r="Y6" s="832">
        <v>4156232</v>
      </c>
      <c r="Z6" s="832">
        <f t="shared" si="2"/>
        <v>619.20000000000005</v>
      </c>
      <c r="AA6" s="832">
        <f t="shared" si="2"/>
        <v>4261961</v>
      </c>
      <c r="AB6" s="833">
        <f t="shared" si="3"/>
        <v>9.3317659824577279E-2</v>
      </c>
      <c r="AC6" s="833">
        <f t="shared" si="3"/>
        <v>0.10858302890020065</v>
      </c>
      <c r="AD6" s="831">
        <v>256</v>
      </c>
      <c r="AE6" s="832">
        <v>1749674</v>
      </c>
      <c r="AF6" s="833">
        <f t="shared" si="4"/>
        <v>5.0255202198665097E-2</v>
      </c>
      <c r="AG6" s="834">
        <f t="shared" si="4"/>
        <v>0.15719955835764315</v>
      </c>
      <c r="AH6" s="832">
        <f t="shared" si="5"/>
        <v>466.32000000000011</v>
      </c>
      <c r="AI6" s="832">
        <f t="shared" si="6"/>
        <v>3314487.8249999997</v>
      </c>
      <c r="AJ6" s="833">
        <f t="shared" si="7"/>
        <v>8.5160470289164306E-2</v>
      </c>
      <c r="AK6" s="833">
        <f t="shared" si="7"/>
        <v>0.19994625213591022</v>
      </c>
      <c r="AL6" s="831">
        <f t="shared" si="8"/>
        <v>524.61000000000013</v>
      </c>
      <c r="AM6" s="832">
        <f t="shared" si="8"/>
        <v>3615804.9</v>
      </c>
      <c r="AN6" s="835">
        <f t="shared" si="9"/>
        <v>8.5149308722849662E-2</v>
      </c>
      <c r="AO6" s="836">
        <f t="shared" si="9"/>
        <v>0.19246395013344364</v>
      </c>
    </row>
    <row r="7" spans="1:41">
      <c r="A7" s="828" t="s">
        <v>3066</v>
      </c>
      <c r="B7" s="829">
        <v>180</v>
      </c>
      <c r="C7" s="829">
        <v>3650241</v>
      </c>
      <c r="D7" s="829">
        <v>349</v>
      </c>
      <c r="E7" s="829">
        <v>6866912</v>
      </c>
      <c r="F7" s="829">
        <v>452</v>
      </c>
      <c r="G7" s="829">
        <v>8781365</v>
      </c>
      <c r="H7" s="829">
        <v>389</v>
      </c>
      <c r="I7" s="829">
        <v>7560438</v>
      </c>
      <c r="J7" s="829">
        <v>585</v>
      </c>
      <c r="K7" s="830">
        <v>11421186</v>
      </c>
      <c r="L7" s="831">
        <f t="shared" si="0"/>
        <v>391</v>
      </c>
      <c r="M7" s="832">
        <f t="shared" si="0"/>
        <v>7656028.4000000004</v>
      </c>
      <c r="N7" s="833">
        <f t="shared" si="1"/>
        <v>5.1615798922800708E-2</v>
      </c>
      <c r="O7" s="834">
        <f t="shared" si="1"/>
        <v>0.24633388583648216</v>
      </c>
      <c r="P7" s="832">
        <v>546</v>
      </c>
      <c r="Q7" s="832">
        <v>10994176</v>
      </c>
      <c r="R7" s="832">
        <v>376</v>
      </c>
      <c r="S7" s="832">
        <v>7637486</v>
      </c>
      <c r="T7" s="832">
        <v>364</v>
      </c>
      <c r="U7" s="832">
        <v>7314664</v>
      </c>
      <c r="V7" s="832">
        <v>494</v>
      </c>
      <c r="W7" s="832">
        <v>9828566</v>
      </c>
      <c r="X7" s="832">
        <v>394</v>
      </c>
      <c r="Y7" s="832">
        <v>7830926</v>
      </c>
      <c r="Z7" s="832">
        <f t="shared" si="2"/>
        <v>434.8</v>
      </c>
      <c r="AA7" s="832">
        <f t="shared" si="2"/>
        <v>8721163.5999999996</v>
      </c>
      <c r="AB7" s="833">
        <f t="shared" si="3"/>
        <v>6.5527323145552652E-2</v>
      </c>
      <c r="AC7" s="833">
        <f t="shared" si="3"/>
        <v>0.22219123056784845</v>
      </c>
      <c r="AD7" s="831">
        <v>118</v>
      </c>
      <c r="AE7" s="832">
        <v>2048726</v>
      </c>
      <c r="AF7" s="833">
        <f t="shared" si="4"/>
        <v>2.3164507263447192E-2</v>
      </c>
      <c r="AG7" s="834">
        <f t="shared" si="4"/>
        <v>0.18406790201821643</v>
      </c>
      <c r="AH7" s="832">
        <f>AVERAGE(L7,Z7)*0.4</f>
        <v>165.16</v>
      </c>
      <c r="AI7" s="832">
        <f>AVERAGE(M7,AA7)*0.425</f>
        <v>3480153.3</v>
      </c>
      <c r="AJ7" s="833">
        <f t="shared" si="7"/>
        <v>3.0161913006000973E-2</v>
      </c>
      <c r="AK7" s="833">
        <f t="shared" si="7"/>
        <v>0.20994001062394008</v>
      </c>
      <c r="AL7" s="831">
        <f>AVERAGE(L7,Z7)*0.45</f>
        <v>185.80500000000001</v>
      </c>
      <c r="AM7" s="832">
        <f>AVERAGE(M7,AA7)*0.5</f>
        <v>4094298</v>
      </c>
      <c r="AN7" s="835">
        <f t="shared" si="9"/>
        <v>3.0157959831587425E-2</v>
      </c>
      <c r="AO7" s="836">
        <f t="shared" si="9"/>
        <v>0.21793343056298697</v>
      </c>
    </row>
    <row r="8" spans="1:41">
      <c r="A8" s="828" t="s">
        <v>3067</v>
      </c>
      <c r="B8" s="829">
        <v>22</v>
      </c>
      <c r="C8" s="829">
        <v>1632961</v>
      </c>
      <c r="D8" s="829">
        <v>36</v>
      </c>
      <c r="E8" s="829">
        <v>2503912</v>
      </c>
      <c r="F8" s="829">
        <v>55</v>
      </c>
      <c r="G8" s="829">
        <v>3836824</v>
      </c>
      <c r="H8" s="829">
        <v>42</v>
      </c>
      <c r="I8" s="829">
        <v>2887138</v>
      </c>
      <c r="J8" s="829">
        <v>64</v>
      </c>
      <c r="K8" s="830">
        <v>4345970</v>
      </c>
      <c r="L8" s="823">
        <f t="shared" si="0"/>
        <v>43.8</v>
      </c>
      <c r="M8" s="824">
        <f t="shared" si="0"/>
        <v>3041361</v>
      </c>
      <c r="N8" s="825">
        <f t="shared" si="1"/>
        <v>5.7820255570809999E-3</v>
      </c>
      <c r="O8" s="826">
        <f t="shared" si="1"/>
        <v>9.7856255778979231E-2</v>
      </c>
      <c r="P8" s="824">
        <v>71</v>
      </c>
      <c r="Q8" s="824">
        <v>4656807</v>
      </c>
      <c r="R8" s="824">
        <v>58</v>
      </c>
      <c r="S8" s="824">
        <v>3886942</v>
      </c>
      <c r="T8" s="824">
        <v>54</v>
      </c>
      <c r="U8" s="824">
        <v>3874672</v>
      </c>
      <c r="V8" s="824">
        <v>70</v>
      </c>
      <c r="W8" s="824">
        <v>4897316</v>
      </c>
      <c r="X8" s="824">
        <v>44</v>
      </c>
      <c r="Y8" s="824">
        <v>3133719</v>
      </c>
      <c r="Z8" s="824">
        <f t="shared" si="2"/>
        <v>59.4</v>
      </c>
      <c r="AA8" s="824">
        <f t="shared" si="2"/>
        <v>4089891.2</v>
      </c>
      <c r="AB8" s="825">
        <f t="shared" si="3"/>
        <v>8.951984808753052E-3</v>
      </c>
      <c r="AC8" s="825">
        <f t="shared" si="3"/>
        <v>0.10419916427397537</v>
      </c>
      <c r="AD8" s="823">
        <v>9</v>
      </c>
      <c r="AE8" s="824">
        <v>576067</v>
      </c>
      <c r="AF8" s="825">
        <f t="shared" si="4"/>
        <v>1.7667844522968198E-3</v>
      </c>
      <c r="AG8" s="826">
        <f t="shared" si="4"/>
        <v>5.175677182401546E-2</v>
      </c>
      <c r="AH8" s="824">
        <f>AVERAGE(L8,Z8)*0.4</f>
        <v>20.64</v>
      </c>
      <c r="AI8" s="824">
        <f>AVERAGE(M8,AA8)*0.425</f>
        <v>1515391.0925</v>
      </c>
      <c r="AJ8" s="825">
        <f t="shared" si="7"/>
        <v>3.7693260138281673E-3</v>
      </c>
      <c r="AK8" s="825">
        <f t="shared" si="7"/>
        <v>9.1415864369789157E-2</v>
      </c>
      <c r="AL8" s="823">
        <f>AVERAGE(L8,Z8)*0.45</f>
        <v>23.22</v>
      </c>
      <c r="AM8" s="824">
        <f>AVERAGE(M8,AA8)*0.5</f>
        <v>1782813.05</v>
      </c>
      <c r="AN8" s="837">
        <f t="shared" si="9"/>
        <v>3.7688319867035867E-3</v>
      </c>
      <c r="AO8" s="838">
        <f t="shared" si="9"/>
        <v>9.4896503390559758E-2</v>
      </c>
    </row>
    <row r="9" spans="1:41">
      <c r="A9" s="828" t="s">
        <v>3068</v>
      </c>
      <c r="B9" s="829">
        <v>8</v>
      </c>
      <c r="C9" s="829">
        <v>1782351</v>
      </c>
      <c r="D9" s="829">
        <v>26</v>
      </c>
      <c r="E9" s="829">
        <v>4616647</v>
      </c>
      <c r="F9" s="829">
        <v>32</v>
      </c>
      <c r="G9" s="829">
        <v>5565735</v>
      </c>
      <c r="H9" s="829">
        <v>30</v>
      </c>
      <c r="I9" s="829">
        <v>5374834</v>
      </c>
      <c r="J9" s="829">
        <v>52</v>
      </c>
      <c r="K9" s="830">
        <v>9991872</v>
      </c>
      <c r="L9" s="831">
        <f t="shared" si="0"/>
        <v>29.6</v>
      </c>
      <c r="M9" s="832">
        <f t="shared" si="0"/>
        <v>5466287.7999999998</v>
      </c>
      <c r="N9" s="833">
        <f t="shared" si="1"/>
        <v>3.9074875910867033E-3</v>
      </c>
      <c r="O9" s="834">
        <f t="shared" si="1"/>
        <v>0.17587864680263662</v>
      </c>
      <c r="P9" s="832">
        <v>46</v>
      </c>
      <c r="Q9" s="832">
        <v>8695883</v>
      </c>
      <c r="R9" s="832">
        <v>40</v>
      </c>
      <c r="S9" s="832">
        <v>7831800</v>
      </c>
      <c r="T9" s="832">
        <v>39</v>
      </c>
      <c r="U9" s="832">
        <v>7089366</v>
      </c>
      <c r="V9" s="832">
        <v>44</v>
      </c>
      <c r="W9" s="832">
        <v>8663962</v>
      </c>
      <c r="X9" s="832">
        <v>26</v>
      </c>
      <c r="Y9" s="832">
        <v>4211179</v>
      </c>
      <c r="Z9" s="832">
        <f t="shared" si="2"/>
        <v>39</v>
      </c>
      <c r="AA9" s="832">
        <f t="shared" si="2"/>
        <v>7298438</v>
      </c>
      <c r="AB9" s="833">
        <f t="shared" si="3"/>
        <v>5.8775657835247316E-3</v>
      </c>
      <c r="AC9" s="833">
        <f t="shared" si="3"/>
        <v>0.18594410044585641</v>
      </c>
      <c r="AD9" s="831">
        <v>7</v>
      </c>
      <c r="AE9" s="832">
        <v>1043361</v>
      </c>
      <c r="AF9" s="833">
        <f t="shared" si="4"/>
        <v>1.3741656851197488E-3</v>
      </c>
      <c r="AG9" s="834">
        <f t="shared" si="4"/>
        <v>9.3740827381322986E-2</v>
      </c>
      <c r="AH9" s="832">
        <f>AVERAGE(L9,Z9)*0.2</f>
        <v>6.8599999999999994</v>
      </c>
      <c r="AI9" s="832">
        <f>AVERAGE(M9,AA9)*0.225</f>
        <v>1436031.6525000001</v>
      </c>
      <c r="AJ9" s="833">
        <f t="shared" si="7"/>
        <v>1.252789556921571E-3</v>
      </c>
      <c r="AK9" s="833">
        <f t="shared" si="7"/>
        <v>8.6628511560730453E-2</v>
      </c>
      <c r="AL9" s="831">
        <f>AVERAGE(L9,Z9)*0.25</f>
        <v>8.5749999999999993</v>
      </c>
      <c r="AM9" s="832">
        <f>AVERAGE(M9,AA9)*0.2634084</f>
        <v>1681167.9997083601</v>
      </c>
      <c r="AN9" s="835">
        <f t="shared" si="9"/>
        <v>1.3918059554687019E-3</v>
      </c>
      <c r="AO9" s="836">
        <f t="shared" si="9"/>
        <v>8.9486087609929127E-2</v>
      </c>
    </row>
    <row r="10" spans="1:41">
      <c r="A10" s="828" t="s">
        <v>3069</v>
      </c>
      <c r="B10" s="829">
        <v>1</v>
      </c>
      <c r="C10" s="829">
        <v>594729</v>
      </c>
      <c r="D10" s="829">
        <v>1</v>
      </c>
      <c r="E10" s="829">
        <v>594877</v>
      </c>
      <c r="F10" s="829">
        <v>4</v>
      </c>
      <c r="G10" s="829">
        <v>2943110</v>
      </c>
      <c r="H10" s="829">
        <v>3</v>
      </c>
      <c r="I10" s="829">
        <v>2345025</v>
      </c>
      <c r="J10" s="829">
        <v>4</v>
      </c>
      <c r="K10" s="830">
        <v>3014050</v>
      </c>
      <c r="L10" s="831">
        <f t="shared" si="0"/>
        <v>2.6</v>
      </c>
      <c r="M10" s="832">
        <f t="shared" si="0"/>
        <v>1898358.2</v>
      </c>
      <c r="N10" s="833">
        <f t="shared" si="1"/>
        <v>3.4322526137923744E-4</v>
      </c>
      <c r="O10" s="834">
        <f t="shared" si="1"/>
        <v>6.1079965705920017E-2</v>
      </c>
      <c r="P10" s="832">
        <v>2</v>
      </c>
      <c r="Q10" s="832">
        <v>1598259</v>
      </c>
      <c r="R10" s="832">
        <v>5</v>
      </c>
      <c r="S10" s="832">
        <v>3995434</v>
      </c>
      <c r="T10" s="832">
        <v>5</v>
      </c>
      <c r="U10" s="832">
        <v>3498917</v>
      </c>
      <c r="V10" s="832">
        <v>2</v>
      </c>
      <c r="W10" s="832">
        <v>1264531</v>
      </c>
      <c r="X10" s="832">
        <v>3</v>
      </c>
      <c r="Y10" s="832">
        <v>1587781</v>
      </c>
      <c r="Z10" s="832">
        <f t="shared" si="2"/>
        <v>3.4</v>
      </c>
      <c r="AA10" s="832">
        <f t="shared" si="2"/>
        <v>2388984.4</v>
      </c>
      <c r="AB10" s="833">
        <f t="shared" si="3"/>
        <v>5.1240317087138684E-4</v>
      </c>
      <c r="AC10" s="833">
        <f t="shared" si="3"/>
        <v>6.0864743283040014E-2</v>
      </c>
      <c r="AD10" s="831">
        <v>0</v>
      </c>
      <c r="AE10" s="832">
        <v>0</v>
      </c>
      <c r="AF10" s="833">
        <f t="shared" si="4"/>
        <v>0</v>
      </c>
      <c r="AG10" s="834">
        <f t="shared" si="4"/>
        <v>0</v>
      </c>
      <c r="AH10" s="832">
        <f>AVERAGE(L10,Z10)*0.2</f>
        <v>0.60000000000000009</v>
      </c>
      <c r="AI10" s="832">
        <f>AVERAGE(M10,AA10)*0.2265235</f>
        <v>485591.92572554993</v>
      </c>
      <c r="AJ10" s="833">
        <f t="shared" si="7"/>
        <v>1.0957343063453976E-4</v>
      </c>
      <c r="AK10" s="833">
        <f t="shared" si="7"/>
        <v>2.9293299822660535E-2</v>
      </c>
      <c r="AL10" s="831">
        <f>AVERAGE(L10,Z10)*0.25</f>
        <v>0.75</v>
      </c>
      <c r="AM10" s="832">
        <f>AVERAGE(M10,AA10)*0.26</f>
        <v>557354.53799999994</v>
      </c>
      <c r="AN10" s="835">
        <f t="shared" si="9"/>
        <v>1.2173229931213136E-4</v>
      </c>
      <c r="AO10" s="836">
        <f t="shared" si="9"/>
        <v>2.9667158205433183E-2</v>
      </c>
    </row>
    <row r="11" spans="1:41" ht="15.75" thickBot="1">
      <c r="A11" s="839" t="s">
        <v>3070</v>
      </c>
      <c r="B11" s="840">
        <v>2</v>
      </c>
      <c r="C11" s="840">
        <v>2206110</v>
      </c>
      <c r="D11" s="840">
        <v>1</v>
      </c>
      <c r="E11" s="840">
        <v>1666421</v>
      </c>
      <c r="F11" s="840">
        <v>2</v>
      </c>
      <c r="G11" s="840">
        <v>2610662</v>
      </c>
      <c r="H11" s="840">
        <v>0</v>
      </c>
      <c r="I11" s="840">
        <v>0</v>
      </c>
      <c r="J11" s="840">
        <v>3</v>
      </c>
      <c r="K11" s="841">
        <v>7967700</v>
      </c>
      <c r="L11" s="842">
        <f t="shared" si="0"/>
        <v>1.6</v>
      </c>
      <c r="M11" s="843">
        <f t="shared" si="0"/>
        <v>2890178.6</v>
      </c>
      <c r="N11" s="844">
        <f t="shared" si="1"/>
        <v>2.1121554546414613E-4</v>
      </c>
      <c r="O11" s="845">
        <f t="shared" si="1"/>
        <v>9.2991938914365024E-2</v>
      </c>
      <c r="P11" s="843">
        <v>3</v>
      </c>
      <c r="Q11" s="843">
        <v>7649333</v>
      </c>
      <c r="R11" s="843">
        <v>1</v>
      </c>
      <c r="S11" s="843">
        <v>6450254</v>
      </c>
      <c r="T11" s="843">
        <v>2</v>
      </c>
      <c r="U11" s="843">
        <v>9856483</v>
      </c>
      <c r="V11" s="843">
        <v>2</v>
      </c>
      <c r="W11" s="843">
        <v>3519954</v>
      </c>
      <c r="X11" s="843">
        <v>0</v>
      </c>
      <c r="Y11" s="843">
        <v>0</v>
      </c>
      <c r="Z11" s="843">
        <f t="shared" si="2"/>
        <v>1.6</v>
      </c>
      <c r="AA11" s="843">
        <f t="shared" si="2"/>
        <v>5495204.7999999998</v>
      </c>
      <c r="AB11" s="844">
        <f t="shared" si="3"/>
        <v>2.4113090393947616E-4</v>
      </c>
      <c r="AC11" s="844">
        <f t="shared" si="3"/>
        <v>0.14000268458836704</v>
      </c>
      <c r="AD11" s="842">
        <v>0</v>
      </c>
      <c r="AE11" s="843">
        <v>0</v>
      </c>
      <c r="AF11" s="844">
        <f t="shared" si="4"/>
        <v>0</v>
      </c>
      <c r="AG11" s="845">
        <f t="shared" si="4"/>
        <v>0</v>
      </c>
      <c r="AH11" s="843">
        <v>1</v>
      </c>
      <c r="AI11" s="843">
        <f>AVERAGE(M11,AA11)*0.2</f>
        <v>838538.34000000008</v>
      </c>
      <c r="AJ11" s="844">
        <f t="shared" si="7"/>
        <v>1.8262238439089958E-4</v>
      </c>
      <c r="AK11" s="844">
        <f t="shared" si="7"/>
        <v>5.058476820782036E-2</v>
      </c>
      <c r="AL11" s="842">
        <v>1</v>
      </c>
      <c r="AM11" s="843">
        <f t="shared" ref="AM11" si="10">AVERAGE(M11,AA11)*0.25</f>
        <v>1048172.925</v>
      </c>
      <c r="AN11" s="846">
        <f t="shared" si="9"/>
        <v>1.6230973241617515E-4</v>
      </c>
      <c r="AO11" s="847">
        <f t="shared" si="9"/>
        <v>5.5792695443392361E-2</v>
      </c>
    </row>
    <row r="12" spans="1:41" ht="15.75" thickBot="1">
      <c r="A12" s="848" t="s">
        <v>3071</v>
      </c>
      <c r="B12" s="849">
        <f>SUM(B3:B11)</f>
        <v>5518</v>
      </c>
      <c r="C12" s="849">
        <f>SUM(C3:C11)</f>
        <v>16270665</v>
      </c>
      <c r="D12" s="849">
        <f t="shared" ref="D12:K12" si="11">SUM(D3:D11)</f>
        <v>5870</v>
      </c>
      <c r="E12" s="849">
        <f t="shared" si="11"/>
        <v>24001503</v>
      </c>
      <c r="F12" s="849">
        <f t="shared" si="11"/>
        <v>10682</v>
      </c>
      <c r="G12" s="849">
        <f t="shared" si="11"/>
        <v>36365344</v>
      </c>
      <c r="H12" s="849">
        <f t="shared" si="11"/>
        <v>8091</v>
      </c>
      <c r="I12" s="849">
        <f t="shared" si="11"/>
        <v>29240145</v>
      </c>
      <c r="J12" s="849">
        <f t="shared" si="11"/>
        <v>7715</v>
      </c>
      <c r="K12" s="850">
        <f t="shared" si="11"/>
        <v>49521759</v>
      </c>
      <c r="L12" s="863">
        <f>SUM(L3:L11)</f>
        <v>7575.2000000000016</v>
      </c>
      <c r="M12" s="864">
        <f>SUM(M3:M11)</f>
        <v>31079883.200000003</v>
      </c>
      <c r="N12" s="865"/>
      <c r="O12" s="866"/>
      <c r="P12" s="864">
        <f t="shared" ref="P12:Y12" si="12">SUM(P3:P11)</f>
        <v>7495</v>
      </c>
      <c r="Q12" s="864">
        <f t="shared" si="12"/>
        <v>45880909</v>
      </c>
      <c r="R12" s="864">
        <f t="shared" si="12"/>
        <v>6943</v>
      </c>
      <c r="S12" s="864">
        <f t="shared" si="12"/>
        <v>39927963</v>
      </c>
      <c r="T12" s="864">
        <f t="shared" si="12"/>
        <v>6581</v>
      </c>
      <c r="U12" s="864">
        <f t="shared" si="12"/>
        <v>42261824</v>
      </c>
      <c r="V12" s="864">
        <f t="shared" si="12"/>
        <v>6546</v>
      </c>
      <c r="W12" s="864">
        <f t="shared" si="12"/>
        <v>40371032</v>
      </c>
      <c r="X12" s="864">
        <f t="shared" si="12"/>
        <v>5612</v>
      </c>
      <c r="Y12" s="864">
        <f t="shared" si="12"/>
        <v>27811823</v>
      </c>
      <c r="Z12" s="864">
        <f>SUM(Z3:Z11)</f>
        <v>6635.4</v>
      </c>
      <c r="AA12" s="864">
        <f>SUM(AA3:AA11)</f>
        <v>39250710.199999996</v>
      </c>
      <c r="AB12" s="865"/>
      <c r="AC12" s="865"/>
      <c r="AD12" s="863">
        <f>SUM(AD3:AD11)</f>
        <v>5094</v>
      </c>
      <c r="AE12" s="864">
        <f>SUM(AE3:AE11)</f>
        <v>11130273</v>
      </c>
      <c r="AF12" s="865"/>
      <c r="AG12" s="866"/>
      <c r="AH12" s="864">
        <f>SUM(AH3:AH11)</f>
        <v>5475.78</v>
      </c>
      <c r="AI12" s="864">
        <f>SUM(AI3:AI11)</f>
        <v>16576893.988225548</v>
      </c>
      <c r="AJ12" s="865"/>
      <c r="AK12" s="865"/>
      <c r="AL12" s="863">
        <f>SUM(AL3:AL11)</f>
        <v>6161.0599999999995</v>
      </c>
      <c r="AM12" s="864">
        <f>SUM(AM3:AM11)</f>
        <v>18786920.34270836</v>
      </c>
      <c r="AN12" s="867"/>
      <c r="AO12" s="868"/>
    </row>
    <row r="13" spans="1:41" ht="15.75" thickBot="1">
      <c r="A13" s="820" t="s">
        <v>3072</v>
      </c>
      <c r="B13" s="851"/>
      <c r="C13" s="852">
        <v>0.4</v>
      </c>
      <c r="D13" s="851"/>
      <c r="E13" s="852">
        <v>0.5</v>
      </c>
      <c r="F13" s="851"/>
      <c r="G13" s="852">
        <v>0.75</v>
      </c>
      <c r="H13" s="851"/>
      <c r="I13" s="852">
        <v>0.7</v>
      </c>
      <c r="J13" s="851"/>
      <c r="K13" s="853">
        <v>0.8</v>
      </c>
      <c r="L13" s="823"/>
      <c r="M13" s="825">
        <f>AVERAGE(C13,E13,G13,I13,K13)</f>
        <v>0.62999999999999989</v>
      </c>
      <c r="N13" s="825"/>
      <c r="O13" s="826"/>
      <c r="P13" s="824"/>
      <c r="Q13" s="824">
        <v>0.8</v>
      </c>
      <c r="R13" s="824"/>
      <c r="S13" s="824">
        <v>0.8</v>
      </c>
      <c r="T13" s="824"/>
      <c r="U13" s="824">
        <v>0.8</v>
      </c>
      <c r="V13" s="824"/>
      <c r="W13" s="824">
        <v>0.75</v>
      </c>
      <c r="X13" s="824"/>
      <c r="Y13" s="824">
        <v>0.5</v>
      </c>
      <c r="Z13" s="824"/>
      <c r="AA13" s="825">
        <f>AVERAGE(Q13,S13,U13,W13,Y13)</f>
        <v>0.73000000000000009</v>
      </c>
      <c r="AB13" s="825"/>
      <c r="AC13" s="825"/>
      <c r="AD13" s="823"/>
      <c r="AE13" s="824">
        <v>0.27500000000000002</v>
      </c>
      <c r="AF13" s="825"/>
      <c r="AG13" s="826"/>
      <c r="AH13" s="824"/>
      <c r="AI13" s="824">
        <f>AI12/AI14</f>
        <v>0.34898724185737995</v>
      </c>
      <c r="AJ13" s="825"/>
      <c r="AK13" s="825"/>
      <c r="AL13" s="823"/>
      <c r="AM13" s="824">
        <f>AM12/AM14</f>
        <v>0.39551411247807072</v>
      </c>
      <c r="AN13" s="837"/>
      <c r="AO13" s="838"/>
    </row>
    <row r="14" spans="1:41" ht="15.75" thickBot="1">
      <c r="A14" s="854" t="s">
        <v>3073</v>
      </c>
      <c r="B14" s="855"/>
      <c r="C14" s="855">
        <f>C12/C13</f>
        <v>40676662.5</v>
      </c>
      <c r="D14" s="855"/>
      <c r="E14" s="855">
        <f t="shared" ref="E14:K14" si="13">E12/E13</f>
        <v>48003006</v>
      </c>
      <c r="F14" s="855"/>
      <c r="G14" s="855">
        <f t="shared" si="13"/>
        <v>48487125.333333336</v>
      </c>
      <c r="H14" s="855"/>
      <c r="I14" s="855">
        <f t="shared" si="13"/>
        <v>41771635.714285716</v>
      </c>
      <c r="J14" s="855"/>
      <c r="K14" s="856">
        <f t="shared" si="13"/>
        <v>61902198.75</v>
      </c>
      <c r="L14" s="831"/>
      <c r="M14" s="832">
        <f t="shared" ref="M14" si="14">AVERAGE(C14,E14,G14,I14,K14)</f>
        <v>48168125.659523807</v>
      </c>
      <c r="N14" s="833"/>
      <c r="O14" s="834"/>
      <c r="P14" s="832"/>
      <c r="Q14" s="832">
        <f t="shared" ref="Q14" si="15">Q12/Q13</f>
        <v>57351136.25</v>
      </c>
      <c r="R14" s="832"/>
      <c r="S14" s="832">
        <f t="shared" ref="S14" si="16">S12/S13</f>
        <v>49909953.75</v>
      </c>
      <c r="T14" s="832"/>
      <c r="U14" s="832">
        <f t="shared" ref="U14" si="17">U12/U13</f>
        <v>52827280</v>
      </c>
      <c r="V14" s="832"/>
      <c r="W14" s="832">
        <f t="shared" ref="W14" si="18">W12/W13</f>
        <v>53828042.666666664</v>
      </c>
      <c r="X14" s="832"/>
      <c r="Y14" s="832">
        <f t="shared" ref="Y14" si="19">Y12/Y13</f>
        <v>55623646</v>
      </c>
      <c r="Z14" s="832"/>
      <c r="AA14" s="832">
        <f t="shared" ref="AA14" si="20">AVERAGE(Q14,S14,U14,W14,Y14)</f>
        <v>53908011.733333327</v>
      </c>
      <c r="AB14" s="833"/>
      <c r="AC14" s="833"/>
      <c r="AD14" s="831"/>
      <c r="AE14" s="832">
        <f>AE12/AE13</f>
        <v>40473720</v>
      </c>
      <c r="AF14" s="833"/>
      <c r="AG14" s="834"/>
      <c r="AH14" s="832"/>
      <c r="AI14" s="832">
        <v>47500000</v>
      </c>
      <c r="AJ14" s="833"/>
      <c r="AK14" s="833"/>
      <c r="AL14" s="831"/>
      <c r="AM14" s="832">
        <v>47500000</v>
      </c>
      <c r="AN14" s="835"/>
      <c r="AO14" s="836"/>
    </row>
    <row r="15" spans="1:41" ht="15.75" thickBot="1">
      <c r="A15" s="857" t="s">
        <v>3074</v>
      </c>
      <c r="B15" s="858"/>
      <c r="C15" s="858"/>
      <c r="D15" s="858"/>
      <c r="E15" s="858"/>
      <c r="F15" s="858"/>
      <c r="G15" s="858"/>
      <c r="H15" s="858"/>
      <c r="I15" s="858"/>
      <c r="J15" s="858"/>
      <c r="K15" s="858"/>
      <c r="L15" s="872" t="s">
        <v>3075</v>
      </c>
      <c r="M15" s="873"/>
      <c r="N15" s="873"/>
      <c r="O15" s="874"/>
      <c r="P15" s="859"/>
      <c r="Q15" s="859"/>
      <c r="R15" s="859"/>
      <c r="S15" s="859"/>
      <c r="T15" s="859"/>
      <c r="U15" s="859"/>
      <c r="V15" s="859"/>
      <c r="W15" s="859"/>
      <c r="X15" s="859"/>
      <c r="Y15" s="859"/>
      <c r="Z15" s="872" t="s">
        <v>3076</v>
      </c>
      <c r="AA15" s="873"/>
      <c r="AB15" s="873"/>
      <c r="AC15" s="873"/>
      <c r="AD15" s="872" t="s">
        <v>3077</v>
      </c>
      <c r="AE15" s="873"/>
      <c r="AF15" s="873"/>
      <c r="AG15" s="874"/>
      <c r="AH15" s="873" t="s">
        <v>3078</v>
      </c>
      <c r="AI15" s="873"/>
      <c r="AJ15" s="873"/>
      <c r="AK15" s="873"/>
      <c r="AL15" s="872" t="s">
        <v>3079</v>
      </c>
      <c r="AM15" s="873"/>
      <c r="AN15" s="873"/>
      <c r="AO15" s="874"/>
    </row>
    <row r="16" spans="1:41" ht="15.75" thickBot="1">
      <c r="A16" s="860" t="s">
        <v>3074</v>
      </c>
      <c r="B16" s="861"/>
      <c r="C16" s="861"/>
      <c r="D16" s="861"/>
      <c r="E16" s="861"/>
      <c r="F16" s="861"/>
      <c r="G16" s="861"/>
      <c r="H16" s="861"/>
      <c r="I16" s="861"/>
      <c r="J16" s="861"/>
      <c r="K16" s="861"/>
      <c r="L16" s="872" t="s">
        <v>3080</v>
      </c>
      <c r="M16" s="873"/>
      <c r="N16" s="873"/>
      <c r="O16" s="874"/>
      <c r="P16" s="862"/>
      <c r="Q16" s="862"/>
      <c r="R16" s="862"/>
      <c r="S16" s="862"/>
      <c r="T16" s="862"/>
      <c r="U16" s="862"/>
      <c r="V16" s="862"/>
      <c r="W16" s="862"/>
      <c r="X16" s="862"/>
      <c r="Y16" s="862"/>
      <c r="Z16" s="872" t="s">
        <v>3081</v>
      </c>
      <c r="AA16" s="873"/>
      <c r="AB16" s="873"/>
      <c r="AC16" s="873"/>
      <c r="AD16" s="872" t="s">
        <v>3082</v>
      </c>
      <c r="AE16" s="873"/>
      <c r="AF16" s="873"/>
      <c r="AG16" s="874"/>
      <c r="AH16" s="873" t="s">
        <v>3083</v>
      </c>
      <c r="AI16" s="873"/>
      <c r="AJ16" s="873"/>
      <c r="AK16" s="873"/>
      <c r="AL16" s="872" t="s">
        <v>3084</v>
      </c>
      <c r="AM16" s="873"/>
      <c r="AN16" s="873"/>
      <c r="AO16" s="874"/>
    </row>
    <row r="18" spans="35:40">
      <c r="AI18"/>
      <c r="AJ18"/>
      <c r="AK18"/>
      <c r="AL18"/>
      <c r="AM18"/>
      <c r="AN18"/>
    </row>
  </sheetData>
  <mergeCells count="25">
    <mergeCell ref="B1:C1"/>
    <mergeCell ref="D1:E1"/>
    <mergeCell ref="F1:G1"/>
    <mergeCell ref="H1:I1"/>
    <mergeCell ref="J1:K1"/>
    <mergeCell ref="AD1:AG1"/>
    <mergeCell ref="AH1:AK1"/>
    <mergeCell ref="AL1:AO1"/>
    <mergeCell ref="L15:O15"/>
    <mergeCell ref="Z15:AC15"/>
    <mergeCell ref="AD15:AG15"/>
    <mergeCell ref="AH15:AK15"/>
    <mergeCell ref="AL15:AO15"/>
    <mergeCell ref="P1:Q1"/>
    <mergeCell ref="R1:S1"/>
    <mergeCell ref="T1:U1"/>
    <mergeCell ref="V1:W1"/>
    <mergeCell ref="X1:Y1"/>
    <mergeCell ref="Z1:AC1"/>
    <mergeCell ref="L1:O1"/>
    <mergeCell ref="L16:O16"/>
    <mergeCell ref="Z16:AC16"/>
    <mergeCell ref="AD16:AG16"/>
    <mergeCell ref="AH16:AK16"/>
    <mergeCell ref="AL16:AO16"/>
  </mergeCells>
  <pageMargins left="0.7" right="0.7" top="0.75" bottom="0.75" header="0.3" footer="0.3"/>
  <pageSetup paperSize="9" orientation="portrait" r:id="rId1"/>
  <ignoredErrors>
    <ignoredError sqref="L3:AO11 L12:AO14" unlockedFormula="1"/>
  </ignoredErrors>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F44"/>
  <sheetViews>
    <sheetView showGridLines="0" topLeftCell="M1" workbookViewId="0">
      <selection activeCell="V15" sqref="V15"/>
    </sheetView>
  </sheetViews>
  <sheetFormatPr baseColWidth="10" defaultRowHeight="12.75"/>
  <cols>
    <col min="1" max="1" width="34.5703125" style="563" bestFit="1" customWidth="1"/>
    <col min="2" max="2" width="10.42578125" style="563" customWidth="1"/>
    <col min="3" max="3" width="32.85546875" style="563" customWidth="1"/>
    <col min="4" max="4" width="11" style="563" customWidth="1"/>
    <col min="5" max="5" width="13.28515625" style="563" bestFit="1" customWidth="1"/>
    <col min="6" max="6" width="8" style="563" customWidth="1"/>
    <col min="7" max="7" width="16.85546875" style="368" bestFit="1" customWidth="1"/>
    <col min="8" max="8" width="17.28515625" style="563" customWidth="1"/>
    <col min="9" max="9" width="14.5703125" style="563" bestFit="1" customWidth="1"/>
    <col min="10" max="10" width="28.85546875" style="563" bestFit="1" customWidth="1"/>
    <col min="11" max="11" width="11.5703125" style="563" bestFit="1" customWidth="1"/>
    <col min="12" max="12" width="15.85546875" style="563" customWidth="1"/>
    <col min="13" max="13" width="11.42578125" style="563"/>
    <col min="14" max="18" width="12" style="563" bestFit="1" customWidth="1"/>
    <col min="19" max="23" width="12" style="563" customWidth="1"/>
    <col min="24" max="16384" width="11.42578125" style="563"/>
  </cols>
  <sheetData>
    <row r="1" spans="1:32">
      <c r="O1" s="468" t="s">
        <v>436</v>
      </c>
      <c r="P1" s="468"/>
      <c r="Q1" s="468"/>
      <c r="R1" s="468"/>
      <c r="S1" s="468"/>
      <c r="T1" s="468"/>
      <c r="U1" s="468"/>
      <c r="V1" s="468"/>
      <c r="W1" s="468"/>
    </row>
    <row r="2" spans="1:32">
      <c r="O2" s="567">
        <v>2025</v>
      </c>
      <c r="P2" s="567">
        <v>2026</v>
      </c>
      <c r="Q2" s="567">
        <v>2027</v>
      </c>
      <c r="R2" s="567">
        <v>2028</v>
      </c>
      <c r="S2" s="567">
        <v>2029</v>
      </c>
      <c r="T2" s="567">
        <v>2030</v>
      </c>
      <c r="U2" s="567">
        <v>2031</v>
      </c>
      <c r="V2" s="567">
        <v>2032</v>
      </c>
      <c r="W2" s="567">
        <v>2033</v>
      </c>
    </row>
    <row r="3" spans="1:32">
      <c r="O3" s="568">
        <f>+'IPC - CAFÉ'!E24</f>
        <v>0.06</v>
      </c>
      <c r="P3" s="568">
        <f>+'IPC - CAFÉ'!F24</f>
        <v>4.5975144331782153E-2</v>
      </c>
      <c r="Q3" s="568">
        <f>+'IPC - CAFÉ'!G24</f>
        <v>4.7225144331782154E-2</v>
      </c>
      <c r="R3" s="568">
        <f>+'IPC - CAFÉ'!H24</f>
        <v>4.8475144331782155E-2</v>
      </c>
      <c r="S3" s="568">
        <f>+'IPC - CAFÉ'!I24</f>
        <v>4.9725144331782156E-2</v>
      </c>
      <c r="T3" s="568">
        <f>+'IPC - CAFÉ'!J24</f>
        <v>5.0975144331782157E-2</v>
      </c>
      <c r="U3" s="568">
        <f>+'IPC - CAFÉ'!K24</f>
        <v>5.2225144331782158E-2</v>
      </c>
      <c r="V3" s="568">
        <f>+'IPC - CAFÉ'!L24</f>
        <v>5.347514433178216E-2</v>
      </c>
      <c r="W3" s="568">
        <f>+'IPC - CAFÉ'!M24</f>
        <v>5.4725144331782161E-2</v>
      </c>
    </row>
    <row r="4" spans="1:32" ht="15">
      <c r="D4" s="999" t="s">
        <v>2764</v>
      </c>
      <c r="E4" s="999"/>
      <c r="F4" s="999"/>
      <c r="G4" s="999"/>
      <c r="H4" s="999"/>
      <c r="I4" s="999"/>
      <c r="J4" s="999"/>
      <c r="K4" s="999"/>
      <c r="L4" s="999"/>
      <c r="N4" s="991"/>
      <c r="O4" s="991"/>
      <c r="P4" s="991"/>
      <c r="Q4" s="991"/>
      <c r="R4" s="991"/>
      <c r="S4" s="748"/>
      <c r="T4" s="748"/>
      <c r="U4" s="748"/>
      <c r="V4" s="748"/>
      <c r="W4" s="748"/>
    </row>
    <row r="5" spans="1:32" ht="15">
      <c r="D5" s="999"/>
      <c r="E5" s="999"/>
      <c r="F5" s="999"/>
      <c r="G5" s="999"/>
      <c r="H5" s="999"/>
      <c r="I5" s="999"/>
      <c r="J5" s="999"/>
      <c r="K5" s="999"/>
      <c r="L5" s="999"/>
      <c r="N5" s="991" t="s">
        <v>2831</v>
      </c>
      <c r="O5" s="991"/>
      <c r="P5" s="991"/>
      <c r="Q5" s="991"/>
      <c r="R5" s="991"/>
      <c r="S5" s="991"/>
      <c r="T5" s="991"/>
      <c r="U5" s="991"/>
      <c r="V5" s="991"/>
      <c r="W5" s="991"/>
    </row>
    <row r="6" spans="1:32">
      <c r="D6" s="999"/>
      <c r="E6" s="999"/>
      <c r="F6" s="999"/>
      <c r="G6" s="999"/>
      <c r="H6" s="999"/>
      <c r="I6" s="999"/>
      <c r="J6" s="999"/>
      <c r="K6" s="999"/>
      <c r="L6" s="999"/>
      <c r="N6" s="569" t="s">
        <v>226</v>
      </c>
      <c r="O6" s="569" t="s">
        <v>227</v>
      </c>
      <c r="P6" s="569" t="s">
        <v>228</v>
      </c>
      <c r="Q6" s="569" t="s">
        <v>229</v>
      </c>
      <c r="R6" s="569" t="s">
        <v>230</v>
      </c>
      <c r="S6" s="569" t="s">
        <v>231</v>
      </c>
      <c r="T6" s="569" t="s">
        <v>232</v>
      </c>
      <c r="U6" s="569" t="s">
        <v>233</v>
      </c>
      <c r="V6" s="569" t="s">
        <v>3010</v>
      </c>
      <c r="W6" s="569" t="s">
        <v>3011</v>
      </c>
    </row>
    <row r="7" spans="1:32" ht="15">
      <c r="A7" s="559" t="s">
        <v>2765</v>
      </c>
      <c r="B7" s="559" t="s">
        <v>2766</v>
      </c>
      <c r="C7" s="559" t="s">
        <v>2767</v>
      </c>
      <c r="D7" s="559" t="s">
        <v>28</v>
      </c>
      <c r="E7" s="559" t="s">
        <v>2768</v>
      </c>
      <c r="F7" s="559" t="s">
        <v>2769</v>
      </c>
      <c r="G7" s="559" t="s">
        <v>2770</v>
      </c>
      <c r="H7" s="559" t="s">
        <v>2771</v>
      </c>
      <c r="I7" s="559" t="s">
        <v>2772</v>
      </c>
      <c r="J7" s="559" t="s">
        <v>2773</v>
      </c>
      <c r="K7" s="559" t="s">
        <v>2774</v>
      </c>
      <c r="L7" s="559" t="s">
        <v>2775</v>
      </c>
      <c r="N7" s="204">
        <f>L44</f>
        <v>261892056.05367818</v>
      </c>
      <c r="O7" s="204">
        <f>N7*(1+O3)</f>
        <v>277605579.41689891</v>
      </c>
      <c r="P7" s="204">
        <f t="shared" ref="P7:R7" si="0">O7*(1+P3)</f>
        <v>290368535.99789888</v>
      </c>
      <c r="Q7" s="204">
        <f t="shared" si="0"/>
        <v>304081232.01980793</v>
      </c>
      <c r="R7" s="204">
        <f t="shared" si="0"/>
        <v>318821613.63055426</v>
      </c>
      <c r="S7" s="204">
        <f t="shared" ref="S7" si="1">R7*(1+S3)</f>
        <v>334675064.38442522</v>
      </c>
      <c r="T7" s="204">
        <f t="shared" ref="T7" si="2">S7*(1+T3)</f>
        <v>351735174.09566975</v>
      </c>
      <c r="U7" s="204">
        <f t="shared" ref="U7" si="3">T7*(1+U3)</f>
        <v>370104594.32938057</v>
      </c>
      <c r="V7" s="204">
        <f t="shared" ref="V7" si="4">U7*(1+V3)</f>
        <v>389895990.9289999</v>
      </c>
      <c r="W7" s="204">
        <f t="shared" ref="W7" si="5">V7*(1+W3)</f>
        <v>411233105.30697268</v>
      </c>
      <c r="Y7" s="376" t="s">
        <v>439</v>
      </c>
      <c r="Z7" s="149"/>
      <c r="AA7" s="149"/>
      <c r="AB7" s="149"/>
      <c r="AC7" s="149"/>
      <c r="AD7" s="149"/>
      <c r="AE7" s="149"/>
      <c r="AF7" s="149"/>
    </row>
    <row r="8" spans="1:32">
      <c r="A8" s="560" t="s">
        <v>2776</v>
      </c>
      <c r="B8" s="560">
        <v>38368</v>
      </c>
      <c r="C8" s="560" t="s">
        <v>2777</v>
      </c>
      <c r="D8" s="560" t="s">
        <v>29</v>
      </c>
      <c r="E8" s="560" t="s">
        <v>2778</v>
      </c>
      <c r="F8" s="560"/>
      <c r="G8" s="561">
        <v>831816321</v>
      </c>
      <c r="H8" s="561">
        <v>869332000</v>
      </c>
      <c r="I8" s="561">
        <f t="shared" ref="I8:I13" si="6">(H8*9/1000)</f>
        <v>7823988</v>
      </c>
      <c r="J8" s="561">
        <f t="shared" ref="J8:J26" si="7">(I8*3.5/100)+I8</f>
        <v>8097827.5800000001</v>
      </c>
      <c r="K8" s="561">
        <f t="shared" ref="K8:K19" si="8">(I8*10/100)</f>
        <v>782398.8</v>
      </c>
      <c r="L8" s="561">
        <f>J8-K8</f>
        <v>7315428.7800000003</v>
      </c>
      <c r="Y8" s="962" t="s">
        <v>2832</v>
      </c>
      <c r="Z8" s="963"/>
      <c r="AA8" s="963"/>
      <c r="AB8" s="963"/>
      <c r="AC8" s="963"/>
      <c r="AD8" s="963"/>
      <c r="AE8" s="963"/>
      <c r="AF8" s="964"/>
    </row>
    <row r="9" spans="1:32">
      <c r="A9" s="560" t="s">
        <v>2779</v>
      </c>
      <c r="B9" s="560">
        <v>38369</v>
      </c>
      <c r="C9" s="560" t="s">
        <v>2780</v>
      </c>
      <c r="D9" s="560" t="s">
        <v>29</v>
      </c>
      <c r="E9" s="560" t="s">
        <v>2778</v>
      </c>
      <c r="F9" s="560"/>
      <c r="G9" s="561">
        <v>938576598</v>
      </c>
      <c r="H9" s="561">
        <v>980906000</v>
      </c>
      <c r="I9" s="561">
        <f t="shared" si="6"/>
        <v>8828154</v>
      </c>
      <c r="J9" s="561">
        <f t="shared" si="7"/>
        <v>9137139.3900000006</v>
      </c>
      <c r="K9" s="561">
        <f t="shared" si="8"/>
        <v>882815.4</v>
      </c>
      <c r="L9" s="561">
        <f t="shared" ref="L9:L26" si="9">J9-K9</f>
        <v>8254323.9900000002</v>
      </c>
      <c r="Y9" s="965"/>
      <c r="Z9" s="966"/>
      <c r="AA9" s="966"/>
      <c r="AB9" s="966"/>
      <c r="AC9" s="966"/>
      <c r="AD9" s="966"/>
      <c r="AE9" s="966"/>
      <c r="AF9" s="967"/>
    </row>
    <row r="10" spans="1:32">
      <c r="A10" s="560" t="s">
        <v>2781</v>
      </c>
      <c r="B10" s="560">
        <v>38370</v>
      </c>
      <c r="C10" s="560" t="s">
        <v>2782</v>
      </c>
      <c r="D10" s="560" t="s">
        <v>29</v>
      </c>
      <c r="E10" s="560" t="s">
        <v>2778</v>
      </c>
      <c r="F10" s="560"/>
      <c r="G10" s="561">
        <v>433395271</v>
      </c>
      <c r="H10" s="561">
        <v>452941000</v>
      </c>
      <c r="I10" s="561">
        <f t="shared" si="6"/>
        <v>4076469</v>
      </c>
      <c r="J10" s="561">
        <f t="shared" si="7"/>
        <v>4219145.415</v>
      </c>
      <c r="K10" s="561">
        <f t="shared" si="8"/>
        <v>407646.9</v>
      </c>
      <c r="L10" s="561">
        <f t="shared" si="9"/>
        <v>3811498.5150000001</v>
      </c>
      <c r="Y10" s="965"/>
      <c r="Z10" s="966"/>
      <c r="AA10" s="966"/>
      <c r="AB10" s="966"/>
      <c r="AC10" s="966"/>
      <c r="AD10" s="966"/>
      <c r="AE10" s="966"/>
      <c r="AF10" s="967"/>
    </row>
    <row r="11" spans="1:32">
      <c r="A11" s="560" t="s">
        <v>2783</v>
      </c>
      <c r="B11" s="560">
        <v>31120</v>
      </c>
      <c r="C11" s="560" t="s">
        <v>2784</v>
      </c>
      <c r="D11" s="560" t="s">
        <v>32</v>
      </c>
      <c r="E11" s="560" t="s">
        <v>2778</v>
      </c>
      <c r="F11" s="560"/>
      <c r="G11" s="561">
        <v>2054601929</v>
      </c>
      <c r="H11" s="561">
        <v>2147265000</v>
      </c>
      <c r="I11" s="561">
        <f t="shared" si="6"/>
        <v>19325385</v>
      </c>
      <c r="J11" s="561">
        <f t="shared" si="7"/>
        <v>20001773.475000001</v>
      </c>
      <c r="K11" s="561">
        <f t="shared" si="8"/>
        <v>1932538.5</v>
      </c>
      <c r="L11" s="561">
        <f t="shared" si="9"/>
        <v>18069234.975000001</v>
      </c>
      <c r="Y11" s="965"/>
      <c r="Z11" s="966"/>
      <c r="AA11" s="966"/>
      <c r="AB11" s="966"/>
      <c r="AC11" s="966"/>
      <c r="AD11" s="966"/>
      <c r="AE11" s="966"/>
      <c r="AF11" s="967"/>
    </row>
    <row r="12" spans="1:32">
      <c r="A12" s="560" t="s">
        <v>2785</v>
      </c>
      <c r="B12" s="560">
        <v>11237</v>
      </c>
      <c r="C12" s="560" t="s">
        <v>2786</v>
      </c>
      <c r="D12" s="560" t="s">
        <v>29</v>
      </c>
      <c r="E12" s="560" t="s">
        <v>2778</v>
      </c>
      <c r="F12" s="560"/>
      <c r="G12" s="561">
        <v>670424873</v>
      </c>
      <c r="H12" s="561">
        <v>700661000</v>
      </c>
      <c r="I12" s="561">
        <f t="shared" si="6"/>
        <v>6305949</v>
      </c>
      <c r="J12" s="561">
        <f t="shared" si="7"/>
        <v>6526657.2149999999</v>
      </c>
      <c r="K12" s="561">
        <f t="shared" si="8"/>
        <v>630594.9</v>
      </c>
      <c r="L12" s="561">
        <f t="shared" si="9"/>
        <v>5896062.3149999995</v>
      </c>
      <c r="Y12" s="965" t="s">
        <v>2833</v>
      </c>
      <c r="Z12" s="966"/>
      <c r="AA12" s="966"/>
      <c r="AB12" s="966"/>
      <c r="AC12" s="966"/>
      <c r="AD12" s="966"/>
      <c r="AE12" s="966"/>
      <c r="AF12" s="967"/>
    </row>
    <row r="13" spans="1:32">
      <c r="A13" s="560" t="s">
        <v>2787</v>
      </c>
      <c r="B13" s="560">
        <v>16457</v>
      </c>
      <c r="C13" s="560" t="s">
        <v>38</v>
      </c>
      <c r="D13" s="560" t="s">
        <v>29</v>
      </c>
      <c r="E13" s="560" t="s">
        <v>2778</v>
      </c>
      <c r="F13" s="560"/>
      <c r="G13" s="561">
        <v>483534512</v>
      </c>
      <c r="H13" s="561">
        <v>505342000</v>
      </c>
      <c r="I13" s="561">
        <f t="shared" si="6"/>
        <v>4548078</v>
      </c>
      <c r="J13" s="561">
        <f t="shared" si="7"/>
        <v>4707260.7300000004</v>
      </c>
      <c r="K13" s="561">
        <f t="shared" si="8"/>
        <v>454807.8</v>
      </c>
      <c r="L13" s="561">
        <f t="shared" si="9"/>
        <v>4252452.9300000006</v>
      </c>
      <c r="Y13" s="965"/>
      <c r="Z13" s="966"/>
      <c r="AA13" s="966"/>
      <c r="AB13" s="966"/>
      <c r="AC13" s="966"/>
      <c r="AD13" s="966"/>
      <c r="AE13" s="966"/>
      <c r="AF13" s="967"/>
    </row>
    <row r="14" spans="1:32">
      <c r="A14" s="560" t="s">
        <v>2788</v>
      </c>
      <c r="B14" s="560">
        <v>16261</v>
      </c>
      <c r="C14" s="560" t="s">
        <v>2789</v>
      </c>
      <c r="D14" s="560" t="s">
        <v>29</v>
      </c>
      <c r="E14" s="560" t="s">
        <v>2778</v>
      </c>
      <c r="F14" s="560"/>
      <c r="G14" s="561">
        <v>1852863371</v>
      </c>
      <c r="H14" s="561">
        <v>1900111000</v>
      </c>
      <c r="I14" s="561">
        <f>(H14*6/1000)</f>
        <v>11400666</v>
      </c>
      <c r="J14" s="561">
        <f t="shared" si="7"/>
        <v>11799689.310000001</v>
      </c>
      <c r="K14" s="561">
        <f t="shared" si="8"/>
        <v>1140066.6000000001</v>
      </c>
      <c r="L14" s="561">
        <f t="shared" si="9"/>
        <v>10659622.710000001</v>
      </c>
      <c r="Y14" s="965"/>
      <c r="Z14" s="966"/>
      <c r="AA14" s="966"/>
      <c r="AB14" s="966"/>
      <c r="AC14" s="966"/>
      <c r="AD14" s="966"/>
      <c r="AE14" s="966"/>
      <c r="AF14" s="967"/>
    </row>
    <row r="15" spans="1:32">
      <c r="A15" s="560" t="s">
        <v>2790</v>
      </c>
      <c r="B15" s="560">
        <v>15830</v>
      </c>
      <c r="C15" s="560" t="s">
        <v>36</v>
      </c>
      <c r="D15" s="560" t="s">
        <v>29</v>
      </c>
      <c r="E15" s="560" t="s">
        <v>2778</v>
      </c>
      <c r="F15" s="560"/>
      <c r="G15" s="561">
        <v>641632345</v>
      </c>
      <c r="H15" s="561">
        <v>670569000</v>
      </c>
      <c r="I15" s="561">
        <f>(H15*9/1000)</f>
        <v>6035121</v>
      </c>
      <c r="J15" s="561">
        <f t="shared" si="7"/>
        <v>6246350.2350000003</v>
      </c>
      <c r="K15" s="561">
        <f t="shared" si="8"/>
        <v>603512.1</v>
      </c>
      <c r="L15" s="561">
        <f t="shared" si="9"/>
        <v>5642838.1350000007</v>
      </c>
      <c r="Y15" s="965"/>
      <c r="Z15" s="966"/>
      <c r="AA15" s="966"/>
      <c r="AB15" s="966"/>
      <c r="AC15" s="966"/>
      <c r="AD15" s="966"/>
      <c r="AE15" s="966"/>
      <c r="AF15" s="967"/>
    </row>
    <row r="16" spans="1:32">
      <c r="A16" s="560" t="s">
        <v>2791</v>
      </c>
      <c r="B16" s="560">
        <v>40284</v>
      </c>
      <c r="C16" s="560" t="s">
        <v>2792</v>
      </c>
      <c r="D16" s="560" t="s">
        <v>29</v>
      </c>
      <c r="E16" s="560" t="s">
        <v>2778</v>
      </c>
      <c r="F16" s="560"/>
      <c r="G16" s="561">
        <v>23256940</v>
      </c>
      <c r="H16" s="561">
        <v>23850000</v>
      </c>
      <c r="I16" s="561">
        <f>(H16*6/1000)</f>
        <v>143100</v>
      </c>
      <c r="J16" s="561">
        <f t="shared" si="7"/>
        <v>148108.5</v>
      </c>
      <c r="K16" s="561">
        <f t="shared" si="8"/>
        <v>14310</v>
      </c>
      <c r="L16" s="561">
        <f t="shared" si="9"/>
        <v>133798.5</v>
      </c>
      <c r="Y16" s="965"/>
      <c r="Z16" s="966"/>
      <c r="AA16" s="966"/>
      <c r="AB16" s="966"/>
      <c r="AC16" s="966"/>
      <c r="AD16" s="966"/>
      <c r="AE16" s="966"/>
      <c r="AF16" s="967"/>
    </row>
    <row r="17" spans="1:32">
      <c r="A17" s="560" t="s">
        <v>2793</v>
      </c>
      <c r="B17" s="560">
        <v>49808</v>
      </c>
      <c r="C17" s="560" t="s">
        <v>2794</v>
      </c>
      <c r="D17" s="560" t="s">
        <v>29</v>
      </c>
      <c r="E17" s="560" t="s">
        <v>2778</v>
      </c>
      <c r="F17" s="560"/>
      <c r="G17" s="561">
        <v>24975842</v>
      </c>
      <c r="H17" s="561">
        <v>25613000</v>
      </c>
      <c r="I17" s="561">
        <f>(H17*6/1000)</f>
        <v>153678</v>
      </c>
      <c r="J17" s="561">
        <f t="shared" si="7"/>
        <v>159056.73000000001</v>
      </c>
      <c r="K17" s="561">
        <f t="shared" si="8"/>
        <v>15367.8</v>
      </c>
      <c r="L17" s="561">
        <f t="shared" si="9"/>
        <v>143688.93000000002</v>
      </c>
      <c r="Y17" s="968"/>
      <c r="Z17" s="969"/>
      <c r="AA17" s="969"/>
      <c r="AB17" s="969"/>
      <c r="AC17" s="969"/>
      <c r="AD17" s="969"/>
      <c r="AE17" s="969"/>
      <c r="AF17" s="970"/>
    </row>
    <row r="18" spans="1:32">
      <c r="A18" s="560" t="s">
        <v>2795</v>
      </c>
      <c r="B18" s="560">
        <v>49809</v>
      </c>
      <c r="C18" s="560" t="s">
        <v>2796</v>
      </c>
      <c r="D18" s="560" t="s">
        <v>29</v>
      </c>
      <c r="E18" s="560" t="s">
        <v>2778</v>
      </c>
      <c r="F18" s="560"/>
      <c r="G18" s="561">
        <v>39290354</v>
      </c>
      <c r="H18" s="561">
        <v>40292000</v>
      </c>
      <c r="I18" s="561">
        <f>(H18*6/1000)</f>
        <v>241752</v>
      </c>
      <c r="J18" s="561">
        <f t="shared" si="7"/>
        <v>250213.32</v>
      </c>
      <c r="K18" s="561">
        <f t="shared" si="8"/>
        <v>24175.200000000001</v>
      </c>
      <c r="L18" s="561">
        <f t="shared" si="9"/>
        <v>226038.12</v>
      </c>
    </row>
    <row r="19" spans="1:32">
      <c r="A19" s="560" t="s">
        <v>2797</v>
      </c>
      <c r="B19" s="560">
        <v>49811</v>
      </c>
      <c r="C19" s="560" t="s">
        <v>2798</v>
      </c>
      <c r="D19" s="560" t="s">
        <v>29</v>
      </c>
      <c r="E19" s="560" t="s">
        <v>2778</v>
      </c>
      <c r="F19" s="560"/>
      <c r="G19" s="561">
        <v>33168580</v>
      </c>
      <c r="H19" s="561">
        <v>34014000</v>
      </c>
      <c r="I19" s="561">
        <f>(H19*6/1000)</f>
        <v>204084</v>
      </c>
      <c r="J19" s="561">
        <f t="shared" si="7"/>
        <v>211226.94</v>
      </c>
      <c r="K19" s="561">
        <f t="shared" si="8"/>
        <v>20408.400000000001</v>
      </c>
      <c r="L19" s="561">
        <f t="shared" si="9"/>
        <v>190818.54</v>
      </c>
    </row>
    <row r="20" spans="1:32">
      <c r="A20" s="560" t="s">
        <v>2799</v>
      </c>
      <c r="B20" s="560">
        <v>1375</v>
      </c>
      <c r="C20" s="560" t="s">
        <v>2800</v>
      </c>
      <c r="D20" s="560" t="s">
        <v>29</v>
      </c>
      <c r="E20" s="560" t="s">
        <v>2801</v>
      </c>
      <c r="F20" s="560"/>
      <c r="G20" s="561">
        <v>425175535</v>
      </c>
      <c r="H20" s="561">
        <v>444351000</v>
      </c>
      <c r="I20" s="561">
        <f t="shared" ref="I20:I26" si="10">(H20*9/1000)</f>
        <v>3999159</v>
      </c>
      <c r="J20" s="561">
        <f t="shared" si="7"/>
        <v>4139129.5649999999</v>
      </c>
      <c r="K20" s="561">
        <f>(I20*10/100)</f>
        <v>399915.9</v>
      </c>
      <c r="L20" s="561">
        <f t="shared" si="9"/>
        <v>3739213.665</v>
      </c>
    </row>
    <row r="21" spans="1:32">
      <c r="A21" s="560" t="s">
        <v>2802</v>
      </c>
      <c r="B21" s="560">
        <v>1373</v>
      </c>
      <c r="C21" s="560" t="s">
        <v>2803</v>
      </c>
      <c r="D21" s="560" t="s">
        <v>29</v>
      </c>
      <c r="E21" s="560" t="s">
        <v>2801</v>
      </c>
      <c r="F21" s="560"/>
      <c r="G21" s="561">
        <v>874108718</v>
      </c>
      <c r="H21" s="561">
        <v>913531000</v>
      </c>
      <c r="I21" s="561">
        <f t="shared" si="10"/>
        <v>8221779</v>
      </c>
      <c r="J21" s="561">
        <f t="shared" si="7"/>
        <v>8509541.2650000006</v>
      </c>
      <c r="K21" s="561">
        <f t="shared" ref="K21:K26" si="11">(I21*10/100)</f>
        <v>822177.9</v>
      </c>
      <c r="L21" s="561">
        <f t="shared" si="9"/>
        <v>7687363.3650000002</v>
      </c>
    </row>
    <row r="22" spans="1:32">
      <c r="A22" s="560" t="s">
        <v>2804</v>
      </c>
      <c r="B22" s="560">
        <v>1376</v>
      </c>
      <c r="C22" s="560" t="s">
        <v>2800</v>
      </c>
      <c r="D22" s="560" t="s">
        <v>29</v>
      </c>
      <c r="E22" s="560" t="s">
        <v>2801</v>
      </c>
      <c r="F22" s="560"/>
      <c r="G22" s="561">
        <v>1707437872</v>
      </c>
      <c r="H22" s="561">
        <v>1784443000</v>
      </c>
      <c r="I22" s="561">
        <f t="shared" si="10"/>
        <v>16059987</v>
      </c>
      <c r="J22" s="561">
        <f t="shared" si="7"/>
        <v>16622086.545</v>
      </c>
      <c r="K22" s="561">
        <f t="shared" si="11"/>
        <v>1605998.7</v>
      </c>
      <c r="L22" s="561">
        <f t="shared" si="9"/>
        <v>15016087.845000001</v>
      </c>
    </row>
    <row r="23" spans="1:32">
      <c r="A23" s="560" t="s">
        <v>2805</v>
      </c>
      <c r="B23" s="560">
        <v>1377</v>
      </c>
      <c r="C23" s="560" t="s">
        <v>2800</v>
      </c>
      <c r="D23" s="560" t="s">
        <v>29</v>
      </c>
      <c r="E23" s="560" t="s">
        <v>2801</v>
      </c>
      <c r="F23" s="560"/>
      <c r="G23" s="561">
        <v>65382685</v>
      </c>
      <c r="H23" s="561">
        <v>68331000</v>
      </c>
      <c r="I23" s="561">
        <f t="shared" si="10"/>
        <v>614979</v>
      </c>
      <c r="J23" s="561">
        <f t="shared" si="7"/>
        <v>636503.26500000001</v>
      </c>
      <c r="K23" s="561">
        <f t="shared" si="11"/>
        <v>61497.9</v>
      </c>
      <c r="L23" s="561">
        <f t="shared" si="9"/>
        <v>575005.36499999999</v>
      </c>
    </row>
    <row r="24" spans="1:32">
      <c r="A24" s="560" t="s">
        <v>2806</v>
      </c>
      <c r="B24" s="560">
        <v>1374</v>
      </c>
      <c r="C24" s="560" t="s">
        <v>2807</v>
      </c>
      <c r="D24" s="560" t="s">
        <v>29</v>
      </c>
      <c r="E24" s="560" t="s">
        <v>2801</v>
      </c>
      <c r="F24" s="560"/>
      <c r="G24" s="561">
        <v>1328188707</v>
      </c>
      <c r="H24" s="561">
        <v>1388090000</v>
      </c>
      <c r="I24" s="561">
        <f t="shared" si="10"/>
        <v>12492810</v>
      </c>
      <c r="J24" s="561">
        <f t="shared" si="7"/>
        <v>12930058.35</v>
      </c>
      <c r="K24" s="561">
        <f t="shared" si="11"/>
        <v>1249281</v>
      </c>
      <c r="L24" s="561">
        <f t="shared" si="9"/>
        <v>11680777.35</v>
      </c>
    </row>
    <row r="25" spans="1:32">
      <c r="A25" s="560" t="s">
        <v>2808</v>
      </c>
      <c r="B25" s="560">
        <v>16315</v>
      </c>
      <c r="C25" s="560" t="s">
        <v>2809</v>
      </c>
      <c r="D25" s="560" t="s">
        <v>29</v>
      </c>
      <c r="E25" s="560" t="s">
        <v>2801</v>
      </c>
      <c r="F25" s="560" t="s">
        <v>2810</v>
      </c>
      <c r="G25" s="561">
        <v>543102211</v>
      </c>
      <c r="H25" s="561">
        <v>567596000</v>
      </c>
      <c r="I25" s="561">
        <f t="shared" si="10"/>
        <v>5108364</v>
      </c>
      <c r="J25" s="561">
        <f t="shared" si="7"/>
        <v>5287156.74</v>
      </c>
      <c r="K25" s="561">
        <f t="shared" si="11"/>
        <v>510836.4</v>
      </c>
      <c r="L25" s="561">
        <f t="shared" si="9"/>
        <v>4776320.34</v>
      </c>
    </row>
    <row r="26" spans="1:32">
      <c r="A26" s="560" t="s">
        <v>2811</v>
      </c>
      <c r="B26" s="560">
        <v>3478</v>
      </c>
      <c r="C26" s="560" t="s">
        <v>2812</v>
      </c>
      <c r="D26" s="560" t="s">
        <v>29</v>
      </c>
      <c r="E26" s="560" t="s">
        <v>2801</v>
      </c>
      <c r="F26" s="560"/>
      <c r="G26" s="561">
        <v>3012700334</v>
      </c>
      <c r="H26" s="561">
        <v>3144416000</v>
      </c>
      <c r="I26" s="561">
        <f t="shared" si="10"/>
        <v>28299744</v>
      </c>
      <c r="J26" s="561">
        <f t="shared" si="7"/>
        <v>29290235.039999999</v>
      </c>
      <c r="K26" s="561">
        <f t="shared" si="11"/>
        <v>2829974.4</v>
      </c>
      <c r="L26" s="561">
        <f t="shared" si="9"/>
        <v>26460260.640000001</v>
      </c>
    </row>
    <row r="27" spans="1:32">
      <c r="A27" s="560">
        <v>1.0100101600000999E+21</v>
      </c>
      <c r="B27" s="560" t="s">
        <v>323</v>
      </c>
      <c r="C27" s="560" t="s">
        <v>2813</v>
      </c>
      <c r="D27" s="560" t="s">
        <v>45</v>
      </c>
      <c r="E27" s="560" t="s">
        <v>2778</v>
      </c>
      <c r="F27" s="560"/>
      <c r="G27" s="561">
        <v>335093990</v>
      </c>
      <c r="H27" s="561">
        <v>350207000</v>
      </c>
      <c r="I27" s="561">
        <f>(H27*14.5/1000)</f>
        <v>5078001.5</v>
      </c>
      <c r="J27" s="561">
        <f>(I27*2/100)+I27</f>
        <v>5179561.53</v>
      </c>
      <c r="K27" s="561">
        <f>(I27*10/100)</f>
        <v>507800.15</v>
      </c>
      <c r="L27" s="561">
        <f>J27-K27</f>
        <v>4671761.38</v>
      </c>
    </row>
    <row r="28" spans="1:32">
      <c r="A28" s="560">
        <v>1.0100200500001001E+21</v>
      </c>
      <c r="B28" s="560" t="s">
        <v>47</v>
      </c>
      <c r="C28" s="560" t="s">
        <v>46</v>
      </c>
      <c r="D28" s="560" t="s">
        <v>45</v>
      </c>
      <c r="E28" s="560" t="s">
        <v>2778</v>
      </c>
      <c r="F28" s="560"/>
      <c r="G28" s="561">
        <v>752515899</v>
      </c>
      <c r="H28" s="561">
        <v>786454000</v>
      </c>
      <c r="I28" s="561">
        <f>(H28*13.5/1000)</f>
        <v>10617129</v>
      </c>
      <c r="J28" s="561">
        <f>(I28*2/100)+I28</f>
        <v>10829471.58</v>
      </c>
      <c r="K28" s="561">
        <f t="shared" ref="K28:K30" si="12">(I28*10/100)</f>
        <v>1061712.8999999999</v>
      </c>
      <c r="L28" s="561">
        <f t="shared" ref="L28:L36" si="13">J28-K28</f>
        <v>9767758.6799999997</v>
      </c>
    </row>
    <row r="29" spans="1:32">
      <c r="A29" s="560">
        <v>1.0100200900012E+21</v>
      </c>
      <c r="B29" s="560" t="s">
        <v>2814</v>
      </c>
      <c r="C29" s="560" t="s">
        <v>2815</v>
      </c>
      <c r="D29" s="560" t="s">
        <v>45</v>
      </c>
      <c r="E29" s="560" t="s">
        <v>2778</v>
      </c>
      <c r="F29" s="560"/>
      <c r="G29" s="561">
        <v>320661781</v>
      </c>
      <c r="H29" s="561">
        <v>335124000</v>
      </c>
      <c r="I29" s="561">
        <f>(H29*14.5/1000)</f>
        <v>4859298</v>
      </c>
      <c r="J29" s="561">
        <f>(I29*2/100)+I29</f>
        <v>4956483.96</v>
      </c>
      <c r="K29" s="561">
        <f t="shared" si="12"/>
        <v>485929.8</v>
      </c>
      <c r="L29" s="561">
        <f t="shared" si="13"/>
        <v>4470554.16</v>
      </c>
    </row>
    <row r="30" spans="1:32">
      <c r="A30" s="560">
        <v>1.0100200900019E+21</v>
      </c>
      <c r="B30" s="560" t="s">
        <v>2816</v>
      </c>
      <c r="C30" s="560" t="s">
        <v>2815</v>
      </c>
      <c r="D30" s="560" t="s">
        <v>45</v>
      </c>
      <c r="E30" s="560" t="s">
        <v>2778</v>
      </c>
      <c r="F30" s="560"/>
      <c r="G30" s="561">
        <v>311214742</v>
      </c>
      <c r="H30" s="561">
        <v>325251000</v>
      </c>
      <c r="I30" s="561">
        <f>(H30*13.5/1000)</f>
        <v>4390888.5</v>
      </c>
      <c r="J30" s="561">
        <f>(I30*2/100)+I30</f>
        <v>4478706.2699999996</v>
      </c>
      <c r="K30" s="561">
        <f t="shared" si="12"/>
        <v>439088.85</v>
      </c>
      <c r="L30" s="561">
        <f t="shared" si="13"/>
        <v>4039617.4199999995</v>
      </c>
    </row>
    <row r="31" spans="1:32">
      <c r="A31" s="560">
        <v>1.0100100600001E+21</v>
      </c>
      <c r="B31" s="560" t="s">
        <v>51</v>
      </c>
      <c r="C31" s="560" t="s">
        <v>2817</v>
      </c>
      <c r="D31" s="560" t="s">
        <v>2818</v>
      </c>
      <c r="E31" s="560" t="s">
        <v>2778</v>
      </c>
      <c r="F31" s="560"/>
      <c r="G31" s="561">
        <v>845755551</v>
      </c>
      <c r="H31" s="561">
        <v>883899000</v>
      </c>
      <c r="I31" s="561">
        <f>(H31*14/1000)</f>
        <v>12374586</v>
      </c>
      <c r="J31" s="561">
        <f>(I31*12.74/100)+I31</f>
        <v>13951108.2564</v>
      </c>
      <c r="K31" s="561">
        <f>(J31*13/100)</f>
        <v>1813644.0733320001</v>
      </c>
      <c r="L31" s="561">
        <f>J31-K31</f>
        <v>12137464.183068</v>
      </c>
    </row>
    <row r="32" spans="1:32">
      <c r="A32" s="560">
        <v>1.0100103700015E+21</v>
      </c>
      <c r="B32" s="560" t="s">
        <v>52</v>
      </c>
      <c r="C32" s="560" t="s">
        <v>2819</v>
      </c>
      <c r="D32" s="560" t="s">
        <v>2818</v>
      </c>
      <c r="E32" s="560" t="s">
        <v>2778</v>
      </c>
      <c r="F32" s="560"/>
      <c r="G32" s="561">
        <v>1772355167</v>
      </c>
      <c r="H32" s="561">
        <v>1852288000</v>
      </c>
      <c r="I32" s="561">
        <f t="shared" ref="I32:I34" si="14">(H32*14/1000)</f>
        <v>25932032</v>
      </c>
      <c r="J32" s="561">
        <f t="shared" ref="J32:J35" si="15">(I32*12.74/100)+I32</f>
        <v>29235772.876800001</v>
      </c>
      <c r="K32" s="561">
        <f t="shared" ref="K32:K36" si="16">(J32*13/100)</f>
        <v>3800650.4739840003</v>
      </c>
      <c r="L32" s="561">
        <f t="shared" si="13"/>
        <v>25435122.402816001</v>
      </c>
    </row>
    <row r="33" spans="1:12">
      <c r="A33" s="560">
        <v>1.0100103700015E+21</v>
      </c>
      <c r="B33" s="560" t="s">
        <v>53</v>
      </c>
      <c r="C33" s="560" t="s">
        <v>2820</v>
      </c>
      <c r="D33" s="560" t="s">
        <v>2818</v>
      </c>
      <c r="E33" s="560" t="s">
        <v>2778</v>
      </c>
      <c r="F33" s="560"/>
      <c r="G33" s="561">
        <v>542394053</v>
      </c>
      <c r="H33" s="561">
        <v>566856000</v>
      </c>
      <c r="I33" s="561">
        <f t="shared" si="14"/>
        <v>7935984</v>
      </c>
      <c r="J33" s="561">
        <f t="shared" si="15"/>
        <v>8947028.3616000004</v>
      </c>
      <c r="K33" s="561">
        <f t="shared" si="16"/>
        <v>1163113.687008</v>
      </c>
      <c r="L33" s="561">
        <f t="shared" si="13"/>
        <v>7783914.6745920004</v>
      </c>
    </row>
    <row r="34" spans="1:12">
      <c r="A34" s="560">
        <v>1.010010370015E+16</v>
      </c>
      <c r="B34" s="560" t="s">
        <v>54</v>
      </c>
      <c r="C34" s="560" t="s">
        <v>2821</v>
      </c>
      <c r="D34" s="560" t="s">
        <v>2818</v>
      </c>
      <c r="E34" s="560" t="s">
        <v>2778</v>
      </c>
      <c r="F34" s="560"/>
      <c r="G34" s="561">
        <v>407666073</v>
      </c>
      <c r="H34" s="561">
        <v>426052000</v>
      </c>
      <c r="I34" s="561">
        <f t="shared" si="14"/>
        <v>5964728</v>
      </c>
      <c r="J34" s="561">
        <f t="shared" si="15"/>
        <v>6724634.3471999997</v>
      </c>
      <c r="K34" s="561">
        <f t="shared" si="16"/>
        <v>874202.46513599996</v>
      </c>
      <c r="L34" s="561">
        <f t="shared" si="13"/>
        <v>5850431.8820639998</v>
      </c>
    </row>
    <row r="35" spans="1:12">
      <c r="A35" s="560">
        <v>1.0200101100007999E+21</v>
      </c>
      <c r="B35" s="560" t="s">
        <v>56</v>
      </c>
      <c r="C35" s="560" t="s">
        <v>55</v>
      </c>
      <c r="D35" s="560" t="s">
        <v>2818</v>
      </c>
      <c r="E35" s="560" t="s">
        <v>2778</v>
      </c>
      <c r="F35" s="560"/>
      <c r="G35" s="561">
        <v>93941135</v>
      </c>
      <c r="H35" s="561">
        <v>98178000</v>
      </c>
      <c r="I35" s="561">
        <f>(H35*13/1000)</f>
        <v>1276314</v>
      </c>
      <c r="J35" s="561">
        <f t="shared" si="15"/>
        <v>1438916.4036000001</v>
      </c>
      <c r="K35" s="561">
        <f t="shared" si="16"/>
        <v>187059.13246800003</v>
      </c>
      <c r="L35" s="561">
        <f t="shared" si="13"/>
        <v>1251857.271132</v>
      </c>
    </row>
    <row r="36" spans="1:12">
      <c r="A36" s="560">
        <v>2.0300000600014001E+21</v>
      </c>
      <c r="B36" s="560" t="s">
        <v>50</v>
      </c>
      <c r="C36" s="560" t="s">
        <v>2822</v>
      </c>
      <c r="D36" s="560" t="s">
        <v>2818</v>
      </c>
      <c r="E36" s="560" t="s">
        <v>2778</v>
      </c>
      <c r="F36" s="560"/>
      <c r="G36" s="561">
        <v>20723315</v>
      </c>
      <c r="H36" s="561">
        <v>21252000</v>
      </c>
      <c r="I36" s="561">
        <f>(H36*6/1000)</f>
        <v>127512</v>
      </c>
      <c r="J36" s="561">
        <f>(I36*25/100)+I36</f>
        <v>159390</v>
      </c>
      <c r="K36" s="561">
        <f t="shared" si="16"/>
        <v>20720.7</v>
      </c>
      <c r="L36" s="561">
        <f t="shared" si="13"/>
        <v>138669.29999999999</v>
      </c>
    </row>
    <row r="37" spans="1:12">
      <c r="A37" s="560" t="s">
        <v>2823</v>
      </c>
      <c r="B37" s="560" t="s">
        <v>49</v>
      </c>
      <c r="C37" s="560" t="s">
        <v>2824</v>
      </c>
      <c r="D37" s="560" t="s">
        <v>48</v>
      </c>
      <c r="E37" s="560" t="s">
        <v>2778</v>
      </c>
      <c r="F37" s="560"/>
      <c r="G37" s="561">
        <v>84611395</v>
      </c>
      <c r="H37" s="561">
        <f t="shared" ref="H37:H39" si="17">G37+(G37*4/100)</f>
        <v>87995850.799999997</v>
      </c>
      <c r="I37" s="561">
        <f>(H37*16/1000)</f>
        <v>1407933.6128</v>
      </c>
      <c r="J37" s="561">
        <f>I37</f>
        <v>1407933.6128</v>
      </c>
      <c r="K37" s="561">
        <f t="shared" ref="K37" si="18">(J37*5/100)</f>
        <v>70396.680640000006</v>
      </c>
      <c r="L37" s="561">
        <f>J37-K37</f>
        <v>1337536.9321600001</v>
      </c>
    </row>
    <row r="38" spans="1:12">
      <c r="A38" s="560">
        <v>1.0100109400120001E+19</v>
      </c>
      <c r="B38" s="560" t="s">
        <v>42</v>
      </c>
      <c r="C38" s="560" t="s">
        <v>41</v>
      </c>
      <c r="D38" s="560" t="s">
        <v>152</v>
      </c>
      <c r="E38" s="560" t="s">
        <v>2778</v>
      </c>
      <c r="F38" s="560"/>
      <c r="G38" s="561">
        <v>1094999788</v>
      </c>
      <c r="H38" s="561">
        <f t="shared" si="17"/>
        <v>1138799779.52</v>
      </c>
      <c r="I38" s="561">
        <f>(H38*12/1000)</f>
        <v>13665597.35424</v>
      </c>
      <c r="J38" s="561">
        <f>(I38*20/100)+I38</f>
        <v>16398716.825088</v>
      </c>
      <c r="K38" s="561">
        <f>(J38*5/100)</f>
        <v>819935.84125439997</v>
      </c>
      <c r="L38" s="561">
        <f t="shared" ref="L38" si="19">J38-K38</f>
        <v>15578780.9838336</v>
      </c>
    </row>
    <row r="39" spans="1:12">
      <c r="A39" s="560">
        <v>1.0100109400013E+20</v>
      </c>
      <c r="B39" s="560" t="s">
        <v>44</v>
      </c>
      <c r="C39" s="560" t="s">
        <v>43</v>
      </c>
      <c r="D39" s="560" t="s">
        <v>152</v>
      </c>
      <c r="E39" s="560" t="s">
        <v>2778</v>
      </c>
      <c r="F39" s="560"/>
      <c r="G39" s="561">
        <v>2354546708</v>
      </c>
      <c r="H39" s="561">
        <f t="shared" si="17"/>
        <v>2448728576.3200002</v>
      </c>
      <c r="I39" s="561">
        <f>(H39*12/1000)</f>
        <v>29384742.915840004</v>
      </c>
      <c r="J39" s="561">
        <f>(I39*20/100)+I39</f>
        <v>35261691.499008007</v>
      </c>
      <c r="K39" s="561">
        <f>(J39*5/100)</f>
        <v>1763084.5749504003</v>
      </c>
      <c r="L39" s="561">
        <f>J39-K39</f>
        <v>33498606.924057607</v>
      </c>
    </row>
    <row r="40" spans="1:12">
      <c r="A40" s="560"/>
      <c r="B40" s="560">
        <v>996149</v>
      </c>
      <c r="C40" s="560" t="s">
        <v>2825</v>
      </c>
      <c r="D40" s="560" t="s">
        <v>2826</v>
      </c>
      <c r="E40" s="560" t="s">
        <v>2778</v>
      </c>
      <c r="F40" s="560"/>
      <c r="G40" s="562">
        <v>22562000</v>
      </c>
      <c r="H40" s="562">
        <f>G40+(G40*3.865/100)</f>
        <v>23434021.300000001</v>
      </c>
      <c r="I40" s="562">
        <f>H40*9.5/1000</f>
        <v>222623.20235000001</v>
      </c>
      <c r="J40" s="562">
        <f>I40</f>
        <v>222623.20235000001</v>
      </c>
      <c r="K40" s="562"/>
      <c r="L40" s="562">
        <f>J40/4+5138</f>
        <v>60793.800587500002</v>
      </c>
    </row>
    <row r="41" spans="1:12">
      <c r="A41" s="560"/>
      <c r="B41" s="560">
        <v>996148</v>
      </c>
      <c r="C41" s="560" t="s">
        <v>2827</v>
      </c>
      <c r="D41" s="560" t="s">
        <v>2826</v>
      </c>
      <c r="E41" s="560" t="s">
        <v>2778</v>
      </c>
      <c r="F41" s="560"/>
      <c r="G41" s="562">
        <v>22562000</v>
      </c>
      <c r="H41" s="562">
        <f>G41+(G41*3.865/100)</f>
        <v>23434021.300000001</v>
      </c>
      <c r="I41" s="562">
        <f>H41*9.5/1000</f>
        <v>222623.20235000001</v>
      </c>
      <c r="J41" s="562">
        <f t="shared" ref="J41:J42" si="20">I41</f>
        <v>222623.20235000001</v>
      </c>
      <c r="K41" s="562"/>
      <c r="L41" s="562">
        <f t="shared" ref="L41" si="21">J41/4+5138</f>
        <v>60793.800587500002</v>
      </c>
    </row>
    <row r="42" spans="1:12">
      <c r="A42" s="560"/>
      <c r="B42" s="560">
        <v>995982</v>
      </c>
      <c r="C42" s="560" t="s">
        <v>2828</v>
      </c>
      <c r="D42" s="560" t="s">
        <v>2826</v>
      </c>
      <c r="E42" s="560" t="s">
        <v>2778</v>
      </c>
      <c r="F42" s="560"/>
      <c r="G42" s="562">
        <v>324138000</v>
      </c>
      <c r="H42" s="562">
        <f>G42+(G42*3.066)/100</f>
        <v>334076071.07999998</v>
      </c>
      <c r="I42" s="562">
        <f>H42*14/1000</f>
        <v>4677064.9951200001</v>
      </c>
      <c r="J42" s="562">
        <f t="shared" si="20"/>
        <v>4677064.9951200001</v>
      </c>
      <c r="K42" s="562"/>
      <c r="L42" s="562">
        <f>J42/4+108291</f>
        <v>1277557.24878</v>
      </c>
    </row>
    <row r="44" spans="1:12">
      <c r="A44" s="565" t="s">
        <v>396</v>
      </c>
      <c r="D44" s="560"/>
      <c r="I44" s="566">
        <f>SUM(I8:I43)</f>
        <v>272020304.2827</v>
      </c>
      <c r="J44" s="566">
        <f>SUM(J8:J43)</f>
        <v>293010886.53231609</v>
      </c>
      <c r="K44" s="566">
        <f>SUM(K8:K43)</f>
        <v>27395663.928772803</v>
      </c>
      <c r="L44" s="566">
        <f>SUM(L8:L43)</f>
        <v>261892056.05367818</v>
      </c>
    </row>
  </sheetData>
  <mergeCells count="6">
    <mergeCell ref="Y14:AF17"/>
    <mergeCell ref="D4:L6"/>
    <mergeCell ref="N4:R4"/>
    <mergeCell ref="Y8:AF11"/>
    <mergeCell ref="Y12:AF13"/>
    <mergeCell ref="N5:W5"/>
  </mergeCells>
  <phoneticPr fontId="30" type="noConversion"/>
  <pageMargins left="0.7" right="0.7" top="0.75" bottom="0.75" header="0.3" footer="0.3"/>
  <drawing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D24"/>
  <sheetViews>
    <sheetView showGridLines="0" workbookViewId="0">
      <pane ySplit="6" topLeftCell="A7" activePane="bottomLeft" state="frozen"/>
      <selection pane="bottomLeft" activeCell="G13" sqref="G13"/>
    </sheetView>
  </sheetViews>
  <sheetFormatPr baseColWidth="10" defaultRowHeight="15"/>
  <cols>
    <col min="1" max="1" width="30.85546875" style="483" bestFit="1" customWidth="1"/>
    <col min="2" max="2" width="18.28515625" style="483" bestFit="1" customWidth="1"/>
    <col min="3" max="3" width="13.140625" style="483" bestFit="1" customWidth="1"/>
    <col min="4" max="4" width="13.5703125" style="483" bestFit="1" customWidth="1"/>
    <col min="5" max="5" width="20.5703125" style="483" bestFit="1" customWidth="1"/>
    <col min="6" max="6" width="11.42578125" style="483"/>
    <col min="7" max="7" width="17" style="483" bestFit="1" customWidth="1"/>
    <col min="8" max="8" width="16.7109375" style="483" customWidth="1"/>
    <col min="9" max="9" width="18.85546875" style="483" bestFit="1" customWidth="1"/>
    <col min="10" max="11" width="15.5703125" style="483" bestFit="1" customWidth="1"/>
    <col min="12" max="13" width="16.5703125" style="483" bestFit="1" customWidth="1"/>
    <col min="14" max="14" width="17" style="483" customWidth="1"/>
    <col min="15" max="15" width="12" style="483" bestFit="1" customWidth="1"/>
    <col min="16" max="16" width="11" style="483" bestFit="1" customWidth="1"/>
    <col min="17" max="17" width="12.28515625" style="483" customWidth="1"/>
    <col min="18" max="19" width="12.42578125" style="483" bestFit="1" customWidth="1"/>
    <col min="20" max="24" width="12.42578125" style="483" customWidth="1"/>
    <col min="25" max="16384" width="11.42578125" style="483"/>
  </cols>
  <sheetData>
    <row r="1" spans="1:30">
      <c r="P1" s="155" t="s">
        <v>436</v>
      </c>
      <c r="Q1" s="148"/>
      <c r="R1" s="148"/>
      <c r="S1" s="148"/>
      <c r="T1" s="148"/>
      <c r="U1" s="148"/>
      <c r="V1" s="148"/>
      <c r="W1" s="148"/>
      <c r="X1" s="148"/>
    </row>
    <row r="2" spans="1:30">
      <c r="P2" s="570">
        <v>2025</v>
      </c>
      <c r="Q2" s="570">
        <v>2026</v>
      </c>
      <c r="R2" s="570">
        <v>2027</v>
      </c>
      <c r="S2" s="570">
        <v>2028</v>
      </c>
      <c r="T2" s="570">
        <v>2029</v>
      </c>
      <c r="U2" s="570">
        <v>2030</v>
      </c>
      <c r="V2" s="570">
        <v>2031</v>
      </c>
      <c r="W2" s="570">
        <v>2032</v>
      </c>
      <c r="X2" s="570">
        <v>2033</v>
      </c>
    </row>
    <row r="3" spans="1:30">
      <c r="P3" s="429">
        <f>+'IPC - CAFÉ'!E24</f>
        <v>0.06</v>
      </c>
      <c r="Q3" s="429">
        <f>+'IPC - CAFÉ'!F24</f>
        <v>4.5975144331782153E-2</v>
      </c>
      <c r="R3" s="429">
        <f>+'IPC - CAFÉ'!G24</f>
        <v>4.7225144331782154E-2</v>
      </c>
      <c r="S3" s="429">
        <f>+'IPC - CAFÉ'!H24</f>
        <v>4.8475144331782155E-2</v>
      </c>
      <c r="T3" s="429">
        <f>+'IPC - CAFÉ'!I24</f>
        <v>4.9725144331782156E-2</v>
      </c>
      <c r="U3" s="429">
        <f>+'IPC - CAFÉ'!J24</f>
        <v>5.0975144331782157E-2</v>
      </c>
      <c r="V3" s="429">
        <f>+'IPC - CAFÉ'!K24</f>
        <v>5.2225144331782158E-2</v>
      </c>
      <c r="W3" s="429">
        <f>+'IPC - CAFÉ'!L24</f>
        <v>5.347514433178216E-2</v>
      </c>
      <c r="X3" s="429">
        <f>+'IPC - CAFÉ'!M24</f>
        <v>5.4725144331782161E-2</v>
      </c>
    </row>
    <row r="5" spans="1:30">
      <c r="O5" s="1000" t="s">
        <v>2842</v>
      </c>
      <c r="P5" s="1000"/>
      <c r="Q5" s="1000"/>
      <c r="R5" s="1000"/>
      <c r="S5" s="1000"/>
      <c r="T5" s="1000"/>
      <c r="U5" s="1000"/>
      <c r="V5" s="1000"/>
      <c r="W5" s="1000"/>
      <c r="X5" s="1000"/>
    </row>
    <row r="6" spans="1:30" ht="26.25">
      <c r="A6" s="184" t="s">
        <v>0</v>
      </c>
      <c r="B6" s="184" t="s">
        <v>235</v>
      </c>
      <c r="C6" s="184" t="s">
        <v>236</v>
      </c>
      <c r="D6" s="184" t="s">
        <v>237</v>
      </c>
      <c r="E6" s="184" t="s">
        <v>238</v>
      </c>
      <c r="F6" s="183" t="s">
        <v>437</v>
      </c>
      <c r="G6" s="180" t="s">
        <v>2834</v>
      </c>
      <c r="H6" s="183" t="s">
        <v>2835</v>
      </c>
      <c r="I6" s="183" t="s">
        <v>2836</v>
      </c>
      <c r="J6" s="183" t="s">
        <v>2837</v>
      </c>
      <c r="K6" s="183" t="s">
        <v>2838</v>
      </c>
      <c r="L6" s="183" t="s">
        <v>2839</v>
      </c>
      <c r="M6" s="183" t="s">
        <v>2840</v>
      </c>
      <c r="N6" s="571"/>
      <c r="O6" s="559" t="s">
        <v>226</v>
      </c>
      <c r="P6" s="559" t="s">
        <v>227</v>
      </c>
      <c r="Q6" s="559" t="s">
        <v>228</v>
      </c>
      <c r="R6" s="559" t="s">
        <v>229</v>
      </c>
      <c r="S6" s="559" t="s">
        <v>230</v>
      </c>
      <c r="T6" s="559" t="s">
        <v>231</v>
      </c>
      <c r="U6" s="559" t="s">
        <v>232</v>
      </c>
      <c r="V6" s="559" t="s">
        <v>233</v>
      </c>
      <c r="W6" s="559" t="s">
        <v>3010</v>
      </c>
      <c r="X6" s="559" t="s">
        <v>3011</v>
      </c>
      <c r="Z6" s="376" t="s">
        <v>439</v>
      </c>
      <c r="AA6" s="149"/>
      <c r="AB6" s="149"/>
      <c r="AC6" s="149"/>
      <c r="AD6" s="149"/>
    </row>
    <row r="7" spans="1:30">
      <c r="A7" s="572" t="s">
        <v>241</v>
      </c>
      <c r="B7" s="572" t="s">
        <v>33</v>
      </c>
      <c r="C7" s="573">
        <v>44834</v>
      </c>
      <c r="D7" s="574">
        <v>1583750000</v>
      </c>
      <c r="E7" s="573" t="s">
        <v>242</v>
      </c>
      <c r="F7" s="573"/>
      <c r="G7" s="575">
        <v>1670000000</v>
      </c>
      <c r="H7" s="575"/>
      <c r="I7" s="576">
        <f>G7*10/1000</f>
        <v>16700000</v>
      </c>
      <c r="J7" s="577">
        <f>G7*0.54/100</f>
        <v>9018000</v>
      </c>
      <c r="K7" s="577">
        <f>I7+J7</f>
        <v>25718000</v>
      </c>
      <c r="L7" s="577">
        <f>K7/2</f>
        <v>12859000</v>
      </c>
      <c r="M7" s="577"/>
      <c r="N7" s="564"/>
      <c r="O7" s="578">
        <f>L24</f>
        <v>121470123.67967001</v>
      </c>
      <c r="P7" s="578">
        <f>M24+L23</f>
        <v>54896220.887881294</v>
      </c>
      <c r="Q7" s="578">
        <f>L23*(1+Q3)</f>
        <v>11924116.645382317</v>
      </c>
      <c r="R7" s="578">
        <f>Q7*(1+R3)</f>
        <v>12487234.774989503</v>
      </c>
      <c r="S7" s="579">
        <f>R7*(1+S3)</f>
        <v>13092555.283011967</v>
      </c>
      <c r="T7" s="579">
        <f t="shared" ref="T7:X7" si="0">S7*(1+T3)</f>
        <v>13743584.484131573</v>
      </c>
      <c r="U7" s="579">
        <f t="shared" si="0"/>
        <v>14444165.686846221</v>
      </c>
      <c r="V7" s="579">
        <f t="shared" si="0"/>
        <v>15198514.324593939</v>
      </c>
      <c r="W7" s="579">
        <f t="shared" si="0"/>
        <v>16011257.07173026</v>
      </c>
      <c r="X7" s="579">
        <f t="shared" si="0"/>
        <v>16887475.425913967</v>
      </c>
      <c r="Z7" s="962" t="s">
        <v>2843</v>
      </c>
      <c r="AA7" s="963"/>
      <c r="AB7" s="963"/>
      <c r="AC7" s="963"/>
      <c r="AD7" s="964"/>
    </row>
    <row r="8" spans="1:30">
      <c r="A8" s="572" t="s">
        <v>244</v>
      </c>
      <c r="B8" s="572" t="s">
        <v>33</v>
      </c>
      <c r="C8" s="573">
        <v>44834</v>
      </c>
      <c r="D8" s="574">
        <v>24310000</v>
      </c>
      <c r="E8" s="573" t="s">
        <v>242</v>
      </c>
      <c r="F8" s="573"/>
      <c r="G8" s="575"/>
      <c r="H8" s="575"/>
      <c r="I8" s="576">
        <f t="shared" ref="I8:I9" si="1">G8*10/1000</f>
        <v>0</v>
      </c>
      <c r="J8" s="577">
        <f t="shared" ref="J8:J22" si="2">G8*0.54/100</f>
        <v>0</v>
      </c>
      <c r="K8" s="577">
        <f t="shared" ref="K8:K22" si="3">I8+J8</f>
        <v>0</v>
      </c>
      <c r="L8" s="577">
        <f t="shared" ref="L8:L22" si="4">K8/2</f>
        <v>0</v>
      </c>
      <c r="M8" s="577"/>
      <c r="N8" s="564"/>
      <c r="Z8" s="965"/>
      <c r="AA8" s="966"/>
      <c r="AB8" s="966"/>
      <c r="AC8" s="966"/>
      <c r="AD8" s="967"/>
    </row>
    <row r="9" spans="1:30">
      <c r="A9" s="572" t="s">
        <v>246</v>
      </c>
      <c r="B9" s="572" t="s">
        <v>247</v>
      </c>
      <c r="C9" s="573">
        <v>44834</v>
      </c>
      <c r="D9" s="574">
        <v>571007984</v>
      </c>
      <c r="E9" s="573" t="s">
        <v>242</v>
      </c>
      <c r="F9" s="573"/>
      <c r="G9" s="575">
        <v>462500000</v>
      </c>
      <c r="H9" s="575"/>
      <c r="I9" s="576">
        <f t="shared" si="1"/>
        <v>4625000</v>
      </c>
      <c r="J9" s="577">
        <f>G9*0.54/100</f>
        <v>2497500.0000000005</v>
      </c>
      <c r="K9" s="577">
        <f t="shared" si="3"/>
        <v>7122500</v>
      </c>
      <c r="L9" s="577">
        <f t="shared" si="4"/>
        <v>3561250</v>
      </c>
      <c r="M9" s="577"/>
      <c r="N9" s="564"/>
      <c r="Z9" s="965"/>
      <c r="AA9" s="966"/>
      <c r="AB9" s="966"/>
      <c r="AC9" s="966"/>
      <c r="AD9" s="967"/>
    </row>
    <row r="10" spans="1:30">
      <c r="A10" s="572" t="s">
        <v>265</v>
      </c>
      <c r="B10" s="572" t="s">
        <v>266</v>
      </c>
      <c r="C10" s="573">
        <v>44834</v>
      </c>
      <c r="D10" s="574">
        <v>4554496817</v>
      </c>
      <c r="E10" s="573" t="s">
        <v>250</v>
      </c>
      <c r="F10" s="869">
        <f>+'I. Activos'!K21</f>
        <v>0.31</v>
      </c>
      <c r="G10" s="580"/>
      <c r="H10" s="575">
        <f>(D10*70%)*F10</f>
        <v>988325809.28899992</v>
      </c>
      <c r="I10" s="576">
        <f>H10*10/1000</f>
        <v>9883258.09289</v>
      </c>
      <c r="J10" s="577">
        <f>H10*0.54/100</f>
        <v>5336959.3701606002</v>
      </c>
      <c r="K10" s="577">
        <f t="shared" si="3"/>
        <v>15220217.4630506</v>
      </c>
      <c r="L10" s="577"/>
      <c r="M10" s="577">
        <f>K10/2</f>
        <v>7610108.7315253001</v>
      </c>
      <c r="N10" s="564"/>
      <c r="Z10" s="965"/>
      <c r="AA10" s="966"/>
      <c r="AB10" s="966"/>
      <c r="AC10" s="966"/>
      <c r="AD10" s="967"/>
    </row>
    <row r="11" spans="1:30">
      <c r="A11" s="572" t="s">
        <v>268</v>
      </c>
      <c r="B11" s="572" t="s">
        <v>266</v>
      </c>
      <c r="C11" s="573">
        <v>44834</v>
      </c>
      <c r="D11" s="574">
        <v>2571720000</v>
      </c>
      <c r="E11" s="573" t="s">
        <v>250</v>
      </c>
      <c r="F11" s="869">
        <f>+'I. Activos'!K22</f>
        <v>0.31</v>
      </c>
      <c r="G11" s="575"/>
      <c r="H11" s="575">
        <f t="shared" ref="H11:H13" si="5">(D11*70%)*F11</f>
        <v>558063240</v>
      </c>
      <c r="I11" s="576">
        <f>H11*10/1000</f>
        <v>5580632.4000000004</v>
      </c>
      <c r="J11" s="577">
        <f>H11*0.54/100</f>
        <v>3013541.4960000003</v>
      </c>
      <c r="K11" s="577">
        <f>I11+J11</f>
        <v>8594173.8960000016</v>
      </c>
      <c r="L11" s="577"/>
      <c r="M11" s="577">
        <f>K11/2</f>
        <v>4297086.9480000008</v>
      </c>
      <c r="N11" s="564"/>
      <c r="Z11" s="965"/>
      <c r="AA11" s="966"/>
      <c r="AB11" s="966"/>
      <c r="AC11" s="966"/>
      <c r="AD11" s="967"/>
    </row>
    <row r="12" spans="1:30">
      <c r="A12" s="572" t="s">
        <v>270</v>
      </c>
      <c r="B12" s="572" t="s">
        <v>271</v>
      </c>
      <c r="C12" s="573">
        <v>45107</v>
      </c>
      <c r="D12" s="574">
        <v>6214410940</v>
      </c>
      <c r="E12" s="573" t="s">
        <v>272</v>
      </c>
      <c r="F12" s="869">
        <f>+'I. Activos'!K23</f>
        <v>0.66</v>
      </c>
      <c r="G12" s="575"/>
      <c r="H12" s="575">
        <f t="shared" si="5"/>
        <v>2871057854.2800002</v>
      </c>
      <c r="I12" s="576">
        <f t="shared" ref="I12:I13" si="6">H12*10/1000</f>
        <v>28710578.542800002</v>
      </c>
      <c r="J12" s="577">
        <f t="shared" ref="J12:J13" si="7">H12*0.54/100</f>
        <v>15503712.413112001</v>
      </c>
      <c r="K12" s="577">
        <f t="shared" si="3"/>
        <v>44214290.955912001</v>
      </c>
      <c r="L12" s="577"/>
      <c r="M12" s="577">
        <f t="shared" ref="M12:M13" si="8">K12/2</f>
        <v>22107145.477956001</v>
      </c>
      <c r="N12" s="564"/>
      <c r="Z12" s="965"/>
      <c r="AA12" s="966"/>
      <c r="AB12" s="966"/>
      <c r="AC12" s="966"/>
      <c r="AD12" s="967"/>
    </row>
    <row r="13" spans="1:30">
      <c r="A13" s="572" t="s">
        <v>273</v>
      </c>
      <c r="B13" s="572" t="s">
        <v>271</v>
      </c>
      <c r="C13" s="573">
        <v>45107</v>
      </c>
      <c r="D13" s="574">
        <v>2665396000</v>
      </c>
      <c r="E13" s="573" t="s">
        <v>272</v>
      </c>
      <c r="F13" s="869">
        <f>+'I. Activos'!K23</f>
        <v>0.66</v>
      </c>
      <c r="G13" s="575"/>
      <c r="H13" s="575">
        <f t="shared" si="5"/>
        <v>1231412952</v>
      </c>
      <c r="I13" s="576">
        <f t="shared" si="6"/>
        <v>12314129.52</v>
      </c>
      <c r="J13" s="577">
        <f t="shared" si="7"/>
        <v>6649629.9408</v>
      </c>
      <c r="K13" s="577">
        <f t="shared" si="3"/>
        <v>18963759.4608</v>
      </c>
      <c r="L13" s="577"/>
      <c r="M13" s="577">
        <f t="shared" si="8"/>
        <v>9481879.7303999998</v>
      </c>
      <c r="N13" s="564"/>
      <c r="Z13" s="965"/>
      <c r="AA13" s="966"/>
      <c r="AB13" s="966"/>
      <c r="AC13" s="966"/>
      <c r="AD13" s="967"/>
    </row>
    <row r="14" spans="1:30">
      <c r="A14" s="572" t="s">
        <v>276</v>
      </c>
      <c r="B14" s="572" t="s">
        <v>277</v>
      </c>
      <c r="C14" s="573">
        <v>44876</v>
      </c>
      <c r="D14" s="574">
        <v>795002381</v>
      </c>
      <c r="E14" s="573" t="s">
        <v>250</v>
      </c>
      <c r="F14" s="573"/>
      <c r="G14" s="575">
        <v>10000000</v>
      </c>
      <c r="H14" s="575"/>
      <c r="I14" s="576">
        <v>0</v>
      </c>
      <c r="J14" s="577"/>
      <c r="K14" s="577">
        <f t="shared" si="3"/>
        <v>0</v>
      </c>
      <c r="L14" s="577">
        <f t="shared" si="4"/>
        <v>0</v>
      </c>
      <c r="M14" s="577"/>
      <c r="N14" s="564"/>
      <c r="Z14" s="965"/>
      <c r="AA14" s="966"/>
      <c r="AB14" s="966"/>
      <c r="AC14" s="966"/>
      <c r="AD14" s="967"/>
    </row>
    <row r="15" spans="1:30">
      <c r="A15" s="572" t="s">
        <v>295</v>
      </c>
      <c r="B15" s="572" t="s">
        <v>51</v>
      </c>
      <c r="C15" s="573">
        <v>44834</v>
      </c>
      <c r="D15" s="574">
        <v>5716000000</v>
      </c>
      <c r="E15" s="573" t="s">
        <v>272</v>
      </c>
      <c r="F15" s="573"/>
      <c r="G15" s="575">
        <v>4001199999.9999995</v>
      </c>
      <c r="H15" s="581"/>
      <c r="I15" s="576">
        <f>G15*10/1000</f>
        <v>40011999.999999993</v>
      </c>
      <c r="J15" s="577">
        <f t="shared" si="2"/>
        <v>21606480</v>
      </c>
      <c r="K15" s="577">
        <f t="shared" si="3"/>
        <v>61618479.999999993</v>
      </c>
      <c r="L15" s="577">
        <f t="shared" si="4"/>
        <v>30809239.999999996</v>
      </c>
      <c r="M15" s="577"/>
      <c r="N15" s="564"/>
      <c r="Z15" s="965"/>
      <c r="AA15" s="966"/>
      <c r="AB15" s="966"/>
      <c r="AC15" s="966"/>
      <c r="AD15" s="967"/>
    </row>
    <row r="16" spans="1:30">
      <c r="A16" s="572" t="s">
        <v>296</v>
      </c>
      <c r="B16" s="572" t="s">
        <v>51</v>
      </c>
      <c r="C16" s="573">
        <v>44834</v>
      </c>
      <c r="D16" s="574">
        <v>3715050914</v>
      </c>
      <c r="E16" s="573" t="s">
        <v>272</v>
      </c>
      <c r="F16" s="573"/>
      <c r="G16" s="575">
        <v>2600535639.7999997</v>
      </c>
      <c r="H16" s="581"/>
      <c r="I16" s="576">
        <f>G16*10/1000</f>
        <v>26005356.397999994</v>
      </c>
      <c r="J16" s="577">
        <f t="shared" si="2"/>
        <v>14042892.454919999</v>
      </c>
      <c r="K16" s="577">
        <f t="shared" si="3"/>
        <v>40048248.852919996</v>
      </c>
      <c r="L16" s="577">
        <f t="shared" si="4"/>
        <v>20024124.426459998</v>
      </c>
      <c r="M16" s="577"/>
      <c r="N16" s="564"/>
      <c r="Z16" s="968"/>
      <c r="AA16" s="969"/>
      <c r="AB16" s="969"/>
      <c r="AC16" s="969"/>
      <c r="AD16" s="970"/>
    </row>
    <row r="17" spans="1:14">
      <c r="A17" s="572" t="s">
        <v>298</v>
      </c>
      <c r="B17" s="572" t="s">
        <v>42</v>
      </c>
      <c r="C17" s="573">
        <v>44834</v>
      </c>
      <c r="D17" s="574">
        <v>4670000000</v>
      </c>
      <c r="E17" s="573" t="s">
        <v>272</v>
      </c>
      <c r="F17" s="573"/>
      <c r="G17" s="575">
        <v>3269000000</v>
      </c>
      <c r="H17" s="581"/>
      <c r="I17" s="576">
        <f>G17*10/1000</f>
        <v>32690000</v>
      </c>
      <c r="J17" s="577">
        <f t="shared" si="2"/>
        <v>17652600</v>
      </c>
      <c r="K17" s="577">
        <f t="shared" si="3"/>
        <v>50342600</v>
      </c>
      <c r="L17" s="577">
        <f t="shared" si="4"/>
        <v>25171300</v>
      </c>
      <c r="M17" s="577"/>
      <c r="N17" s="564"/>
    </row>
    <row r="18" spans="1:14">
      <c r="A18" s="572" t="s">
        <v>299</v>
      </c>
      <c r="B18" s="572" t="s">
        <v>42</v>
      </c>
      <c r="C18" s="573">
        <v>44834</v>
      </c>
      <c r="D18" s="574">
        <v>376005799</v>
      </c>
      <c r="E18" s="573" t="s">
        <v>272</v>
      </c>
      <c r="F18" s="573"/>
      <c r="G18" s="575">
        <v>263204059.29999998</v>
      </c>
      <c r="H18" s="581"/>
      <c r="I18" s="576">
        <f>G18*10/1000</f>
        <v>2632040.5929999999</v>
      </c>
      <c r="J18" s="577">
        <f t="shared" si="2"/>
        <v>1421301.9202199997</v>
      </c>
      <c r="K18" s="577">
        <f t="shared" si="3"/>
        <v>4053342.5132199996</v>
      </c>
      <c r="L18" s="577">
        <f t="shared" si="4"/>
        <v>2026671.2566099998</v>
      </c>
      <c r="M18" s="577"/>
      <c r="N18" s="564"/>
    </row>
    <row r="19" spans="1:14">
      <c r="A19" s="572" t="s">
        <v>303</v>
      </c>
      <c r="B19" s="572" t="s">
        <v>304</v>
      </c>
      <c r="C19" s="573">
        <v>44876</v>
      </c>
      <c r="D19" s="574">
        <v>86600000</v>
      </c>
      <c r="E19" s="573" t="s">
        <v>272</v>
      </c>
      <c r="F19" s="573"/>
      <c r="G19" s="575">
        <v>86600000</v>
      </c>
      <c r="H19" s="581"/>
      <c r="I19" s="576"/>
      <c r="J19" s="577"/>
      <c r="K19" s="577">
        <f t="shared" si="3"/>
        <v>0</v>
      </c>
      <c r="L19" s="577">
        <f t="shared" si="4"/>
        <v>0</v>
      </c>
      <c r="M19" s="577"/>
      <c r="N19" s="564"/>
    </row>
    <row r="20" spans="1:14">
      <c r="A20" s="572" t="s">
        <v>305</v>
      </c>
      <c r="B20" s="572" t="s">
        <v>306</v>
      </c>
      <c r="C20" s="573">
        <v>44876</v>
      </c>
      <c r="D20" s="574">
        <v>99400000</v>
      </c>
      <c r="E20" s="573" t="s">
        <v>272</v>
      </c>
      <c r="F20" s="573"/>
      <c r="G20" s="575">
        <v>99400000</v>
      </c>
      <c r="H20" s="581"/>
      <c r="I20" s="576"/>
      <c r="J20" s="577"/>
      <c r="K20" s="577">
        <f t="shared" si="3"/>
        <v>0</v>
      </c>
      <c r="L20" s="577">
        <f t="shared" si="4"/>
        <v>0</v>
      </c>
      <c r="M20" s="577"/>
      <c r="N20" s="564"/>
    </row>
    <row r="21" spans="1:14">
      <c r="A21" s="572" t="s">
        <v>322</v>
      </c>
      <c r="B21" s="572" t="s">
        <v>323</v>
      </c>
      <c r="C21" s="573">
        <v>44834</v>
      </c>
      <c r="D21" s="574">
        <v>1337400000</v>
      </c>
      <c r="E21" s="573" t="s">
        <v>311</v>
      </c>
      <c r="F21" s="573"/>
      <c r="G21" s="575">
        <v>936180000</v>
      </c>
      <c r="H21" s="581"/>
      <c r="I21" s="576">
        <f>G21*10/1000</f>
        <v>9361800</v>
      </c>
      <c r="J21" s="577">
        <f t="shared" si="2"/>
        <v>5055372.0000000009</v>
      </c>
      <c r="K21" s="577">
        <f t="shared" si="3"/>
        <v>14417172</v>
      </c>
      <c r="L21" s="577">
        <f t="shared" si="4"/>
        <v>7208586</v>
      </c>
      <c r="M21" s="577"/>
      <c r="N21" s="564"/>
    </row>
    <row r="22" spans="1:14">
      <c r="A22" s="572" t="s">
        <v>324</v>
      </c>
      <c r="B22" s="572" t="s">
        <v>323</v>
      </c>
      <c r="C22" s="573">
        <v>44834</v>
      </c>
      <c r="D22" s="574">
        <v>1560287940</v>
      </c>
      <c r="E22" s="573" t="s">
        <v>311</v>
      </c>
      <c r="F22" s="573"/>
      <c r="G22" s="575">
        <v>1092201558</v>
      </c>
      <c r="H22" s="581"/>
      <c r="I22" s="576">
        <f>G22*10/1000</f>
        <v>10922015.58</v>
      </c>
      <c r="J22" s="577">
        <f t="shared" si="2"/>
        <v>5897888.4132000003</v>
      </c>
      <c r="K22" s="577">
        <f t="shared" si="3"/>
        <v>16819903.9932</v>
      </c>
      <c r="L22" s="577">
        <f t="shared" si="4"/>
        <v>8409951.9966000002</v>
      </c>
      <c r="M22" s="577"/>
      <c r="N22" s="564"/>
    </row>
    <row r="23" spans="1:14">
      <c r="A23" s="201" t="s">
        <v>2841</v>
      </c>
      <c r="B23" s="201"/>
      <c r="C23" s="201"/>
      <c r="D23" s="201"/>
      <c r="E23" s="201"/>
      <c r="F23" s="201"/>
      <c r="G23" s="582">
        <v>11400000</v>
      </c>
      <c r="H23" s="472"/>
      <c r="I23" s="583"/>
      <c r="J23" s="584"/>
      <c r="K23" s="584"/>
      <c r="L23" s="577">
        <f>G23</f>
        <v>11400000</v>
      </c>
      <c r="M23" s="577"/>
      <c r="N23" s="564"/>
    </row>
    <row r="24" spans="1:14">
      <c r="A24" s="201"/>
      <c r="B24" s="201"/>
      <c r="C24" s="201"/>
      <c r="D24" s="201"/>
      <c r="E24" s="201"/>
      <c r="F24" s="201"/>
      <c r="G24" s="585">
        <f>SUBTOTAL(9,G7:G23)</f>
        <v>14502221257.099998</v>
      </c>
      <c r="H24" s="585">
        <f>SUBTOTAL(9,H7:H23)</f>
        <v>5648859855.5690002</v>
      </c>
      <c r="I24" s="585">
        <f t="shared" ref="I24:M24" si="9">SUBTOTAL(9,I7:I23)</f>
        <v>199436811.12669</v>
      </c>
      <c r="J24" s="585">
        <f t="shared" si="9"/>
        <v>107695878.0084126</v>
      </c>
      <c r="K24" s="585">
        <f t="shared" si="9"/>
        <v>307132689.13510263</v>
      </c>
      <c r="L24" s="585">
        <f t="shared" si="9"/>
        <v>121470123.67967001</v>
      </c>
      <c r="M24" s="585">
        <f t="shared" si="9"/>
        <v>43496220.887881294</v>
      </c>
      <c r="N24" s="586"/>
    </row>
  </sheetData>
  <mergeCells count="4">
    <mergeCell ref="Z7:AD10"/>
    <mergeCell ref="Z11:AD12"/>
    <mergeCell ref="Z13:AD16"/>
    <mergeCell ref="O5:X5"/>
  </mergeCells>
  <phoneticPr fontId="30" type="noConversion"/>
  <pageMargins left="0.7" right="0.7" top="0.75" bottom="0.75" header="0.3" footer="0.3"/>
  <drawing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8"/>
  <sheetViews>
    <sheetView showGridLines="0" workbookViewId="0">
      <pane ySplit="5" topLeftCell="A6" activePane="bottomLeft" state="frozen"/>
      <selection pane="bottomLeft" activeCell="B15" sqref="B15"/>
    </sheetView>
  </sheetViews>
  <sheetFormatPr baseColWidth="10" defaultRowHeight="15"/>
  <cols>
    <col min="1" max="1" width="26" style="483" customWidth="1"/>
    <col min="2" max="2" width="54.28515625" style="483" bestFit="1" customWidth="1"/>
    <col min="3" max="3" width="14.7109375" style="545" customWidth="1"/>
    <col min="4" max="4" width="10.5703125" style="545" bestFit="1" customWidth="1"/>
    <col min="5" max="12" width="14.7109375" style="545" customWidth="1"/>
    <col min="13" max="13" width="39.140625" style="483" customWidth="1"/>
    <col min="14" max="16384" width="11.42578125" style="483"/>
  </cols>
  <sheetData>
    <row r="1" spans="1:13">
      <c r="D1" s="155" t="s">
        <v>436</v>
      </c>
      <c r="E1" s="148"/>
      <c r="F1" s="148"/>
      <c r="G1" s="148"/>
      <c r="H1" s="148"/>
      <c r="I1" s="148"/>
      <c r="J1" s="148"/>
      <c r="K1" s="148"/>
      <c r="L1" s="148"/>
    </row>
    <row r="2" spans="1:13">
      <c r="D2" s="588">
        <v>2025</v>
      </c>
      <c r="E2" s="588">
        <v>2026</v>
      </c>
      <c r="F2" s="588">
        <v>2027</v>
      </c>
      <c r="G2" s="588">
        <v>2028</v>
      </c>
      <c r="H2" s="588">
        <v>2029</v>
      </c>
      <c r="I2" s="588">
        <v>2030</v>
      </c>
      <c r="J2" s="588">
        <v>2031</v>
      </c>
      <c r="K2" s="588">
        <v>2032</v>
      </c>
      <c r="L2" s="588">
        <v>2033</v>
      </c>
    </row>
    <row r="3" spans="1:13">
      <c r="A3" s="587"/>
      <c r="B3" s="587"/>
      <c r="D3" s="429">
        <f>+'IPC - CAFÉ'!E24</f>
        <v>0.06</v>
      </c>
      <c r="E3" s="429">
        <f>+'IPC - CAFÉ'!F24</f>
        <v>4.5975144331782153E-2</v>
      </c>
      <c r="F3" s="429">
        <f>+'IPC - CAFÉ'!G24</f>
        <v>4.7225144331782154E-2</v>
      </c>
      <c r="G3" s="429">
        <f>+'IPC - CAFÉ'!H24</f>
        <v>4.8475144331782155E-2</v>
      </c>
      <c r="H3" s="429">
        <f>+'IPC - CAFÉ'!I24</f>
        <v>4.9725144331782156E-2</v>
      </c>
      <c r="I3" s="429">
        <f>+'IPC - CAFÉ'!J24</f>
        <v>5.0975144331782157E-2</v>
      </c>
      <c r="J3" s="429">
        <f>+'IPC - CAFÉ'!K24</f>
        <v>5.2225144331782158E-2</v>
      </c>
      <c r="K3" s="429">
        <f>+'IPC - CAFÉ'!L24</f>
        <v>5.347514433178216E-2</v>
      </c>
      <c r="L3" s="429">
        <f>+'IPC - CAFÉ'!M24</f>
        <v>5.4725144331782161E-2</v>
      </c>
    </row>
    <row r="4" spans="1:13" ht="16.149999999999999" customHeight="1"/>
    <row r="5" spans="1:13">
      <c r="A5" s="485" t="s">
        <v>647</v>
      </c>
      <c r="B5" s="485" t="s">
        <v>505</v>
      </c>
      <c r="C5" s="589" t="s">
        <v>226</v>
      </c>
      <c r="D5" s="589" t="s">
        <v>227</v>
      </c>
      <c r="E5" s="589" t="s">
        <v>228</v>
      </c>
      <c r="F5" s="589" t="s">
        <v>229</v>
      </c>
      <c r="G5" s="589" t="s">
        <v>230</v>
      </c>
      <c r="H5" s="589" t="s">
        <v>231</v>
      </c>
      <c r="I5" s="589" t="s">
        <v>232</v>
      </c>
      <c r="J5" s="589" t="s">
        <v>233</v>
      </c>
      <c r="K5" s="589" t="s">
        <v>3010</v>
      </c>
      <c r="L5" s="589" t="s">
        <v>3011</v>
      </c>
      <c r="M5" s="589" t="s">
        <v>2856</v>
      </c>
    </row>
    <row r="6" spans="1:13" ht="39">
      <c r="A6" s="1001" t="s">
        <v>2844</v>
      </c>
      <c r="B6" s="590" t="s">
        <v>2845</v>
      </c>
      <c r="C6" s="591">
        <v>5000000</v>
      </c>
      <c r="D6" s="591">
        <v>1200000</v>
      </c>
      <c r="E6" s="591">
        <v>1260000</v>
      </c>
      <c r="F6" s="591">
        <v>1323000</v>
      </c>
      <c r="G6" s="591">
        <v>1389150</v>
      </c>
      <c r="H6" s="591">
        <f>+G6*(1+H$3)</f>
        <v>1458225.6842484951</v>
      </c>
      <c r="I6" s="591">
        <f t="shared" ref="I6:L6" si="0">+H6*(1+I$3)</f>
        <v>1532558.948971374</v>
      </c>
      <c r="J6" s="591">
        <f t="shared" si="0"/>
        <v>1612597.0612783681</v>
      </c>
      <c r="K6" s="591">
        <f t="shared" si="0"/>
        <v>1698830.9218792368</v>
      </c>
      <c r="L6" s="591">
        <f t="shared" si="0"/>
        <v>1791799.6892743728</v>
      </c>
      <c r="M6" s="592" t="s">
        <v>2846</v>
      </c>
    </row>
    <row r="7" spans="1:13">
      <c r="A7" s="1001"/>
      <c r="B7" s="590" t="s">
        <v>2847</v>
      </c>
      <c r="C7" s="591">
        <v>1500000</v>
      </c>
      <c r="D7" s="591">
        <v>1590000</v>
      </c>
      <c r="E7" s="591">
        <v>1669500</v>
      </c>
      <c r="F7" s="591">
        <v>1752975</v>
      </c>
      <c r="G7" s="591">
        <v>1840623.75</v>
      </c>
      <c r="H7" s="591">
        <f t="shared" ref="H7:L15" si="1">+G7*(1+H$3)</f>
        <v>1932149.031629256</v>
      </c>
      <c r="I7" s="591">
        <f t="shared" si="1"/>
        <v>2030640.6073870703</v>
      </c>
      <c r="J7" s="591">
        <f t="shared" si="1"/>
        <v>2136691.1061938377</v>
      </c>
      <c r="K7" s="591">
        <f t="shared" si="1"/>
        <v>2250950.9714899887</v>
      </c>
      <c r="L7" s="591">
        <f t="shared" si="1"/>
        <v>2374134.5882885437</v>
      </c>
      <c r="M7" s="592" t="s">
        <v>2848</v>
      </c>
    </row>
    <row r="8" spans="1:13">
      <c r="A8" s="1001"/>
      <c r="B8" s="590" t="s">
        <v>2849</v>
      </c>
      <c r="C8" s="591">
        <v>0</v>
      </c>
      <c r="D8" s="591">
        <v>2600000</v>
      </c>
      <c r="E8" s="591">
        <v>0</v>
      </c>
      <c r="F8" s="591">
        <v>2860000</v>
      </c>
      <c r="G8" s="591">
        <v>0</v>
      </c>
      <c r="H8" s="591">
        <v>3002213.9127888968</v>
      </c>
      <c r="I8" s="591">
        <v>0</v>
      </c>
      <c r="J8" s="591">
        <v>3159004.9676991813</v>
      </c>
      <c r="K8" s="591">
        <v>0</v>
      </c>
      <c r="L8" s="591">
        <f>+J8*(1+L$3)</f>
        <v>3331881.9705013358</v>
      </c>
      <c r="M8" s="592" t="s">
        <v>2848</v>
      </c>
    </row>
    <row r="9" spans="1:13">
      <c r="A9" s="1001"/>
      <c r="B9" s="484" t="s">
        <v>396</v>
      </c>
      <c r="C9" s="593">
        <v>6500000</v>
      </c>
      <c r="D9" s="593">
        <v>5390000</v>
      </c>
      <c r="E9" s="593">
        <v>2929500</v>
      </c>
      <c r="F9" s="593">
        <v>5935975</v>
      </c>
      <c r="G9" s="593">
        <v>3229773.75</v>
      </c>
      <c r="H9" s="593">
        <f t="shared" ref="H9" si="2">SUM(H6:H8)</f>
        <v>6392588.6286666477</v>
      </c>
      <c r="I9" s="593">
        <f t="shared" ref="I9:L9" si="3">SUM(I6:I8)</f>
        <v>3563199.5563584445</v>
      </c>
      <c r="J9" s="593">
        <f t="shared" si="3"/>
        <v>6908293.1351713873</v>
      </c>
      <c r="K9" s="593">
        <f t="shared" si="3"/>
        <v>3949781.8933692258</v>
      </c>
      <c r="L9" s="593">
        <f t="shared" si="3"/>
        <v>7497816.2480642516</v>
      </c>
      <c r="M9" s="592"/>
    </row>
    <row r="10" spans="1:13" ht="30">
      <c r="A10" s="1001" t="s">
        <v>2850</v>
      </c>
      <c r="B10" s="590" t="s">
        <v>2845</v>
      </c>
      <c r="C10" s="591">
        <v>2500000</v>
      </c>
      <c r="D10" s="591">
        <v>2650000</v>
      </c>
      <c r="E10" s="591">
        <v>2782500</v>
      </c>
      <c r="F10" s="591">
        <v>2921625</v>
      </c>
      <c r="G10" s="591">
        <v>3067706.25</v>
      </c>
      <c r="H10" s="591">
        <f t="shared" si="1"/>
        <v>3220248.3860487598</v>
      </c>
      <c r="I10" s="591">
        <f t="shared" si="1"/>
        <v>3384401.0123117836</v>
      </c>
      <c r="J10" s="591">
        <f t="shared" si="1"/>
        <v>3561151.8436563956</v>
      </c>
      <c r="K10" s="591">
        <f t="shared" si="1"/>
        <v>3751584.9524833136</v>
      </c>
      <c r="L10" s="591">
        <f t="shared" si="1"/>
        <v>3956890.9804809052</v>
      </c>
      <c r="M10" s="592" t="s">
        <v>2851</v>
      </c>
    </row>
    <row r="11" spans="1:13">
      <c r="A11" s="1001"/>
      <c r="B11" s="590" t="s">
        <v>2852</v>
      </c>
      <c r="C11" s="591">
        <v>3900000</v>
      </c>
      <c r="D11" s="591">
        <v>4134000</v>
      </c>
      <c r="E11" s="591">
        <v>4340700</v>
      </c>
      <c r="F11" s="591">
        <v>4557735</v>
      </c>
      <c r="G11" s="591">
        <v>4785621.75</v>
      </c>
      <c r="H11" s="591">
        <f t="shared" si="1"/>
        <v>5023587.4822360659</v>
      </c>
      <c r="I11" s="591">
        <f t="shared" si="1"/>
        <v>5279665.5792063829</v>
      </c>
      <c r="J11" s="591">
        <f t="shared" si="1"/>
        <v>5555396.8761039777</v>
      </c>
      <c r="K11" s="591">
        <f t="shared" si="1"/>
        <v>5852472.5258739702</v>
      </c>
      <c r="L11" s="591">
        <f t="shared" si="1"/>
        <v>6172749.9295502137</v>
      </c>
      <c r="M11" s="592" t="s">
        <v>2853</v>
      </c>
    </row>
    <row r="12" spans="1:13">
      <c r="A12" s="1001"/>
      <c r="B12" s="590" t="s">
        <v>2854</v>
      </c>
      <c r="C12" s="591">
        <v>8360000</v>
      </c>
      <c r="D12" s="591">
        <v>0</v>
      </c>
      <c r="E12" s="591">
        <v>9279600</v>
      </c>
      <c r="F12" s="591">
        <v>0</v>
      </c>
      <c r="G12" s="591">
        <v>10207560</v>
      </c>
      <c r="H12" s="591">
        <v>0</v>
      </c>
      <c r="I12" s="591">
        <v>11261337.814607665</v>
      </c>
      <c r="J12" s="591">
        <v>0</v>
      </c>
      <c r="K12" s="591">
        <f>+I12*(1+K$3)</f>
        <v>11863539.479612768</v>
      </c>
      <c r="L12" s="591">
        <v>0</v>
      </c>
      <c r="M12" s="592" t="s">
        <v>2853</v>
      </c>
    </row>
    <row r="13" spans="1:13">
      <c r="A13" s="1001"/>
      <c r="B13" s="484" t="s">
        <v>396</v>
      </c>
      <c r="C13" s="593">
        <v>14760000</v>
      </c>
      <c r="D13" s="593">
        <v>6784000</v>
      </c>
      <c r="E13" s="593">
        <v>16402800</v>
      </c>
      <c r="F13" s="593">
        <v>7479360</v>
      </c>
      <c r="G13" s="593">
        <v>18060888</v>
      </c>
      <c r="H13" s="593">
        <f t="shared" ref="H13" si="4">SUM(H10:H12)</f>
        <v>8243835.8682848252</v>
      </c>
      <c r="I13" s="593">
        <f t="shared" ref="I13:L13" si="5">SUM(I10:I12)</f>
        <v>19925404.406125832</v>
      </c>
      <c r="J13" s="593">
        <f t="shared" si="5"/>
        <v>9116548.7197603732</v>
      </c>
      <c r="K13" s="593">
        <f t="shared" si="5"/>
        <v>21467596.957970053</v>
      </c>
      <c r="L13" s="593">
        <f t="shared" si="5"/>
        <v>10129640.910031119</v>
      </c>
      <c r="M13" s="592"/>
    </row>
    <row r="14" spans="1:13" ht="30">
      <c r="A14" s="1001" t="s">
        <v>2855</v>
      </c>
      <c r="B14" s="590" t="s">
        <v>2845</v>
      </c>
      <c r="C14" s="591">
        <v>2000000</v>
      </c>
      <c r="D14" s="591">
        <v>2120000</v>
      </c>
      <c r="E14" s="591">
        <v>2226000</v>
      </c>
      <c r="F14" s="591">
        <v>2337300</v>
      </c>
      <c r="G14" s="591">
        <v>2454165</v>
      </c>
      <c r="H14" s="591">
        <f t="shared" si="1"/>
        <v>2576198.7088390081</v>
      </c>
      <c r="I14" s="591">
        <f t="shared" si="1"/>
        <v>2707520.8098494271</v>
      </c>
      <c r="J14" s="591">
        <f t="shared" si="1"/>
        <v>2848921.4749251166</v>
      </c>
      <c r="K14" s="591">
        <f t="shared" si="1"/>
        <v>3001267.9619866512</v>
      </c>
      <c r="L14" s="591">
        <f t="shared" si="1"/>
        <v>3165512.7843847247</v>
      </c>
      <c r="M14" s="592" t="s">
        <v>2851</v>
      </c>
    </row>
    <row r="15" spans="1:13">
      <c r="A15" s="1001"/>
      <c r="B15" s="590" t="s">
        <v>2852</v>
      </c>
      <c r="C15" s="591">
        <v>3000000</v>
      </c>
      <c r="D15" s="591">
        <v>3180000</v>
      </c>
      <c r="E15" s="591">
        <v>3339000</v>
      </c>
      <c r="F15" s="591">
        <v>3505950</v>
      </c>
      <c r="G15" s="591">
        <v>3681247.5</v>
      </c>
      <c r="H15" s="591">
        <f t="shared" si="1"/>
        <v>3864298.0632585119</v>
      </c>
      <c r="I15" s="591">
        <f t="shared" si="1"/>
        <v>4061281.2147741406</v>
      </c>
      <c r="J15" s="591">
        <f t="shared" si="1"/>
        <v>4273382.2123876754</v>
      </c>
      <c r="K15" s="591">
        <f t="shared" si="1"/>
        <v>4501901.9429799775</v>
      </c>
      <c r="L15" s="591">
        <f t="shared" si="1"/>
        <v>4748269.1765770875</v>
      </c>
      <c r="M15" s="592"/>
    </row>
    <row r="16" spans="1:13">
      <c r="A16" s="1001"/>
      <c r="B16" s="590" t="s">
        <v>2854</v>
      </c>
      <c r="C16" s="591">
        <v>5000000</v>
      </c>
      <c r="D16" s="591">
        <v>0</v>
      </c>
      <c r="E16" s="591">
        <v>5550000.0000000009</v>
      </c>
      <c r="F16" s="591">
        <v>0</v>
      </c>
      <c r="G16" s="591">
        <v>6105000.0000000019</v>
      </c>
      <c r="H16" s="591">
        <v>0</v>
      </c>
      <c r="I16" s="591">
        <v>6735249.8891194183</v>
      </c>
      <c r="J16" s="591">
        <v>0</v>
      </c>
      <c r="K16" s="591">
        <f>+I16*(1+K$3)</f>
        <v>7095418.3490506997</v>
      </c>
      <c r="L16" s="591">
        <v>0</v>
      </c>
      <c r="M16" s="592"/>
    </row>
    <row r="17" spans="1:13">
      <c r="A17" s="1001"/>
      <c r="B17" s="484" t="s">
        <v>396</v>
      </c>
      <c r="C17" s="593">
        <f>SUM(C14:C16)</f>
        <v>10000000</v>
      </c>
      <c r="D17" s="593">
        <f>SUM(D14:D16)</f>
        <v>5300000</v>
      </c>
      <c r="E17" s="593">
        <f>SUM(E14:E16)</f>
        <v>11115000</v>
      </c>
      <c r="F17" s="593">
        <f>SUM(F14:F16)</f>
        <v>5843250</v>
      </c>
      <c r="G17" s="593">
        <f>SUM(G14:G16)</f>
        <v>12240412.500000002</v>
      </c>
      <c r="H17" s="593">
        <f t="shared" ref="H17:L17" si="6">SUM(H14:H16)</f>
        <v>6440496.7720975205</v>
      </c>
      <c r="I17" s="593">
        <f t="shared" si="6"/>
        <v>13504051.913742986</v>
      </c>
      <c r="J17" s="593">
        <f t="shared" si="6"/>
        <v>7122303.6873127921</v>
      </c>
      <c r="K17" s="593">
        <f t="shared" si="6"/>
        <v>14598588.254017327</v>
      </c>
      <c r="L17" s="593">
        <f t="shared" si="6"/>
        <v>7913781.9609618122</v>
      </c>
      <c r="M17" s="592"/>
    </row>
    <row r="18" spans="1:13">
      <c r="A18" s="1002" t="s">
        <v>1290</v>
      </c>
      <c r="B18" s="1002"/>
      <c r="C18" s="594">
        <f>C9+C13+C17</f>
        <v>31260000</v>
      </c>
      <c r="D18" s="594">
        <f>D9+D13+D17</f>
        <v>17474000</v>
      </c>
      <c r="E18" s="594">
        <f>E9+E13+E17</f>
        <v>30447300</v>
      </c>
      <c r="F18" s="594">
        <f>F9+F13+F17</f>
        <v>19258585</v>
      </c>
      <c r="G18" s="594">
        <f>G9+G13+G17</f>
        <v>33531074.25</v>
      </c>
      <c r="H18" s="594">
        <f t="shared" ref="H18:L18" si="7">H9+H13+H17</f>
        <v>21076921.269048993</v>
      </c>
      <c r="I18" s="594">
        <f t="shared" si="7"/>
        <v>36992655.87622726</v>
      </c>
      <c r="J18" s="594">
        <f t="shared" si="7"/>
        <v>23147145.542244554</v>
      </c>
      <c r="K18" s="594">
        <f t="shared" si="7"/>
        <v>40015967.105356604</v>
      </c>
      <c r="L18" s="594">
        <f t="shared" si="7"/>
        <v>25541239.119057182</v>
      </c>
      <c r="M18" s="592"/>
    </row>
  </sheetData>
  <autoFilter ref="A5:G17" xr:uid="{00000000-0009-0000-0000-000029000000}"/>
  <mergeCells count="4">
    <mergeCell ref="A6:A9"/>
    <mergeCell ref="A10:A13"/>
    <mergeCell ref="A14:A17"/>
    <mergeCell ref="A18:B18"/>
  </mergeCells>
  <phoneticPr fontId="30" type="noConversion"/>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14"/>
  <sheetViews>
    <sheetView showGridLines="0" workbookViewId="0">
      <selection activeCell="A15" sqref="A15"/>
    </sheetView>
  </sheetViews>
  <sheetFormatPr baseColWidth="10" defaultRowHeight="15"/>
  <cols>
    <col min="1" max="1" width="15.28515625" style="672" customWidth="1"/>
    <col min="2" max="2" width="38.85546875" style="672" bestFit="1" customWidth="1"/>
    <col min="3" max="3" width="11.42578125" style="672"/>
    <col min="4" max="4" width="26.85546875" style="672" bestFit="1" customWidth="1"/>
    <col min="5" max="5" width="12.7109375" style="672" bestFit="1" customWidth="1"/>
    <col min="6" max="6" width="11.42578125" style="672"/>
    <col min="7" max="7" width="12.7109375" style="672" bestFit="1" customWidth="1"/>
    <col min="8" max="8" width="16.7109375" style="672" bestFit="1" customWidth="1"/>
    <col min="9" max="9" width="11.42578125" style="672"/>
    <col min="10" max="10" width="12" style="672" bestFit="1" customWidth="1"/>
    <col min="11" max="12" width="12.5703125" style="672" bestFit="1" customWidth="1"/>
    <col min="13" max="13" width="11.42578125" style="672"/>
    <col min="14" max="15" width="12" style="672" bestFit="1" customWidth="1"/>
    <col min="16" max="20" width="12" style="672" customWidth="1"/>
    <col min="21" max="16384" width="11.42578125" style="672"/>
  </cols>
  <sheetData>
    <row r="1" spans="1:20" ht="30">
      <c r="A1" s="708" t="s">
        <v>515</v>
      </c>
      <c r="B1" s="708" t="s">
        <v>516</v>
      </c>
      <c r="C1" s="708" t="s">
        <v>656</v>
      </c>
      <c r="D1" s="708" t="s">
        <v>657</v>
      </c>
      <c r="E1" s="708" t="s">
        <v>663</v>
      </c>
      <c r="F1" s="708" t="s">
        <v>664</v>
      </c>
      <c r="G1" s="708" t="s">
        <v>665</v>
      </c>
      <c r="H1" s="707" t="s">
        <v>2982</v>
      </c>
      <c r="K1" s="706" t="s">
        <v>226</v>
      </c>
      <c r="L1" s="706" t="s">
        <v>227</v>
      </c>
      <c r="M1" s="706" t="s">
        <v>228</v>
      </c>
      <c r="N1" s="706" t="s">
        <v>229</v>
      </c>
      <c r="O1" s="706" t="s">
        <v>230</v>
      </c>
      <c r="P1" s="706" t="s">
        <v>231</v>
      </c>
      <c r="Q1" s="706" t="s">
        <v>232</v>
      </c>
      <c r="R1" s="706" t="s">
        <v>233</v>
      </c>
      <c r="S1" s="706" t="s">
        <v>3010</v>
      </c>
      <c r="T1" s="706" t="s">
        <v>3011</v>
      </c>
    </row>
    <row r="2" spans="1:20">
      <c r="A2" s="704" t="s">
        <v>2981</v>
      </c>
      <c r="B2" s="704" t="s">
        <v>2980</v>
      </c>
      <c r="C2" s="704" t="s">
        <v>2978</v>
      </c>
      <c r="D2" s="704" t="s">
        <v>2977</v>
      </c>
      <c r="E2" s="703">
        <v>79292014</v>
      </c>
      <c r="F2" s="703">
        <v>0</v>
      </c>
      <c r="G2" s="703">
        <v>79292014</v>
      </c>
      <c r="H2" s="702">
        <f>G2*2</f>
        <v>158584028</v>
      </c>
      <c r="K2" s="705">
        <f>H4</f>
        <v>162339044</v>
      </c>
      <c r="L2" s="705">
        <v>103734286.9064</v>
      </c>
      <c r="M2" s="705">
        <v>99685832.742588952</v>
      </c>
      <c r="N2" s="705">
        <v>103734286.9064</v>
      </c>
      <c r="O2" s="705">
        <v>103734286.9064</v>
      </c>
      <c r="P2" s="705">
        <f>+O2*(1+I8)</f>
        <v>108892489.29497524</v>
      </c>
      <c r="Q2" s="705">
        <f t="shared" ref="Q2:T2" si="0">+P2*(1+J8)</f>
        <v>114443299.65343364</v>
      </c>
      <c r="R2" s="705">
        <f t="shared" si="0"/>
        <v>120420117.49563959</v>
      </c>
      <c r="S2" s="705">
        <f t="shared" si="0"/>
        <v>126859600.65916909</v>
      </c>
      <c r="T2" s="705">
        <f t="shared" si="0"/>
        <v>133802010.61511438</v>
      </c>
    </row>
    <row r="3" spans="1:20">
      <c r="A3" s="704" t="s">
        <v>2979</v>
      </c>
      <c r="B3" s="704" t="s">
        <v>109</v>
      </c>
      <c r="C3" s="704" t="s">
        <v>2978</v>
      </c>
      <c r="D3" s="704" t="s">
        <v>2977</v>
      </c>
      <c r="E3" s="703">
        <v>312918</v>
      </c>
      <c r="F3" s="703">
        <v>0</v>
      </c>
      <c r="G3" s="703">
        <v>312918</v>
      </c>
      <c r="H3" s="702">
        <f>G3*12</f>
        <v>3755016</v>
      </c>
    </row>
    <row r="4" spans="1:20">
      <c r="A4" s="701"/>
      <c r="B4" s="701"/>
      <c r="C4" s="701"/>
      <c r="D4" s="701"/>
      <c r="E4" s="701"/>
      <c r="F4" s="701"/>
      <c r="G4" s="701"/>
      <c r="H4" s="700">
        <f>SUBTOTAL(9,H2:H3)</f>
        <v>162339044</v>
      </c>
    </row>
    <row r="7" spans="1:20">
      <c r="E7" s="699">
        <v>2025</v>
      </c>
      <c r="F7" s="699">
        <v>2026</v>
      </c>
      <c r="G7" s="699">
        <v>2027</v>
      </c>
      <c r="H7" s="699">
        <v>2028</v>
      </c>
      <c r="I7" s="699">
        <v>2029</v>
      </c>
      <c r="J7" s="699">
        <v>2030</v>
      </c>
      <c r="K7" s="699">
        <v>2031</v>
      </c>
      <c r="L7" s="699">
        <v>2032</v>
      </c>
      <c r="M7" s="699">
        <v>2033</v>
      </c>
    </row>
    <row r="8" spans="1:20">
      <c r="E8" s="698">
        <f>+'IPC - CAFÉ'!E24</f>
        <v>0.06</v>
      </c>
      <c r="F8" s="698">
        <f>+'IPC - CAFÉ'!F24</f>
        <v>4.5975144331782153E-2</v>
      </c>
      <c r="G8" s="698">
        <f>+'IPC - CAFÉ'!G24</f>
        <v>4.7225144331782154E-2</v>
      </c>
      <c r="H8" s="698">
        <f>+'IPC - CAFÉ'!H24</f>
        <v>4.8475144331782155E-2</v>
      </c>
      <c r="I8" s="698">
        <f>+'IPC - CAFÉ'!I24</f>
        <v>4.9725144331782156E-2</v>
      </c>
      <c r="J8" s="698">
        <f>+'IPC - CAFÉ'!J24</f>
        <v>5.0975144331782157E-2</v>
      </c>
      <c r="K8" s="698">
        <f>+'IPC - CAFÉ'!K24</f>
        <v>5.2225144331782158E-2</v>
      </c>
      <c r="L8" s="698">
        <f>+'IPC - CAFÉ'!L24</f>
        <v>5.347514433178216E-2</v>
      </c>
      <c r="M8" s="698">
        <f>+'IPC - CAFÉ'!M24</f>
        <v>5.4725144331782161E-2</v>
      </c>
    </row>
    <row r="9" spans="1:20">
      <c r="C9" s="672" t="s">
        <v>2976</v>
      </c>
      <c r="D9" s="695">
        <v>3755016</v>
      </c>
      <c r="E9" s="695">
        <v>4210874.9424000001</v>
      </c>
      <c r="F9" s="695">
        <v>4727338.7540853601</v>
      </c>
      <c r="G9" s="695">
        <v>5313056.0257165357</v>
      </c>
      <c r="H9" s="695">
        <v>5977984.9873349611</v>
      </c>
      <c r="I9" s="695">
        <v>5977985.9873349601</v>
      </c>
      <c r="J9" s="695">
        <v>5977986.9873349601</v>
      </c>
      <c r="K9" s="695">
        <v>5977987.9873349601</v>
      </c>
      <c r="L9" s="695">
        <v>5977988.9873349601</v>
      </c>
      <c r="M9" s="695">
        <v>5977989.9873349601</v>
      </c>
    </row>
    <row r="10" spans="1:20">
      <c r="L10" s="711"/>
      <c r="M10" s="711"/>
    </row>
    <row r="12" spans="1:20">
      <c r="K12" s="697"/>
      <c r="L12" s="697"/>
      <c r="M12" s="697"/>
      <c r="N12" s="697"/>
    </row>
    <row r="13" spans="1:20">
      <c r="L13" s="696"/>
      <c r="M13" s="696"/>
      <c r="N13" s="696"/>
    </row>
    <row r="14" spans="1:20">
      <c r="J14" s="695"/>
      <c r="K14" s="695"/>
      <c r="L14" s="695"/>
      <c r="M14" s="695"/>
      <c r="N14" s="695"/>
    </row>
  </sheetData>
  <phoneticPr fontId="30" type="noConversion"/>
  <pageMargins left="0.7" right="0.7" top="0.75" bottom="0.75" header="0.3" footer="0.3"/>
  <drawing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9"/>
  <sheetViews>
    <sheetView showGridLines="0" zoomScale="110" zoomScaleNormal="110" workbookViewId="0">
      <selection activeCell="B1" sqref="B1"/>
    </sheetView>
  </sheetViews>
  <sheetFormatPr baseColWidth="10" defaultRowHeight="15"/>
  <cols>
    <col min="1" max="1" width="34.28515625" style="638" customWidth="1"/>
    <col min="2" max="2" width="17.140625" style="638" customWidth="1"/>
    <col min="3" max="3" width="23" style="638" customWidth="1"/>
    <col min="4" max="4" width="18.42578125" style="638" bestFit="1" customWidth="1"/>
    <col min="5" max="5" width="13.85546875" style="638" bestFit="1" customWidth="1"/>
    <col min="6" max="6" width="11.42578125" style="638"/>
    <col min="7" max="7" width="15.140625" style="638" bestFit="1" customWidth="1"/>
    <col min="8" max="16384" width="11.42578125" style="638"/>
  </cols>
  <sheetData>
    <row r="1" spans="1:7">
      <c r="A1" s="636">
        <v>904362669</v>
      </c>
      <c r="B1" s="637">
        <f>A1/5</f>
        <v>180872533.80000001</v>
      </c>
      <c r="C1" s="636">
        <f>15000000/125*1500000*5*0.005*0.4</f>
        <v>1800000000</v>
      </c>
      <c r="D1" s="636">
        <f>C1/5</f>
        <v>360000000</v>
      </c>
      <c r="E1" s="637">
        <f>D1+B1</f>
        <v>540872533.79999995</v>
      </c>
    </row>
    <row r="2" spans="1:7">
      <c r="A2" s="639" t="s">
        <v>2941</v>
      </c>
      <c r="B2" s="640" t="s">
        <v>2942</v>
      </c>
      <c r="C2" s="640" t="s">
        <v>2943</v>
      </c>
      <c r="D2" s="640" t="s">
        <v>2944</v>
      </c>
    </row>
    <row r="3" spans="1:7">
      <c r="A3" s="641" t="s">
        <v>2945</v>
      </c>
      <c r="B3" s="642">
        <v>3000</v>
      </c>
      <c r="C3" s="643">
        <v>20000</v>
      </c>
      <c r="D3" s="644">
        <f>B3*C3</f>
        <v>60000000</v>
      </c>
    </row>
    <row r="4" spans="1:7">
      <c r="A4" s="641" t="s">
        <v>2946</v>
      </c>
      <c r="B4" s="642">
        <v>5500</v>
      </c>
      <c r="C4" s="643">
        <v>30000</v>
      </c>
      <c r="D4" s="644">
        <f t="shared" ref="D4:D8" si="0">B4*C4</f>
        <v>165000000</v>
      </c>
    </row>
    <row r="5" spans="1:7">
      <c r="A5" s="641" t="s">
        <v>2947</v>
      </c>
      <c r="B5" s="642">
        <v>1200</v>
      </c>
      <c r="C5" s="643">
        <v>30000</v>
      </c>
      <c r="D5" s="644">
        <f t="shared" si="0"/>
        <v>36000000</v>
      </c>
    </row>
    <row r="6" spans="1:7">
      <c r="A6" s="641" t="s">
        <v>2948</v>
      </c>
      <c r="B6" s="642">
        <v>600</v>
      </c>
      <c r="C6" s="643">
        <v>60000</v>
      </c>
      <c r="D6" s="644">
        <f t="shared" si="0"/>
        <v>36000000</v>
      </c>
    </row>
    <row r="7" spans="1:7">
      <c r="A7" s="641" t="s">
        <v>2949</v>
      </c>
      <c r="B7" s="642">
        <v>100</v>
      </c>
      <c r="C7" s="643">
        <v>500000</v>
      </c>
      <c r="D7" s="644">
        <f t="shared" si="0"/>
        <v>50000000</v>
      </c>
    </row>
    <row r="8" spans="1:7">
      <c r="A8" s="641" t="s">
        <v>2950</v>
      </c>
      <c r="B8" s="642">
        <v>7000</v>
      </c>
      <c r="C8" s="643">
        <v>20000</v>
      </c>
      <c r="D8" s="644">
        <f t="shared" si="0"/>
        <v>140000000</v>
      </c>
    </row>
    <row r="9" spans="1:7">
      <c r="A9" s="639" t="s">
        <v>396</v>
      </c>
      <c r="B9" s="645">
        <f>SUM(B3:B8)</f>
        <v>17400</v>
      </c>
      <c r="C9" s="641"/>
      <c r="D9" s="646">
        <f>SUM(D3:D8)</f>
        <v>487000000</v>
      </c>
      <c r="F9" s="749" t="s">
        <v>3027</v>
      </c>
      <c r="G9" s="750">
        <f>+B1*1.1</f>
        <v>198959787.18000004</v>
      </c>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2:Q20"/>
  <sheetViews>
    <sheetView showGridLines="0" topLeftCell="B1" workbookViewId="0">
      <selection activeCell="P8" sqref="P8"/>
    </sheetView>
  </sheetViews>
  <sheetFormatPr baseColWidth="10" defaultColWidth="11.5703125" defaultRowHeight="12.75"/>
  <cols>
    <col min="1" max="1" width="30" style="794" customWidth="1"/>
    <col min="2" max="2" width="13.140625" style="794" bestFit="1" customWidth="1"/>
    <col min="3" max="3" width="9.7109375" style="794" customWidth="1"/>
    <col min="4" max="4" width="12.28515625" style="794" bestFit="1" customWidth="1"/>
    <col min="5" max="6" width="11.5703125" style="794"/>
    <col min="7" max="11" width="12" style="794" bestFit="1" customWidth="1"/>
    <col min="12" max="16384" width="11.5703125" style="794"/>
  </cols>
  <sheetData>
    <row r="2" spans="1:17" ht="15">
      <c r="H2" s="1003" t="s">
        <v>436</v>
      </c>
      <c r="I2" s="1003"/>
      <c r="J2" s="1003"/>
      <c r="K2" s="1003"/>
    </row>
    <row r="3" spans="1:17" ht="15">
      <c r="H3" s="803" t="s">
        <v>226</v>
      </c>
      <c r="I3" s="803" t="s">
        <v>227</v>
      </c>
      <c r="J3" s="803" t="s">
        <v>228</v>
      </c>
      <c r="K3" s="803" t="s">
        <v>229</v>
      </c>
      <c r="L3" s="803" t="s">
        <v>230</v>
      </c>
      <c r="M3" s="803" t="s">
        <v>231</v>
      </c>
      <c r="N3" s="803" t="s">
        <v>232</v>
      </c>
      <c r="O3" s="803" t="s">
        <v>233</v>
      </c>
      <c r="P3" s="803" t="s">
        <v>3010</v>
      </c>
      <c r="Q3" s="803" t="s">
        <v>3011</v>
      </c>
    </row>
    <row r="4" spans="1:17" ht="15">
      <c r="H4" s="795">
        <f>+'IPC - CAFÉ'!E24</f>
        <v>0.06</v>
      </c>
      <c r="I4" s="795">
        <f>+'IPC - CAFÉ'!F24</f>
        <v>4.5975144331782153E-2</v>
      </c>
      <c r="J4" s="795">
        <f>+'IPC - CAFÉ'!G24</f>
        <v>4.7225144331782154E-2</v>
      </c>
      <c r="K4" s="795">
        <f>+'IPC - CAFÉ'!H24</f>
        <v>4.8475144331782155E-2</v>
      </c>
      <c r="L4" s="795">
        <f>+'IPC - CAFÉ'!I24</f>
        <v>4.9725144331782156E-2</v>
      </c>
      <c r="M4" s="795">
        <f>+'IPC - CAFÉ'!J24</f>
        <v>5.0975144331782157E-2</v>
      </c>
      <c r="N4" s="795">
        <f>+'IPC - CAFÉ'!K24</f>
        <v>5.2225144331782158E-2</v>
      </c>
      <c r="O4" s="795">
        <f>+'IPC - CAFÉ'!L24</f>
        <v>5.347514433178216E-2</v>
      </c>
      <c r="P4" s="795">
        <f>+'IPC - CAFÉ'!M24</f>
        <v>5.4725144331782161E-2</v>
      </c>
      <c r="Q4" s="795">
        <f>+'IPC - CAFÉ'!N24</f>
        <v>5.5975144331782162E-2</v>
      </c>
    </row>
    <row r="5" spans="1:17" ht="18.75">
      <c r="A5" s="1004" t="s">
        <v>3035</v>
      </c>
      <c r="B5" s="1004"/>
      <c r="C5" s="1004"/>
      <c r="D5" s="1004"/>
      <c r="E5" s="796"/>
      <c r="F5" s="796"/>
    </row>
    <row r="7" spans="1:17" s="798" customFormat="1" ht="41.45" customHeight="1">
      <c r="A7" s="797" t="s">
        <v>460</v>
      </c>
      <c r="B7" s="797" t="s">
        <v>515</v>
      </c>
      <c r="C7" s="797" t="s">
        <v>3036</v>
      </c>
      <c r="D7" s="797" t="s">
        <v>3037</v>
      </c>
      <c r="G7" s="799" t="s">
        <v>226</v>
      </c>
      <c r="H7" s="799" t="s">
        <v>227</v>
      </c>
      <c r="I7" s="799" t="s">
        <v>228</v>
      </c>
      <c r="J7" s="799" t="s">
        <v>229</v>
      </c>
      <c r="K7" s="799" t="s">
        <v>230</v>
      </c>
      <c r="L7" s="799" t="s">
        <v>231</v>
      </c>
      <c r="M7" s="799" t="s">
        <v>232</v>
      </c>
      <c r="N7" s="799" t="s">
        <v>233</v>
      </c>
      <c r="O7" s="799" t="s">
        <v>3010</v>
      </c>
      <c r="P7" s="799" t="s">
        <v>3011</v>
      </c>
    </row>
    <row r="8" spans="1:17">
      <c r="A8" s="800" t="s">
        <v>3038</v>
      </c>
      <c r="B8" s="800">
        <v>550669</v>
      </c>
      <c r="C8" s="801">
        <v>1300000</v>
      </c>
      <c r="D8" s="801">
        <v>18824000</v>
      </c>
      <c r="G8" s="801">
        <f>+D20</f>
        <v>398688719.44959998</v>
      </c>
      <c r="H8" s="801">
        <f>+G8*(1+H4)</f>
        <v>422610042.61657602</v>
      </c>
      <c r="I8" s="801">
        <f t="shared" ref="I8:K8" si="0">+H8*(1+I4)</f>
        <v>442039600.32193375</v>
      </c>
      <c r="J8" s="801">
        <f t="shared" si="0"/>
        <v>462914984.24750036</v>
      </c>
      <c r="K8" s="801">
        <f t="shared" si="0"/>
        <v>485354854.92224258</v>
      </c>
      <c r="L8" s="801">
        <f t="shared" ref="L8" si="1">+K8*(1+L4)</f>
        <v>509489195.13538224</v>
      </c>
      <c r="M8" s="801">
        <f t="shared" ref="M8" si="2">+L8*(1+M4)</f>
        <v>535460480.39289182</v>
      </c>
      <c r="N8" s="801">
        <f t="shared" ref="N8" si="3">+M8*(1+N4)</f>
        <v>563424981.26537597</v>
      </c>
      <c r="O8" s="801">
        <f t="shared" ref="O8" si="4">+N8*(1+O4)</f>
        <v>593554213.45867372</v>
      </c>
      <c r="P8" s="801">
        <f t="shared" ref="P8" si="5">+O8*(1+P4)</f>
        <v>626036553.45893705</v>
      </c>
    </row>
    <row r="9" spans="1:17">
      <c r="A9" s="800" t="s">
        <v>3039</v>
      </c>
      <c r="B9" s="800">
        <v>567577</v>
      </c>
      <c r="C9" s="801">
        <v>1644095.7439999999</v>
      </c>
      <c r="D9" s="801">
        <v>23017340.416000001</v>
      </c>
    </row>
    <row r="10" spans="1:17">
      <c r="A10" s="800" t="s">
        <v>3040</v>
      </c>
      <c r="B10" s="800">
        <v>719660</v>
      </c>
      <c r="C10" s="801">
        <v>1413847.1551999999</v>
      </c>
      <c r="D10" s="801">
        <v>21151336.172799997</v>
      </c>
    </row>
    <row r="11" spans="1:17">
      <c r="A11" s="800" t="s">
        <v>3041</v>
      </c>
      <c r="B11" s="800">
        <v>21452195</v>
      </c>
      <c r="C11" s="801">
        <v>1300000</v>
      </c>
      <c r="D11" s="801">
        <v>18824000</v>
      </c>
    </row>
    <row r="12" spans="1:17">
      <c r="A12" s="800" t="s">
        <v>3042</v>
      </c>
      <c r="B12" s="800">
        <v>21458714</v>
      </c>
      <c r="C12" s="801">
        <v>1868560.1424</v>
      </c>
      <c r="D12" s="801">
        <v>26159841.9936</v>
      </c>
    </row>
    <row r="13" spans="1:17">
      <c r="A13" s="800" t="s">
        <v>3043</v>
      </c>
      <c r="B13" s="800">
        <v>21459141</v>
      </c>
      <c r="C13" s="801">
        <v>1386366.5135999999</v>
      </c>
      <c r="D13" s="801">
        <v>19409131.190400001</v>
      </c>
    </row>
    <row r="14" spans="1:17">
      <c r="A14" s="800" t="s">
        <v>3044</v>
      </c>
      <c r="B14" s="800">
        <v>21459686</v>
      </c>
      <c r="C14" s="801">
        <v>1996598.0544</v>
      </c>
      <c r="D14" s="801">
        <v>27952372.761599999</v>
      </c>
    </row>
    <row r="15" spans="1:17">
      <c r="A15" s="800" t="s">
        <v>3045</v>
      </c>
      <c r="B15" s="800">
        <v>21460319</v>
      </c>
      <c r="C15" s="801">
        <v>2092069.4335999999</v>
      </c>
      <c r="D15" s="801">
        <v>29288972.0704</v>
      </c>
    </row>
    <row r="16" spans="1:17">
      <c r="A16" s="800" t="s">
        <v>3046</v>
      </c>
      <c r="B16" s="800">
        <v>21550656</v>
      </c>
      <c r="C16" s="801">
        <v>1509185.2128000001</v>
      </c>
      <c r="D16" s="801">
        <v>21128592.979200002</v>
      </c>
    </row>
    <row r="17" spans="1:4">
      <c r="A17" s="800" t="s">
        <v>3047</v>
      </c>
      <c r="B17" s="800">
        <v>21572901</v>
      </c>
      <c r="C17" s="801">
        <v>1549435.2224000001</v>
      </c>
      <c r="D17" s="801">
        <v>21692093.113600001</v>
      </c>
    </row>
    <row r="18" spans="1:4">
      <c r="A18" s="800" t="s">
        <v>3048</v>
      </c>
      <c r="B18" s="800">
        <v>43288026</v>
      </c>
      <c r="C18" s="801">
        <v>6115751.3839999996</v>
      </c>
      <c r="D18" s="801">
        <v>85620519.375999987</v>
      </c>
    </row>
    <row r="19" spans="1:4">
      <c r="A19" s="800" t="s">
        <v>3049</v>
      </c>
      <c r="B19" s="800">
        <v>1027882601</v>
      </c>
      <c r="C19" s="800">
        <v>6115751.3839999996</v>
      </c>
      <c r="D19" s="801">
        <v>85620519.375999987</v>
      </c>
    </row>
    <row r="20" spans="1:4">
      <c r="A20" s="800"/>
      <c r="B20" s="800"/>
      <c r="C20" s="800"/>
      <c r="D20" s="802">
        <v>398688719.44959998</v>
      </c>
    </row>
  </sheetData>
  <autoFilter ref="A7:C7" xr:uid="{00000000-0009-0000-0000-00002C000000}"/>
  <mergeCells count="2">
    <mergeCell ref="H2:K2"/>
    <mergeCell ref="A5:D5"/>
  </mergeCells>
  <phoneticPr fontId="30"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241"/>
  <sheetViews>
    <sheetView showGridLines="0" workbookViewId="0">
      <pane xSplit="11" ySplit="2" topLeftCell="L184" activePane="bottomRight" state="frozen"/>
      <selection pane="topRight" activeCell="N1" sqref="N1"/>
      <selection pane="bottomLeft" activeCell="A3" sqref="A3"/>
      <selection pane="bottomRight" activeCell="K202" sqref="K202"/>
    </sheetView>
  </sheetViews>
  <sheetFormatPr baseColWidth="10" defaultColWidth="11.5703125" defaultRowHeight="15"/>
  <cols>
    <col min="1" max="1" width="8" style="672" customWidth="1"/>
    <col min="2" max="2" width="15.140625" style="672" bestFit="1" customWidth="1"/>
    <col min="3" max="3" width="13.28515625" style="672" customWidth="1"/>
    <col min="4" max="4" width="15.140625" style="672" bestFit="1" customWidth="1"/>
    <col min="5" max="5" width="12.28515625" style="672" customWidth="1"/>
    <col min="6" max="6" width="14.42578125" style="672" customWidth="1"/>
    <col min="7" max="7" width="13" style="672" customWidth="1"/>
    <col min="8" max="8" width="13.42578125" style="672" customWidth="1"/>
    <col min="9" max="9" width="16.42578125" style="709" bestFit="1" customWidth="1"/>
    <col min="10" max="10" width="13.28515625" style="701" customWidth="1"/>
    <col min="11" max="11" width="18.28515625" style="714" bestFit="1" customWidth="1"/>
    <col min="12" max="12" width="12.5703125" style="715" customWidth="1"/>
    <col min="13" max="13" width="9.28515625" style="715" bestFit="1" customWidth="1"/>
    <col min="14" max="16384" width="11.5703125" style="672"/>
  </cols>
  <sheetData>
    <row r="1" spans="1:13">
      <c r="C1" s="787" t="s">
        <v>2984</v>
      </c>
      <c r="J1" s="672"/>
      <c r="K1" s="672"/>
      <c r="L1" s="788">
        <v>45015</v>
      </c>
    </row>
    <row r="2" spans="1:13" ht="26.25">
      <c r="B2" s="712" t="s">
        <v>2985</v>
      </c>
      <c r="C2" s="713" t="s">
        <v>2986</v>
      </c>
      <c r="D2" s="712" t="s">
        <v>2987</v>
      </c>
      <c r="E2" s="712" t="s">
        <v>2988</v>
      </c>
      <c r="F2" s="712" t="s">
        <v>2989</v>
      </c>
      <c r="G2" s="712" t="s">
        <v>2990</v>
      </c>
      <c r="H2" s="712" t="s">
        <v>2991</v>
      </c>
      <c r="I2" s="713" t="s">
        <v>2992</v>
      </c>
      <c r="J2" s="713" t="s">
        <v>2993</v>
      </c>
      <c r="K2" s="713" t="s">
        <v>2994</v>
      </c>
      <c r="L2" s="662" t="s">
        <v>2995</v>
      </c>
      <c r="M2" s="713" t="s">
        <v>2996</v>
      </c>
    </row>
    <row r="3" spans="1:13" s="774" customFormat="1">
      <c r="B3" s="773">
        <v>27929</v>
      </c>
      <c r="C3" s="773">
        <v>29246</v>
      </c>
      <c r="D3" s="773">
        <v>34454</v>
      </c>
      <c r="E3" s="770">
        <f>+IF(IF($C3&lt;$D3,DAYS360($B3,$C3,0),DAYS360($B3,$D3,0))&lt;0,"No aplica",IF($C3&lt;$D3,DAYS360($B3,$C3,0),DAYS360($B3,$D3,0)))</f>
        <v>1298</v>
      </c>
      <c r="F3" s="770">
        <f>+IFERROR(E3/30,"No aplica")</f>
        <v>43.266666666666666</v>
      </c>
      <c r="G3" s="775">
        <f t="shared" ref="G3:G40" si="0">+E3/7</f>
        <v>185.42857142857142</v>
      </c>
      <c r="H3" s="771">
        <f>+IFERROR(E3/360,"No aplica")</f>
        <v>3.6055555555555556</v>
      </c>
      <c r="I3" s="772">
        <v>3500</v>
      </c>
      <c r="J3" s="773">
        <v>45260</v>
      </c>
      <c r="K3" s="776">
        <v>1</v>
      </c>
      <c r="L3" s="769">
        <v>20686</v>
      </c>
      <c r="M3" s="777">
        <f>(+$L$1-L3)/365</f>
        <v>66.654794520547952</v>
      </c>
    </row>
    <row r="4" spans="1:13" s="774" customFormat="1" ht="27.6" customHeight="1">
      <c r="B4" s="773">
        <v>26722</v>
      </c>
      <c r="C4" s="773">
        <v>31213</v>
      </c>
      <c r="D4" s="773">
        <v>34454</v>
      </c>
      <c r="E4" s="770">
        <f>+IF(IF($C4&lt;$D4,DAYS360($B4,$C4,0),DAYS360($B4,$D4,0))&lt;0,"No aplica",IF($C4&lt;$D4,DAYS360($B4,$C4,0),DAYS360($B4,$D4,0)))</f>
        <v>4428</v>
      </c>
      <c r="F4" s="770">
        <f>+IFERROR(E4/30,"No aplica")</f>
        <v>147.6</v>
      </c>
      <c r="G4" s="775">
        <f t="shared" si="0"/>
        <v>632.57142857142856</v>
      </c>
      <c r="H4" s="771">
        <f>+IFERROR(E4/360,"No aplica")</f>
        <v>12.3</v>
      </c>
      <c r="I4" s="770">
        <v>16811</v>
      </c>
      <c r="J4" s="773">
        <v>45260</v>
      </c>
      <c r="K4" s="770">
        <v>325659300</v>
      </c>
      <c r="L4" s="769">
        <v>10803</v>
      </c>
      <c r="M4" s="777">
        <f>(+$L$1-L4)/365</f>
        <v>93.731506849315068</v>
      </c>
    </row>
    <row r="5" spans="1:13" s="774" customFormat="1" ht="27.6" customHeight="1">
      <c r="A5" s="697"/>
      <c r="B5" s="773">
        <v>27230</v>
      </c>
      <c r="C5" s="773">
        <v>30492</v>
      </c>
      <c r="D5" s="773">
        <v>34454</v>
      </c>
      <c r="E5" s="770">
        <f>+IF(IF($C5&lt;$D5,DAYS360($B5,$C5,0),DAYS360($B5,$D5,0))&lt;0,"No aplica",IF($C5&lt;$D5,DAYS360($B5,$C5,0),DAYS360($B5,$D5,0)))</f>
        <v>3215</v>
      </c>
      <c r="F5" s="770">
        <f>+IFERROR(E5/30,"No aplica")</f>
        <v>107.16666666666667</v>
      </c>
      <c r="G5" s="770">
        <f t="shared" si="0"/>
        <v>459.28571428571428</v>
      </c>
      <c r="H5" s="771">
        <f>+IFERROR(E5/360,"No aplica")</f>
        <v>8.9305555555555554</v>
      </c>
      <c r="I5" s="770">
        <v>9261</v>
      </c>
      <c r="J5" s="778">
        <v>45322</v>
      </c>
      <c r="K5" s="770">
        <v>269439400</v>
      </c>
      <c r="L5" s="769">
        <v>12946</v>
      </c>
      <c r="M5" s="777">
        <v>88</v>
      </c>
    </row>
    <row r="6" spans="1:13" s="697" customFormat="1" ht="27.6" customHeight="1">
      <c r="A6" s="774"/>
      <c r="B6" s="773">
        <v>31503</v>
      </c>
      <c r="C6" s="773">
        <v>32324</v>
      </c>
      <c r="D6" s="773">
        <v>34454</v>
      </c>
      <c r="E6" s="770">
        <f>+IF(IF($C6&lt;$D6,DAYS360($B6,$C6,0),DAYS360($B6,$D6,0))&lt;0,"No aplica",IF($C6&lt;$D6,DAYS360($B6,$C6,0),DAYS360($B6,$D6,0)))</f>
        <v>809</v>
      </c>
      <c r="F6" s="770">
        <f>+IFERROR(E6/30,"No aplica")</f>
        <v>26.966666666666665</v>
      </c>
      <c r="G6" s="775">
        <f t="shared" si="0"/>
        <v>115.57142857142857</v>
      </c>
      <c r="H6" s="771">
        <f>+IFERROR(E6/360,"No aplica")</f>
        <v>2.2472222222222222</v>
      </c>
      <c r="I6" s="770">
        <v>26100</v>
      </c>
      <c r="J6" s="773">
        <v>45260</v>
      </c>
      <c r="K6" s="770">
        <v>62401100</v>
      </c>
      <c r="L6" s="769">
        <v>14881</v>
      </c>
      <c r="M6" s="777">
        <f>(+$L$1-L6)/365</f>
        <v>82.558904109589037</v>
      </c>
    </row>
    <row r="7" spans="1:13" s="697" customFormat="1" ht="27.6" customHeight="1">
      <c r="A7" s="774"/>
      <c r="B7" s="773">
        <v>29091</v>
      </c>
      <c r="C7" s="773">
        <v>31216</v>
      </c>
      <c r="D7" s="773">
        <v>34454</v>
      </c>
      <c r="E7" s="770">
        <v>2094</v>
      </c>
      <c r="F7" s="770">
        <v>69.8</v>
      </c>
      <c r="G7" s="770">
        <f t="shared" si="0"/>
        <v>299.14285714285717</v>
      </c>
      <c r="H7" s="771">
        <v>5.8166666666666664</v>
      </c>
      <c r="I7" s="770">
        <v>14000</v>
      </c>
      <c r="J7" s="773">
        <v>45291</v>
      </c>
      <c r="K7" s="770">
        <v>117765800</v>
      </c>
      <c r="L7" s="769">
        <v>16860</v>
      </c>
      <c r="M7" s="777">
        <v>77.706849315068496</v>
      </c>
    </row>
    <row r="8" spans="1:13" s="697" customFormat="1" ht="14.45" customHeight="1">
      <c r="A8" s="774"/>
      <c r="B8" s="773">
        <v>31341</v>
      </c>
      <c r="C8" s="773">
        <v>33846</v>
      </c>
      <c r="D8" s="773">
        <v>34454</v>
      </c>
      <c r="E8" s="770">
        <f t="shared" ref="E8:E32" si="1">+IF(IF($C8&lt;$D8,DAYS360($B8,$C8,0),DAYS360($B8,$D8,0))&lt;0,"No aplica",IF($C8&lt;$D8,DAYS360($B8,$C8,0),DAYS360($B8,$D8,0)))</f>
        <v>2469</v>
      </c>
      <c r="F8" s="770">
        <f t="shared" ref="F8:F32" si="2">+IFERROR(E8/30,"No aplica")</f>
        <v>82.3</v>
      </c>
      <c r="G8" s="775">
        <f t="shared" si="0"/>
        <v>352.71428571428572</v>
      </c>
      <c r="H8" s="771">
        <f t="shared" ref="H8:H32" si="3">+IFERROR(E8/360,"No aplica")</f>
        <v>6.8583333333333334</v>
      </c>
      <c r="I8" s="770">
        <v>81911</v>
      </c>
      <c r="J8" s="773">
        <v>45260</v>
      </c>
      <c r="K8" s="770">
        <v>118921300</v>
      </c>
      <c r="L8" s="769">
        <v>16593</v>
      </c>
      <c r="M8" s="777">
        <f>(+$L$1-L8)/365</f>
        <v>77.868493150684927</v>
      </c>
    </row>
    <row r="9" spans="1:13" s="697" customFormat="1" ht="14.45" customHeight="1">
      <c r="A9" s="774"/>
      <c r="B9" s="773">
        <v>28244</v>
      </c>
      <c r="C9" s="773">
        <v>31213</v>
      </c>
      <c r="D9" s="773">
        <v>34454</v>
      </c>
      <c r="E9" s="770">
        <f t="shared" si="1"/>
        <v>2926</v>
      </c>
      <c r="F9" s="770">
        <f t="shared" si="2"/>
        <v>97.533333333333331</v>
      </c>
      <c r="G9" s="775">
        <f t="shared" si="0"/>
        <v>418</v>
      </c>
      <c r="H9" s="771">
        <f t="shared" si="3"/>
        <v>8.1277777777777782</v>
      </c>
      <c r="I9" s="770">
        <v>14000</v>
      </c>
      <c r="J9" s="773">
        <v>45290</v>
      </c>
      <c r="K9" s="770">
        <v>126091200</v>
      </c>
      <c r="L9" s="769">
        <v>18101</v>
      </c>
      <c r="M9" s="777">
        <f>(+$L$1-L9)/365</f>
        <v>73.736986301369868</v>
      </c>
    </row>
    <row r="10" spans="1:13" s="697" customFormat="1" ht="27.6" customHeight="1">
      <c r="A10" s="774"/>
      <c r="B10" s="773">
        <v>29533</v>
      </c>
      <c r="C10" s="779">
        <v>29645</v>
      </c>
      <c r="D10" s="773">
        <v>32201</v>
      </c>
      <c r="E10" s="770">
        <f t="shared" si="1"/>
        <v>110</v>
      </c>
      <c r="F10" s="770">
        <f t="shared" si="2"/>
        <v>3.6666666666666665</v>
      </c>
      <c r="G10" s="775">
        <f t="shared" si="0"/>
        <v>15.714285714285714</v>
      </c>
      <c r="H10" s="771">
        <f t="shared" si="3"/>
        <v>0.30555555555555558</v>
      </c>
      <c r="I10" s="772">
        <v>5830</v>
      </c>
      <c r="J10" s="773">
        <v>45260</v>
      </c>
      <c r="K10" s="770">
        <v>392300</v>
      </c>
      <c r="L10" s="769">
        <v>23872</v>
      </c>
      <c r="M10" s="777">
        <f>(+$L$1-L10)/365</f>
        <v>57.926027397260277</v>
      </c>
    </row>
    <row r="11" spans="1:13" s="697" customFormat="1" ht="14.45" customHeight="1">
      <c r="A11" s="774"/>
      <c r="B11" s="773">
        <v>30465</v>
      </c>
      <c r="C11" s="773">
        <v>32236</v>
      </c>
      <c r="D11" s="773">
        <v>34454</v>
      </c>
      <c r="E11" s="770">
        <f t="shared" si="1"/>
        <v>1744</v>
      </c>
      <c r="F11" s="770">
        <f t="shared" si="2"/>
        <v>58.133333333333333</v>
      </c>
      <c r="G11" s="775">
        <f t="shared" si="0"/>
        <v>249.14285714285714</v>
      </c>
      <c r="H11" s="771">
        <f t="shared" si="3"/>
        <v>4.8444444444444441</v>
      </c>
      <c r="I11" s="772">
        <v>45510</v>
      </c>
      <c r="J11" s="773">
        <v>45260</v>
      </c>
      <c r="K11" s="770">
        <v>0</v>
      </c>
      <c r="L11" s="769" t="s">
        <v>2997</v>
      </c>
      <c r="M11" s="769"/>
    </row>
    <row r="12" spans="1:13" s="697" customFormat="1" ht="14.45" customHeight="1">
      <c r="A12" s="774"/>
      <c r="B12" s="773">
        <v>31893</v>
      </c>
      <c r="C12" s="773">
        <v>33328</v>
      </c>
      <c r="D12" s="773">
        <v>34454</v>
      </c>
      <c r="E12" s="770">
        <f t="shared" si="1"/>
        <v>1415</v>
      </c>
      <c r="F12" s="770">
        <f t="shared" si="2"/>
        <v>47.166666666666664</v>
      </c>
      <c r="G12" s="775">
        <f t="shared" si="0"/>
        <v>202.14285714285714</v>
      </c>
      <c r="H12" s="771">
        <f t="shared" si="3"/>
        <v>3.9305555555555554</v>
      </c>
      <c r="I12" s="772">
        <v>78830</v>
      </c>
      <c r="J12" s="773">
        <v>45260</v>
      </c>
      <c r="K12" s="770">
        <v>54133500</v>
      </c>
      <c r="L12" s="769">
        <v>20947</v>
      </c>
      <c r="M12" s="777">
        <f t="shared" ref="M12:M18" si="4">(+$L$1-L12)/365</f>
        <v>65.939726027397256</v>
      </c>
    </row>
    <row r="13" spans="1:13" s="697" customFormat="1" ht="14.45" customHeight="1">
      <c r="A13" s="774"/>
      <c r="B13" s="773">
        <v>30584</v>
      </c>
      <c r="C13" s="773">
        <v>32324</v>
      </c>
      <c r="D13" s="773">
        <v>34454</v>
      </c>
      <c r="E13" s="770">
        <f t="shared" si="1"/>
        <v>1715</v>
      </c>
      <c r="F13" s="770">
        <f t="shared" si="2"/>
        <v>57.166666666666664</v>
      </c>
      <c r="G13" s="775">
        <f t="shared" si="0"/>
        <v>245</v>
      </c>
      <c r="H13" s="771">
        <f t="shared" si="3"/>
        <v>4.7638888888888893</v>
      </c>
      <c r="I13" s="772">
        <v>26100</v>
      </c>
      <c r="J13" s="773">
        <v>45260</v>
      </c>
      <c r="K13" s="770">
        <v>63001000</v>
      </c>
      <c r="L13" s="769">
        <v>19888</v>
      </c>
      <c r="M13" s="777">
        <f t="shared" si="4"/>
        <v>68.841095890410955</v>
      </c>
    </row>
    <row r="14" spans="1:13" s="697" customFormat="1" ht="14.45" customHeight="1">
      <c r="A14" s="774"/>
      <c r="B14" s="773">
        <v>33868</v>
      </c>
      <c r="C14" s="773">
        <v>34413</v>
      </c>
      <c r="D14" s="773">
        <v>34454</v>
      </c>
      <c r="E14" s="770">
        <f t="shared" si="1"/>
        <v>539</v>
      </c>
      <c r="F14" s="770">
        <f t="shared" si="2"/>
        <v>17.966666666666665</v>
      </c>
      <c r="G14" s="775">
        <f t="shared" si="0"/>
        <v>77</v>
      </c>
      <c r="H14" s="771">
        <f t="shared" si="3"/>
        <v>1.4972222222222222</v>
      </c>
      <c r="I14" s="772">
        <v>110340</v>
      </c>
      <c r="J14" s="773">
        <v>45260</v>
      </c>
      <c r="K14" s="770">
        <v>18678700</v>
      </c>
      <c r="L14" s="769">
        <v>21785</v>
      </c>
      <c r="M14" s="777">
        <f t="shared" si="4"/>
        <v>63.643835616438359</v>
      </c>
    </row>
    <row r="15" spans="1:13" s="697" customFormat="1" ht="27.6" customHeight="1">
      <c r="A15" s="774"/>
      <c r="B15" s="773">
        <v>31285</v>
      </c>
      <c r="C15" s="773">
        <v>33847</v>
      </c>
      <c r="D15" s="773">
        <v>34454</v>
      </c>
      <c r="E15" s="770">
        <f t="shared" si="1"/>
        <v>2525</v>
      </c>
      <c r="F15" s="770">
        <f t="shared" si="2"/>
        <v>84.166666666666671</v>
      </c>
      <c r="G15" s="775">
        <f t="shared" si="0"/>
        <v>360.71428571428572</v>
      </c>
      <c r="H15" s="771">
        <f t="shared" si="3"/>
        <v>7.0138888888888893</v>
      </c>
      <c r="I15" s="772">
        <v>80411</v>
      </c>
      <c r="J15" s="773">
        <v>45260</v>
      </c>
      <c r="K15" s="770">
        <v>63609300</v>
      </c>
      <c r="L15" s="769">
        <v>22133</v>
      </c>
      <c r="M15" s="777">
        <f t="shared" si="4"/>
        <v>62.69041095890411</v>
      </c>
    </row>
    <row r="16" spans="1:13" s="697" customFormat="1" ht="29.45" customHeight="1">
      <c r="A16" s="774"/>
      <c r="B16" s="773">
        <v>29192</v>
      </c>
      <c r="C16" s="773">
        <v>31207</v>
      </c>
      <c r="D16" s="773">
        <v>34454</v>
      </c>
      <c r="E16" s="770">
        <f t="shared" si="1"/>
        <v>1986</v>
      </c>
      <c r="F16" s="770">
        <f t="shared" si="2"/>
        <v>66.2</v>
      </c>
      <c r="G16" s="775">
        <f t="shared" si="0"/>
        <v>283.71428571428572</v>
      </c>
      <c r="H16" s="771">
        <f t="shared" si="3"/>
        <v>5.5166666666666666</v>
      </c>
      <c r="I16" s="770">
        <v>14000</v>
      </c>
      <c r="J16" s="773">
        <v>45290</v>
      </c>
      <c r="K16" s="770">
        <v>160408300</v>
      </c>
      <c r="L16" s="769">
        <v>14671</v>
      </c>
      <c r="M16" s="777">
        <f t="shared" si="4"/>
        <v>83.134246575342459</v>
      </c>
    </row>
    <row r="17" spans="1:13" s="774" customFormat="1" ht="14.45" customHeight="1">
      <c r="B17" s="773">
        <v>25486</v>
      </c>
      <c r="C17" s="773">
        <v>34454</v>
      </c>
      <c r="D17" s="773">
        <v>34454</v>
      </c>
      <c r="E17" s="770">
        <f t="shared" si="1"/>
        <v>8840</v>
      </c>
      <c r="F17" s="770">
        <f t="shared" si="2"/>
        <v>294.66666666666669</v>
      </c>
      <c r="G17" s="775">
        <f t="shared" si="0"/>
        <v>1262.8571428571429</v>
      </c>
      <c r="H17" s="771">
        <f t="shared" si="3"/>
        <v>24.555555555555557</v>
      </c>
      <c r="I17" s="772">
        <v>104752</v>
      </c>
      <c r="J17" s="773">
        <v>45322</v>
      </c>
      <c r="K17" s="770">
        <v>335857400</v>
      </c>
      <c r="L17" s="769">
        <v>16380</v>
      </c>
      <c r="M17" s="777">
        <f t="shared" si="4"/>
        <v>78.452054794520549</v>
      </c>
    </row>
    <row r="18" spans="1:13" s="774" customFormat="1" ht="14.45" customHeight="1">
      <c r="B18" s="773">
        <v>31332</v>
      </c>
      <c r="C18" s="773">
        <v>33579</v>
      </c>
      <c r="D18" s="773">
        <v>34454</v>
      </c>
      <c r="E18" s="770">
        <f t="shared" si="1"/>
        <v>2215</v>
      </c>
      <c r="F18" s="770">
        <f t="shared" si="2"/>
        <v>73.833333333333329</v>
      </c>
      <c r="G18" s="775">
        <f t="shared" si="0"/>
        <v>316.42857142857144</v>
      </c>
      <c r="H18" s="771">
        <f t="shared" si="3"/>
        <v>6.1527777777777777</v>
      </c>
      <c r="I18" s="772">
        <v>65009</v>
      </c>
      <c r="J18" s="773">
        <v>45260</v>
      </c>
      <c r="K18" s="770">
        <v>94363000</v>
      </c>
      <c r="L18" s="769">
        <v>18881</v>
      </c>
      <c r="M18" s="777">
        <f t="shared" si="4"/>
        <v>71.599999999999994</v>
      </c>
    </row>
    <row r="19" spans="1:13" s="774" customFormat="1" ht="14.45" customHeight="1">
      <c r="B19" s="773">
        <v>27258</v>
      </c>
      <c r="C19" s="773">
        <v>30117</v>
      </c>
      <c r="D19" s="773">
        <v>34454</v>
      </c>
      <c r="E19" s="770">
        <f t="shared" si="1"/>
        <v>2818</v>
      </c>
      <c r="F19" s="770">
        <f t="shared" si="2"/>
        <v>93.933333333333337</v>
      </c>
      <c r="G19" s="775">
        <f t="shared" si="0"/>
        <v>402.57142857142856</v>
      </c>
      <c r="H19" s="771">
        <f t="shared" si="3"/>
        <v>7.8277777777777775</v>
      </c>
      <c r="I19" s="772">
        <v>7600</v>
      </c>
      <c r="J19" s="773">
        <v>45260</v>
      </c>
      <c r="K19" s="770">
        <v>0</v>
      </c>
      <c r="L19" s="769" t="s">
        <v>2997</v>
      </c>
      <c r="M19" s="769"/>
    </row>
    <row r="20" spans="1:13" s="774" customFormat="1" ht="27.6" customHeight="1">
      <c r="B20" s="773">
        <v>31784</v>
      </c>
      <c r="C20" s="773">
        <v>32324</v>
      </c>
      <c r="D20" s="773">
        <v>34454</v>
      </c>
      <c r="E20" s="770">
        <f t="shared" si="1"/>
        <v>533</v>
      </c>
      <c r="F20" s="770">
        <f t="shared" si="2"/>
        <v>17.766666666666666</v>
      </c>
      <c r="G20" s="775">
        <f t="shared" si="0"/>
        <v>76.142857142857139</v>
      </c>
      <c r="H20" s="771">
        <f t="shared" si="3"/>
        <v>1.4805555555555556</v>
      </c>
      <c r="I20" s="772">
        <v>26100</v>
      </c>
      <c r="J20" s="773">
        <v>45260</v>
      </c>
      <c r="K20" s="770">
        <v>38743100</v>
      </c>
      <c r="L20" s="769">
        <v>16950</v>
      </c>
      <c r="M20" s="777">
        <f t="shared" ref="M20:M32" si="5">(+$L$1-L20)/365</f>
        <v>76.890410958904113</v>
      </c>
    </row>
    <row r="21" spans="1:13" s="774" customFormat="1" ht="14.45" customHeight="1">
      <c r="B21" s="773">
        <v>33648</v>
      </c>
      <c r="C21" s="773">
        <v>34454</v>
      </c>
      <c r="D21" s="773">
        <v>34454</v>
      </c>
      <c r="E21" s="770">
        <f t="shared" si="1"/>
        <v>796</v>
      </c>
      <c r="F21" s="770">
        <f t="shared" si="2"/>
        <v>26.533333333333335</v>
      </c>
      <c r="G21" s="775">
        <f t="shared" si="0"/>
        <v>113.71428571428571</v>
      </c>
      <c r="H21" s="771">
        <f t="shared" si="3"/>
        <v>2.2111111111111112</v>
      </c>
      <c r="I21" s="772">
        <v>110340</v>
      </c>
      <c r="J21" s="773">
        <v>45260</v>
      </c>
      <c r="K21" s="770">
        <v>18265700</v>
      </c>
      <c r="L21" s="769">
        <v>25189</v>
      </c>
      <c r="M21" s="777">
        <f t="shared" si="5"/>
        <v>54.317808219178083</v>
      </c>
    </row>
    <row r="22" spans="1:13" s="774" customFormat="1" ht="27.6" customHeight="1">
      <c r="B22" s="773">
        <v>29249</v>
      </c>
      <c r="C22" s="773">
        <v>31216</v>
      </c>
      <c r="D22" s="773">
        <v>34454</v>
      </c>
      <c r="E22" s="770">
        <f t="shared" si="1"/>
        <v>1939</v>
      </c>
      <c r="F22" s="770">
        <f t="shared" si="2"/>
        <v>64.63333333333334</v>
      </c>
      <c r="G22" s="770">
        <f t="shared" si="0"/>
        <v>277</v>
      </c>
      <c r="H22" s="771">
        <f t="shared" si="3"/>
        <v>5.3861111111111111</v>
      </c>
      <c r="I22" s="770">
        <v>14000</v>
      </c>
      <c r="J22" s="773">
        <v>45351</v>
      </c>
      <c r="K22" s="770">
        <v>97033200</v>
      </c>
      <c r="L22" s="769">
        <v>17839</v>
      </c>
      <c r="M22" s="777">
        <f t="shared" si="5"/>
        <v>74.454794520547949</v>
      </c>
    </row>
    <row r="23" spans="1:13" s="697" customFormat="1" ht="14.45" customHeight="1">
      <c r="B23" s="773">
        <v>27932</v>
      </c>
      <c r="C23" s="773">
        <v>30102</v>
      </c>
      <c r="D23" s="773">
        <v>34454</v>
      </c>
      <c r="E23" s="770">
        <f t="shared" si="1"/>
        <v>2140</v>
      </c>
      <c r="F23" s="770">
        <f t="shared" si="2"/>
        <v>71.333333333333329</v>
      </c>
      <c r="G23" s="775">
        <f t="shared" si="0"/>
        <v>305.71428571428572</v>
      </c>
      <c r="H23" s="771">
        <f t="shared" si="3"/>
        <v>5.9444444444444446</v>
      </c>
      <c r="I23" s="772">
        <v>18000</v>
      </c>
      <c r="J23" s="773">
        <v>45322</v>
      </c>
      <c r="K23" s="770">
        <v>0</v>
      </c>
      <c r="L23" s="769">
        <v>27982</v>
      </c>
      <c r="M23" s="777">
        <f t="shared" si="5"/>
        <v>46.665753424657531</v>
      </c>
    </row>
    <row r="24" spans="1:13" s="697" customFormat="1" ht="14.45" customHeight="1">
      <c r="A24" s="774"/>
      <c r="B24" s="773">
        <v>32574</v>
      </c>
      <c r="C24" s="773">
        <v>34454</v>
      </c>
      <c r="D24" s="773">
        <v>34454</v>
      </c>
      <c r="E24" s="770">
        <f t="shared" si="1"/>
        <v>1853</v>
      </c>
      <c r="F24" s="770">
        <f t="shared" si="2"/>
        <v>61.766666666666666</v>
      </c>
      <c r="G24" s="775">
        <f t="shared" si="0"/>
        <v>264.71428571428572</v>
      </c>
      <c r="H24" s="771">
        <f t="shared" si="3"/>
        <v>5.1472222222222221</v>
      </c>
      <c r="I24" s="772">
        <v>157520</v>
      </c>
      <c r="J24" s="773">
        <v>45260</v>
      </c>
      <c r="K24" s="770">
        <v>62718500</v>
      </c>
      <c r="L24" s="769">
        <v>20882</v>
      </c>
      <c r="M24" s="777">
        <f t="shared" si="5"/>
        <v>66.117808219178087</v>
      </c>
    </row>
    <row r="25" spans="1:13" s="697" customFormat="1" ht="27.6" customHeight="1">
      <c r="A25" s="774"/>
      <c r="B25" s="773">
        <v>34412</v>
      </c>
      <c r="C25" s="773">
        <v>34454</v>
      </c>
      <c r="D25" s="773">
        <v>34454</v>
      </c>
      <c r="E25" s="770">
        <f t="shared" si="1"/>
        <v>41</v>
      </c>
      <c r="F25" s="770">
        <f t="shared" si="2"/>
        <v>1.3666666666666667</v>
      </c>
      <c r="G25" s="775">
        <f t="shared" si="0"/>
        <v>5.8571428571428568</v>
      </c>
      <c r="H25" s="771">
        <f t="shared" si="3"/>
        <v>0.11388888888888889</v>
      </c>
      <c r="I25" s="772">
        <v>98700</v>
      </c>
      <c r="J25" s="773">
        <v>45260</v>
      </c>
      <c r="K25" s="770">
        <v>931300</v>
      </c>
      <c r="L25" s="769">
        <v>27020</v>
      </c>
      <c r="M25" s="777">
        <f t="shared" si="5"/>
        <v>49.301369863013697</v>
      </c>
    </row>
    <row r="26" spans="1:13" s="697" customFormat="1" ht="14.45" customHeight="1">
      <c r="A26" s="774"/>
      <c r="B26" s="773">
        <v>33497</v>
      </c>
      <c r="C26" s="773">
        <v>33862</v>
      </c>
      <c r="D26" s="773">
        <v>34454</v>
      </c>
      <c r="E26" s="770">
        <f t="shared" si="1"/>
        <v>359</v>
      </c>
      <c r="F26" s="770">
        <f t="shared" si="2"/>
        <v>11.966666666666667</v>
      </c>
      <c r="G26" s="775">
        <f t="shared" si="0"/>
        <v>51.285714285714285</v>
      </c>
      <c r="H26" s="771">
        <f t="shared" si="3"/>
        <v>0.99722222222222223</v>
      </c>
      <c r="I26" s="772">
        <v>200000</v>
      </c>
      <c r="J26" s="773">
        <v>45260</v>
      </c>
      <c r="K26" s="770">
        <v>23299300</v>
      </c>
      <c r="L26" s="769">
        <v>23806</v>
      </c>
      <c r="M26" s="777">
        <f t="shared" si="5"/>
        <v>58.106849315068494</v>
      </c>
    </row>
    <row r="27" spans="1:13" s="697" customFormat="1" ht="27.6" customHeight="1">
      <c r="A27" s="774"/>
      <c r="B27" s="773">
        <v>30690</v>
      </c>
      <c r="C27" s="773">
        <v>33850</v>
      </c>
      <c r="D27" s="773">
        <v>34454</v>
      </c>
      <c r="E27" s="770">
        <f t="shared" si="1"/>
        <v>3114</v>
      </c>
      <c r="F27" s="770">
        <f t="shared" si="2"/>
        <v>103.8</v>
      </c>
      <c r="G27" s="775">
        <f t="shared" si="0"/>
        <v>444.85714285714283</v>
      </c>
      <c r="H27" s="771">
        <f t="shared" si="3"/>
        <v>8.65</v>
      </c>
      <c r="I27" s="772">
        <v>81911</v>
      </c>
      <c r="J27" s="773">
        <v>45260</v>
      </c>
      <c r="K27" s="770">
        <v>134656200</v>
      </c>
      <c r="L27" s="769">
        <v>18599</v>
      </c>
      <c r="M27" s="777">
        <f t="shared" si="5"/>
        <v>72.372602739726034</v>
      </c>
    </row>
    <row r="28" spans="1:13" s="774" customFormat="1" ht="27.6" customHeight="1">
      <c r="B28" s="773">
        <v>29617</v>
      </c>
      <c r="C28" s="773">
        <v>31213</v>
      </c>
      <c r="D28" s="773">
        <v>34454</v>
      </c>
      <c r="E28" s="770">
        <f t="shared" si="1"/>
        <v>1575</v>
      </c>
      <c r="F28" s="770">
        <f t="shared" si="2"/>
        <v>52.5</v>
      </c>
      <c r="G28" s="775">
        <f t="shared" si="0"/>
        <v>225</v>
      </c>
      <c r="H28" s="771">
        <f t="shared" si="3"/>
        <v>4.375</v>
      </c>
      <c r="I28" s="770">
        <v>14000</v>
      </c>
      <c r="J28" s="773">
        <v>45260</v>
      </c>
      <c r="K28" s="770">
        <v>72600900</v>
      </c>
      <c r="L28" s="769">
        <v>18456</v>
      </c>
      <c r="M28" s="777">
        <f t="shared" si="5"/>
        <v>72.764383561643839</v>
      </c>
    </row>
    <row r="29" spans="1:13" s="774" customFormat="1" ht="14.45" customHeight="1">
      <c r="B29" s="773">
        <v>31281</v>
      </c>
      <c r="C29" s="773">
        <v>33019</v>
      </c>
      <c r="D29" s="773">
        <v>34454</v>
      </c>
      <c r="E29" s="770">
        <f t="shared" si="1"/>
        <v>1714</v>
      </c>
      <c r="F29" s="770">
        <f t="shared" si="2"/>
        <v>57.133333333333333</v>
      </c>
      <c r="G29" s="775">
        <f t="shared" si="0"/>
        <v>244.85714285714286</v>
      </c>
      <c r="H29" s="771">
        <f t="shared" si="3"/>
        <v>4.7611111111111111</v>
      </c>
      <c r="I29" s="772">
        <v>50250</v>
      </c>
      <c r="J29" s="773">
        <v>45260</v>
      </c>
      <c r="K29" s="770">
        <v>97240800</v>
      </c>
      <c r="L29" s="769">
        <v>18490</v>
      </c>
      <c r="M29" s="777">
        <f t="shared" si="5"/>
        <v>72.671232876712324</v>
      </c>
    </row>
    <row r="30" spans="1:13" s="774" customFormat="1" ht="27.6" customHeight="1">
      <c r="B30" s="773">
        <v>30206</v>
      </c>
      <c r="C30" s="773">
        <v>31207</v>
      </c>
      <c r="D30" s="773">
        <v>34454</v>
      </c>
      <c r="E30" s="770">
        <f t="shared" si="1"/>
        <v>987</v>
      </c>
      <c r="F30" s="770">
        <f t="shared" si="2"/>
        <v>32.9</v>
      </c>
      <c r="G30" s="775">
        <f t="shared" si="0"/>
        <v>141</v>
      </c>
      <c r="H30" s="771">
        <f t="shared" si="3"/>
        <v>2.7416666666666667</v>
      </c>
      <c r="I30" s="772">
        <v>14000</v>
      </c>
      <c r="J30" s="773">
        <v>45260</v>
      </c>
      <c r="K30" s="770">
        <v>41166100</v>
      </c>
      <c r="L30" s="769">
        <v>19629</v>
      </c>
      <c r="M30" s="777">
        <f t="shared" si="5"/>
        <v>69.550684931506851</v>
      </c>
    </row>
    <row r="31" spans="1:13" s="774" customFormat="1" ht="27.6" customHeight="1">
      <c r="B31" s="773">
        <v>31330</v>
      </c>
      <c r="C31" s="773">
        <v>32886</v>
      </c>
      <c r="D31" s="773">
        <v>34454</v>
      </c>
      <c r="E31" s="770">
        <f t="shared" si="1"/>
        <v>1533</v>
      </c>
      <c r="F31" s="770">
        <f t="shared" si="2"/>
        <v>51.1</v>
      </c>
      <c r="G31" s="775">
        <f t="shared" si="0"/>
        <v>219</v>
      </c>
      <c r="H31" s="771">
        <f t="shared" si="3"/>
        <v>4.2583333333333337</v>
      </c>
      <c r="I31" s="772">
        <v>41025</v>
      </c>
      <c r="J31" s="773">
        <v>45260</v>
      </c>
      <c r="K31" s="770">
        <v>59636600</v>
      </c>
      <c r="L31" s="769">
        <v>20606</v>
      </c>
      <c r="M31" s="777">
        <f t="shared" si="5"/>
        <v>66.873972602739727</v>
      </c>
    </row>
    <row r="32" spans="1:13" s="774" customFormat="1" ht="14.45" customHeight="1">
      <c r="B32" s="773">
        <v>29920</v>
      </c>
      <c r="C32" s="773">
        <v>31213</v>
      </c>
      <c r="D32" s="773">
        <v>34454</v>
      </c>
      <c r="E32" s="770">
        <f t="shared" si="1"/>
        <v>1275</v>
      </c>
      <c r="F32" s="770">
        <f t="shared" si="2"/>
        <v>42.5</v>
      </c>
      <c r="G32" s="775">
        <f t="shared" si="0"/>
        <v>182.14285714285714</v>
      </c>
      <c r="H32" s="771">
        <f t="shared" si="3"/>
        <v>3.5416666666666665</v>
      </c>
      <c r="I32" s="772">
        <v>14000</v>
      </c>
      <c r="J32" s="773">
        <v>45260</v>
      </c>
      <c r="K32" s="770">
        <v>38839400</v>
      </c>
      <c r="L32" s="769">
        <v>20921</v>
      </c>
      <c r="M32" s="777">
        <f t="shared" si="5"/>
        <v>66.010958904109586</v>
      </c>
    </row>
    <row r="33" spans="1:13" s="774" customFormat="1" ht="14.45" customHeight="1">
      <c r="B33" s="773">
        <v>33133</v>
      </c>
      <c r="C33" s="773">
        <v>33192</v>
      </c>
      <c r="D33" s="773">
        <v>34454</v>
      </c>
      <c r="E33" s="770">
        <v>58</v>
      </c>
      <c r="F33" s="770">
        <v>1.9333333333333333</v>
      </c>
      <c r="G33" s="770">
        <f t="shared" si="0"/>
        <v>8.2857142857142865</v>
      </c>
      <c r="H33" s="771">
        <v>0.16111111111111112</v>
      </c>
      <c r="I33" s="770">
        <v>101990</v>
      </c>
      <c r="J33" s="773">
        <v>45291</v>
      </c>
      <c r="K33" s="770">
        <v>3530600</v>
      </c>
      <c r="L33" s="769">
        <v>20290</v>
      </c>
      <c r="M33" s="777">
        <v>68.30958904109589</v>
      </c>
    </row>
    <row r="34" spans="1:13" s="774" customFormat="1" ht="27.6" customHeight="1">
      <c r="B34" s="773">
        <v>29227</v>
      </c>
      <c r="C34" s="773">
        <v>29904</v>
      </c>
      <c r="D34" s="773">
        <v>34454</v>
      </c>
      <c r="E34" s="770">
        <f t="shared" ref="E34:E97" si="6">+IF(IF($C34&lt;$D34,DAYS360($B34,$C34,0),DAYS360($B34,$D34,0))&lt;0,"No aplica",IF($C34&lt;$D34,DAYS360($B34,$C34,0),DAYS360($B34,$D34,0)))</f>
        <v>667</v>
      </c>
      <c r="F34" s="770">
        <f t="shared" ref="F34:F97" si="7">+IFERROR(E34/30,"No aplica")</f>
        <v>22.233333333333334</v>
      </c>
      <c r="G34" s="775">
        <f t="shared" si="0"/>
        <v>95.285714285714292</v>
      </c>
      <c r="H34" s="771">
        <f t="shared" ref="H34:H97" si="8">+IFERROR(E34/360,"No aplica")</f>
        <v>1.8527777777777779</v>
      </c>
      <c r="I34" s="772">
        <v>8000</v>
      </c>
      <c r="J34" s="773">
        <v>45260</v>
      </c>
      <c r="K34" s="770">
        <v>23935600</v>
      </c>
      <c r="L34" s="769">
        <v>21137</v>
      </c>
      <c r="M34" s="777">
        <f>(+$L$1-L34)/365</f>
        <v>65.419178082191777</v>
      </c>
    </row>
    <row r="35" spans="1:13" s="774" customFormat="1" ht="27.6" customHeight="1">
      <c r="B35" s="773">
        <v>33893</v>
      </c>
      <c r="C35" s="773">
        <v>34454</v>
      </c>
      <c r="D35" s="773">
        <v>34454</v>
      </c>
      <c r="E35" s="770">
        <f t="shared" si="6"/>
        <v>554</v>
      </c>
      <c r="F35" s="770">
        <f t="shared" si="7"/>
        <v>18.466666666666665</v>
      </c>
      <c r="G35" s="775">
        <f t="shared" si="0"/>
        <v>79.142857142857139</v>
      </c>
      <c r="H35" s="771">
        <f t="shared" si="8"/>
        <v>1.538888888888889</v>
      </c>
      <c r="I35" s="770">
        <v>104752</v>
      </c>
      <c r="J35" s="773">
        <v>45322</v>
      </c>
      <c r="K35" s="770">
        <v>22100400</v>
      </c>
      <c r="L35" s="769">
        <v>20836</v>
      </c>
      <c r="M35" s="777">
        <f>(+$L$1-L35)/365</f>
        <v>66.243835616438361</v>
      </c>
    </row>
    <row r="36" spans="1:13" s="774" customFormat="1" ht="14.45" customHeight="1">
      <c r="B36" s="773">
        <v>31892</v>
      </c>
      <c r="C36" s="773">
        <v>33582</v>
      </c>
      <c r="D36" s="773">
        <v>34454</v>
      </c>
      <c r="E36" s="770">
        <f t="shared" si="6"/>
        <v>1665</v>
      </c>
      <c r="F36" s="770">
        <f t="shared" si="7"/>
        <v>55.5</v>
      </c>
      <c r="G36" s="775">
        <f t="shared" si="0"/>
        <v>237.85714285714286</v>
      </c>
      <c r="H36" s="771">
        <f t="shared" si="8"/>
        <v>4.625</v>
      </c>
      <c r="I36" s="772">
        <v>260000</v>
      </c>
      <c r="J36" s="773">
        <v>45289</v>
      </c>
      <c r="K36" s="770">
        <v>235448700</v>
      </c>
      <c r="L36" s="769"/>
      <c r="M36" s="777"/>
    </row>
    <row r="37" spans="1:13" s="774" customFormat="1" ht="14.45" customHeight="1">
      <c r="B37" s="773">
        <v>30921</v>
      </c>
      <c r="C37" s="773">
        <v>31212</v>
      </c>
      <c r="D37" s="773">
        <v>34454</v>
      </c>
      <c r="E37" s="770">
        <f t="shared" si="6"/>
        <v>287</v>
      </c>
      <c r="F37" s="770">
        <f t="shared" si="7"/>
        <v>9.5666666666666664</v>
      </c>
      <c r="G37" s="775">
        <f t="shared" si="0"/>
        <v>41</v>
      </c>
      <c r="H37" s="771">
        <f t="shared" si="8"/>
        <v>0.79722222222222228</v>
      </c>
      <c r="I37" s="772">
        <v>14000</v>
      </c>
      <c r="J37" s="773">
        <v>45260</v>
      </c>
      <c r="K37" s="770">
        <v>8726400</v>
      </c>
      <c r="L37" s="769">
        <v>21625</v>
      </c>
      <c r="M37" s="777">
        <f t="shared" ref="M37:M82" si="9">(+$L$1-L37)/365</f>
        <v>64.082191780821915</v>
      </c>
    </row>
    <row r="38" spans="1:13" s="774" customFormat="1" ht="27.6" customHeight="1">
      <c r="B38" s="773">
        <v>31761</v>
      </c>
      <c r="C38" s="773">
        <v>31953</v>
      </c>
      <c r="D38" s="773">
        <v>34454</v>
      </c>
      <c r="E38" s="770">
        <f t="shared" si="6"/>
        <v>190</v>
      </c>
      <c r="F38" s="770">
        <f t="shared" si="7"/>
        <v>6.333333333333333</v>
      </c>
      <c r="G38" s="775">
        <f t="shared" si="0"/>
        <v>27.142857142857142</v>
      </c>
      <c r="H38" s="771">
        <f t="shared" si="8"/>
        <v>0.52777777777777779</v>
      </c>
      <c r="I38" s="770">
        <v>20510</v>
      </c>
      <c r="J38" s="773">
        <v>45322</v>
      </c>
      <c r="K38" s="770">
        <v>7008200</v>
      </c>
      <c r="L38" s="769">
        <v>20831</v>
      </c>
      <c r="M38" s="777">
        <f t="shared" si="9"/>
        <v>66.257534246575347</v>
      </c>
    </row>
    <row r="39" spans="1:13" s="774" customFormat="1" ht="27.6" customHeight="1">
      <c r="B39" s="773">
        <v>28825</v>
      </c>
      <c r="C39" s="773">
        <v>28885</v>
      </c>
      <c r="D39" s="773">
        <v>34454</v>
      </c>
      <c r="E39" s="770">
        <f t="shared" si="6"/>
        <v>59</v>
      </c>
      <c r="F39" s="770">
        <f t="shared" si="7"/>
        <v>1.9666666666666666</v>
      </c>
      <c r="G39" s="775">
        <f t="shared" si="0"/>
        <v>8.4285714285714288</v>
      </c>
      <c r="H39" s="771">
        <f t="shared" si="8"/>
        <v>0.16388888888888889</v>
      </c>
      <c r="I39" s="772">
        <v>3450</v>
      </c>
      <c r="J39" s="773">
        <v>45260</v>
      </c>
      <c r="K39" s="770">
        <v>1982500</v>
      </c>
      <c r="L39" s="769">
        <v>21620</v>
      </c>
      <c r="M39" s="777">
        <f t="shared" si="9"/>
        <v>64.095890410958901</v>
      </c>
    </row>
    <row r="40" spans="1:13" s="774" customFormat="1" ht="14.45" customHeight="1">
      <c r="B40" s="773">
        <v>31450</v>
      </c>
      <c r="C40" s="773">
        <v>33848</v>
      </c>
      <c r="D40" s="773">
        <v>34454</v>
      </c>
      <c r="E40" s="770">
        <f t="shared" si="6"/>
        <v>2364</v>
      </c>
      <c r="F40" s="770">
        <f t="shared" si="7"/>
        <v>78.8</v>
      </c>
      <c r="G40" s="775">
        <f t="shared" si="0"/>
        <v>337.71428571428572</v>
      </c>
      <c r="H40" s="771">
        <f t="shared" si="8"/>
        <v>6.5666666666666664</v>
      </c>
      <c r="I40" s="772">
        <v>81911</v>
      </c>
      <c r="J40" s="773">
        <v>45260</v>
      </c>
      <c r="K40" s="770">
        <v>64348100</v>
      </c>
      <c r="L40" s="769">
        <v>21607</v>
      </c>
      <c r="M40" s="777">
        <f t="shared" si="9"/>
        <v>64.131506849315073</v>
      </c>
    </row>
    <row r="41" spans="1:13" s="774" customFormat="1" ht="31.15" customHeight="1">
      <c r="A41" s="774" t="s">
        <v>2998</v>
      </c>
      <c r="B41" s="773">
        <v>32801</v>
      </c>
      <c r="C41" s="773">
        <v>34454</v>
      </c>
      <c r="D41" s="773">
        <v>34454</v>
      </c>
      <c r="E41" s="770">
        <f t="shared" si="6"/>
        <v>1630</v>
      </c>
      <c r="F41" s="770">
        <f t="shared" si="7"/>
        <v>54.333333333333336</v>
      </c>
      <c r="G41" s="770">
        <f>+E41/7</f>
        <v>232.85714285714286</v>
      </c>
      <c r="H41" s="771">
        <f t="shared" si="8"/>
        <v>4.5277777777777777</v>
      </c>
      <c r="I41" s="771"/>
      <c r="J41" s="771"/>
      <c r="K41" s="770">
        <v>95869000</v>
      </c>
      <c r="L41" s="769">
        <v>22329</v>
      </c>
      <c r="M41" s="777">
        <f t="shared" si="9"/>
        <v>62.153424657534245</v>
      </c>
    </row>
    <row r="42" spans="1:13" s="774" customFormat="1" ht="13.9" customHeight="1">
      <c r="B42" s="773">
        <v>33076</v>
      </c>
      <c r="C42" s="773">
        <v>33440</v>
      </c>
      <c r="D42" s="773">
        <v>34454</v>
      </c>
      <c r="E42" s="770">
        <f t="shared" si="6"/>
        <v>359</v>
      </c>
      <c r="F42" s="770">
        <f t="shared" si="7"/>
        <v>11.966666666666667</v>
      </c>
      <c r="G42" s="775">
        <f t="shared" ref="G42:G105" si="10">+E42/7</f>
        <v>51.285714285714285</v>
      </c>
      <c r="H42" s="771">
        <f t="shared" si="8"/>
        <v>0.99722222222222223</v>
      </c>
      <c r="I42" s="772">
        <v>160000</v>
      </c>
      <c r="J42" s="773">
        <v>45260</v>
      </c>
      <c r="K42" s="770">
        <v>25847800</v>
      </c>
      <c r="L42" s="769">
        <v>21948</v>
      </c>
      <c r="M42" s="777">
        <f t="shared" si="9"/>
        <v>63.197260273972603</v>
      </c>
    </row>
    <row r="43" spans="1:13" s="774" customFormat="1" ht="14.45" customHeight="1">
      <c r="A43" s="774" t="s">
        <v>2998</v>
      </c>
      <c r="B43" s="773">
        <v>32886</v>
      </c>
      <c r="C43" s="773">
        <v>34454</v>
      </c>
      <c r="D43" s="773">
        <v>34454</v>
      </c>
      <c r="E43" s="770">
        <f t="shared" si="6"/>
        <v>1547</v>
      </c>
      <c r="F43" s="770">
        <f t="shared" si="7"/>
        <v>51.56666666666667</v>
      </c>
      <c r="G43" s="775">
        <f t="shared" si="10"/>
        <v>221</v>
      </c>
      <c r="H43" s="771">
        <f t="shared" si="8"/>
        <v>4.2972222222222225</v>
      </c>
      <c r="I43" s="772">
        <v>126533</v>
      </c>
      <c r="J43" s="773">
        <v>45351</v>
      </c>
      <c r="K43" s="770">
        <v>45397400</v>
      </c>
      <c r="L43" s="769">
        <v>22407</v>
      </c>
      <c r="M43" s="777">
        <f t="shared" si="9"/>
        <v>61.939726027397263</v>
      </c>
    </row>
    <row r="44" spans="1:13" s="697" customFormat="1" ht="14.45" customHeight="1">
      <c r="A44" s="774"/>
      <c r="B44" s="773">
        <v>31390</v>
      </c>
      <c r="C44" s="773">
        <v>34454</v>
      </c>
      <c r="D44" s="773">
        <v>34454</v>
      </c>
      <c r="E44" s="770">
        <f t="shared" si="6"/>
        <v>3021</v>
      </c>
      <c r="F44" s="770">
        <f t="shared" si="7"/>
        <v>100.7</v>
      </c>
      <c r="G44" s="775">
        <f t="shared" si="10"/>
        <v>431.57142857142856</v>
      </c>
      <c r="H44" s="771">
        <f t="shared" si="8"/>
        <v>8.3916666666666675</v>
      </c>
      <c r="I44" s="772">
        <v>150000</v>
      </c>
      <c r="J44" s="773">
        <v>45260</v>
      </c>
      <c r="K44" s="770">
        <v>152546000</v>
      </c>
      <c r="L44" s="769">
        <v>22914</v>
      </c>
      <c r="M44" s="777">
        <f t="shared" si="9"/>
        <v>60.550684931506851</v>
      </c>
    </row>
    <row r="45" spans="1:13" s="697" customFormat="1" ht="27.6" customHeight="1">
      <c r="A45" s="774"/>
      <c r="B45" s="773">
        <v>31264</v>
      </c>
      <c r="C45" s="773">
        <v>32964</v>
      </c>
      <c r="D45" s="773">
        <v>34454</v>
      </c>
      <c r="E45" s="770">
        <f t="shared" si="6"/>
        <v>1676</v>
      </c>
      <c r="F45" s="770">
        <f t="shared" si="7"/>
        <v>55.866666666666667</v>
      </c>
      <c r="G45" s="775">
        <f t="shared" si="10"/>
        <v>239.42857142857142</v>
      </c>
      <c r="H45" s="771">
        <f t="shared" si="8"/>
        <v>4.6555555555555559</v>
      </c>
      <c r="I45" s="772">
        <v>50250</v>
      </c>
      <c r="J45" s="773">
        <v>45260</v>
      </c>
      <c r="K45" s="770">
        <v>53232200</v>
      </c>
      <c r="L45" s="769">
        <v>21736</v>
      </c>
      <c r="M45" s="777">
        <f t="shared" si="9"/>
        <v>63.778082191780825</v>
      </c>
    </row>
    <row r="46" spans="1:13" s="697" customFormat="1" ht="27.6" customHeight="1">
      <c r="A46" s="774"/>
      <c r="B46" s="773">
        <v>31964</v>
      </c>
      <c r="C46" s="773">
        <v>34454</v>
      </c>
      <c r="D46" s="773">
        <v>34454</v>
      </c>
      <c r="E46" s="770">
        <f t="shared" si="6"/>
        <v>2454</v>
      </c>
      <c r="F46" s="770">
        <f t="shared" si="7"/>
        <v>81.8</v>
      </c>
      <c r="G46" s="775">
        <f t="shared" si="10"/>
        <v>350.57142857142856</v>
      </c>
      <c r="H46" s="771">
        <f t="shared" si="8"/>
        <v>6.8166666666666664</v>
      </c>
      <c r="I46" s="772">
        <v>245200</v>
      </c>
      <c r="J46" s="773">
        <v>45260</v>
      </c>
      <c r="K46" s="770">
        <v>174338000</v>
      </c>
      <c r="L46" s="769">
        <v>22919</v>
      </c>
      <c r="M46" s="777">
        <f t="shared" si="9"/>
        <v>60.536986301369865</v>
      </c>
    </row>
    <row r="47" spans="1:13" s="697" customFormat="1" ht="14.45" customHeight="1">
      <c r="A47" s="774"/>
      <c r="B47" s="773">
        <v>33885</v>
      </c>
      <c r="C47" s="773">
        <v>34121</v>
      </c>
      <c r="D47" s="773">
        <v>34454</v>
      </c>
      <c r="E47" s="770">
        <f t="shared" si="6"/>
        <v>233</v>
      </c>
      <c r="F47" s="770">
        <f t="shared" si="7"/>
        <v>7.7666666666666666</v>
      </c>
      <c r="G47" s="775">
        <f t="shared" si="10"/>
        <v>33.285714285714285</v>
      </c>
      <c r="H47" s="771">
        <f t="shared" si="8"/>
        <v>0.64722222222222225</v>
      </c>
      <c r="I47" s="772">
        <v>82139</v>
      </c>
      <c r="J47" s="773">
        <v>45260</v>
      </c>
      <c r="K47" s="770">
        <v>6892800</v>
      </c>
      <c r="L47" s="769">
        <v>22955</v>
      </c>
      <c r="M47" s="777">
        <f t="shared" si="9"/>
        <v>60.438356164383563</v>
      </c>
    </row>
    <row r="48" spans="1:13" s="697" customFormat="1" ht="27.6" customHeight="1">
      <c r="A48" s="774"/>
      <c r="B48" s="773">
        <v>33668</v>
      </c>
      <c r="C48" s="773">
        <v>34454</v>
      </c>
      <c r="D48" s="773">
        <v>34454</v>
      </c>
      <c r="E48" s="770">
        <f t="shared" si="6"/>
        <v>775</v>
      </c>
      <c r="F48" s="770">
        <f t="shared" si="7"/>
        <v>25.833333333333332</v>
      </c>
      <c r="G48" s="775">
        <f t="shared" si="10"/>
        <v>110.71428571428571</v>
      </c>
      <c r="H48" s="771">
        <f t="shared" si="8"/>
        <v>2.1527777777777777</v>
      </c>
      <c r="I48" s="772">
        <v>131374</v>
      </c>
      <c r="J48" s="773">
        <v>45260</v>
      </c>
      <c r="K48" s="770">
        <v>21966800</v>
      </c>
      <c r="L48" s="769">
        <v>23069</v>
      </c>
      <c r="M48" s="777">
        <f t="shared" si="9"/>
        <v>60.126027397260273</v>
      </c>
    </row>
    <row r="49" spans="1:13" s="697" customFormat="1" ht="14.45" customHeight="1">
      <c r="A49" s="774"/>
      <c r="B49" s="773">
        <v>29972</v>
      </c>
      <c r="C49" s="773">
        <v>32169</v>
      </c>
      <c r="D49" s="773">
        <v>34454</v>
      </c>
      <c r="E49" s="770">
        <f t="shared" si="6"/>
        <v>2166</v>
      </c>
      <c r="F49" s="770">
        <f t="shared" si="7"/>
        <v>72.2</v>
      </c>
      <c r="G49" s="775">
        <f t="shared" si="10"/>
        <v>309.42857142857144</v>
      </c>
      <c r="H49" s="771">
        <f t="shared" si="8"/>
        <v>6.0166666666666666</v>
      </c>
      <c r="I49" s="772">
        <v>28600</v>
      </c>
      <c r="J49" s="773">
        <v>45260</v>
      </c>
      <c r="K49" s="770">
        <v>62134700</v>
      </c>
      <c r="L49" s="769">
        <v>22582</v>
      </c>
      <c r="M49" s="777">
        <f t="shared" si="9"/>
        <v>61.460273972602742</v>
      </c>
    </row>
    <row r="50" spans="1:13" s="697" customFormat="1">
      <c r="A50" s="774"/>
      <c r="B50" s="773">
        <v>30846</v>
      </c>
      <c r="C50" s="773">
        <v>31689</v>
      </c>
      <c r="D50" s="773">
        <v>34454</v>
      </c>
      <c r="E50" s="770">
        <f t="shared" si="6"/>
        <v>831</v>
      </c>
      <c r="F50" s="770">
        <f t="shared" si="7"/>
        <v>27.7</v>
      </c>
      <c r="G50" s="775">
        <f t="shared" si="10"/>
        <v>118.71428571428571</v>
      </c>
      <c r="H50" s="771">
        <f t="shared" si="8"/>
        <v>2.3083333333333331</v>
      </c>
      <c r="I50" s="772">
        <v>22000</v>
      </c>
      <c r="J50" s="773">
        <v>45260</v>
      </c>
      <c r="K50" s="770">
        <v>26996700</v>
      </c>
      <c r="L50" s="769">
        <v>23185</v>
      </c>
      <c r="M50" s="777">
        <f t="shared" si="9"/>
        <v>59.80821917808219</v>
      </c>
    </row>
    <row r="51" spans="1:13" s="697" customFormat="1" ht="14.45" customHeight="1">
      <c r="A51" s="774"/>
      <c r="B51" s="773">
        <v>33697</v>
      </c>
      <c r="C51" s="773">
        <v>34454</v>
      </c>
      <c r="D51" s="773">
        <v>34454</v>
      </c>
      <c r="E51" s="770">
        <f t="shared" si="6"/>
        <v>747</v>
      </c>
      <c r="F51" s="770">
        <f t="shared" si="7"/>
        <v>24.9</v>
      </c>
      <c r="G51" s="775">
        <f t="shared" si="10"/>
        <v>106.71428571428571</v>
      </c>
      <c r="H51" s="771">
        <f t="shared" si="8"/>
        <v>2.0750000000000002</v>
      </c>
      <c r="I51" s="772">
        <v>131374</v>
      </c>
      <c r="J51" s="773">
        <v>45260</v>
      </c>
      <c r="K51" s="770">
        <v>37375900</v>
      </c>
      <c r="L51" s="769">
        <v>23080</v>
      </c>
      <c r="M51" s="777">
        <f t="shared" si="9"/>
        <v>60.095890410958901</v>
      </c>
    </row>
    <row r="52" spans="1:13" s="697" customFormat="1">
      <c r="A52" s="774"/>
      <c r="B52" s="773">
        <v>32914</v>
      </c>
      <c r="C52" s="773">
        <v>33461</v>
      </c>
      <c r="D52" s="773">
        <v>34454</v>
      </c>
      <c r="E52" s="770">
        <f t="shared" si="6"/>
        <v>541</v>
      </c>
      <c r="F52" s="770">
        <f t="shared" si="7"/>
        <v>18.033333333333335</v>
      </c>
      <c r="G52" s="775">
        <f t="shared" si="10"/>
        <v>77.285714285714292</v>
      </c>
      <c r="H52" s="771">
        <f t="shared" si="8"/>
        <v>1.5027777777777778</v>
      </c>
      <c r="I52" s="772">
        <v>41025</v>
      </c>
      <c r="J52" s="773">
        <v>45260</v>
      </c>
      <c r="K52" s="770">
        <v>1</v>
      </c>
      <c r="L52" s="769">
        <v>23080</v>
      </c>
      <c r="M52" s="777">
        <f t="shared" si="9"/>
        <v>60.095890410958901</v>
      </c>
    </row>
    <row r="53" spans="1:13" s="697" customFormat="1" ht="14.45" customHeight="1">
      <c r="A53" s="774"/>
      <c r="B53" s="773">
        <v>33578</v>
      </c>
      <c r="C53" s="773">
        <v>33641</v>
      </c>
      <c r="D53" s="773">
        <v>34454</v>
      </c>
      <c r="E53" s="770">
        <f t="shared" si="6"/>
        <v>61</v>
      </c>
      <c r="F53" s="770">
        <f t="shared" si="7"/>
        <v>2.0333333333333332</v>
      </c>
      <c r="G53" s="775">
        <f t="shared" si="10"/>
        <v>8.7142857142857135</v>
      </c>
      <c r="H53" s="771">
        <f t="shared" si="8"/>
        <v>0.16944444444444445</v>
      </c>
      <c r="I53" s="772">
        <v>63500</v>
      </c>
      <c r="J53" s="773">
        <v>45260</v>
      </c>
      <c r="K53" s="770">
        <v>1</v>
      </c>
      <c r="L53" s="769">
        <v>23080</v>
      </c>
      <c r="M53" s="777">
        <f t="shared" si="9"/>
        <v>60.095890410958901</v>
      </c>
    </row>
    <row r="54" spans="1:13" s="697" customFormat="1" ht="27.6" customHeight="1">
      <c r="A54" s="774" t="s">
        <v>2998</v>
      </c>
      <c r="B54" s="773">
        <v>31515</v>
      </c>
      <c r="C54" s="773">
        <v>34454</v>
      </c>
      <c r="D54" s="773">
        <v>34454</v>
      </c>
      <c r="E54" s="770">
        <f t="shared" si="6"/>
        <v>2897</v>
      </c>
      <c r="F54" s="770">
        <f t="shared" si="7"/>
        <v>96.566666666666663</v>
      </c>
      <c r="G54" s="775">
        <f t="shared" si="10"/>
        <v>413.85714285714283</v>
      </c>
      <c r="H54" s="771">
        <f t="shared" si="8"/>
        <v>8.0472222222222225</v>
      </c>
      <c r="I54" s="772">
        <v>148297</v>
      </c>
      <c r="J54" s="773">
        <v>45351</v>
      </c>
      <c r="K54" s="770">
        <v>71021000</v>
      </c>
      <c r="L54" s="769">
        <v>23229</v>
      </c>
      <c r="M54" s="777">
        <f t="shared" si="9"/>
        <v>59.68767123287671</v>
      </c>
    </row>
    <row r="55" spans="1:13" s="697" customFormat="1" ht="14.45" customHeight="1">
      <c r="A55" s="774"/>
      <c r="B55" s="773">
        <v>31886</v>
      </c>
      <c r="C55" s="773">
        <v>34454</v>
      </c>
      <c r="D55" s="773">
        <v>34454</v>
      </c>
      <c r="E55" s="770">
        <f t="shared" si="6"/>
        <v>2531</v>
      </c>
      <c r="F55" s="770">
        <f t="shared" si="7"/>
        <v>84.36666666666666</v>
      </c>
      <c r="G55" s="775">
        <f t="shared" si="10"/>
        <v>361.57142857142856</v>
      </c>
      <c r="H55" s="771">
        <f t="shared" si="8"/>
        <v>7.0305555555555559</v>
      </c>
      <c r="I55" s="772">
        <v>183000</v>
      </c>
      <c r="J55" s="773">
        <v>45260</v>
      </c>
      <c r="K55" s="770">
        <v>86920100</v>
      </c>
      <c r="L55" s="769">
        <v>23435</v>
      </c>
      <c r="M55" s="777">
        <f t="shared" si="9"/>
        <v>59.123287671232873</v>
      </c>
    </row>
    <row r="56" spans="1:13" s="697" customFormat="1" ht="27.6" customHeight="1">
      <c r="A56" s="774" t="s">
        <v>2998</v>
      </c>
      <c r="B56" s="773">
        <v>33895</v>
      </c>
      <c r="C56" s="773">
        <v>34441</v>
      </c>
      <c r="D56" s="773">
        <v>34454</v>
      </c>
      <c r="E56" s="770">
        <f t="shared" si="6"/>
        <v>539</v>
      </c>
      <c r="F56" s="770">
        <f t="shared" si="7"/>
        <v>17.966666666666665</v>
      </c>
      <c r="G56" s="775">
        <f t="shared" si="10"/>
        <v>77</v>
      </c>
      <c r="H56" s="771">
        <f t="shared" si="8"/>
        <v>1.4972222222222222</v>
      </c>
      <c r="I56" s="772">
        <v>108133</v>
      </c>
      <c r="J56" s="773">
        <v>45351</v>
      </c>
      <c r="K56" s="770">
        <v>15357900</v>
      </c>
      <c r="L56" s="769">
        <v>23388</v>
      </c>
      <c r="M56" s="777">
        <f t="shared" si="9"/>
        <v>59.252054794520546</v>
      </c>
    </row>
    <row r="57" spans="1:13" s="774" customFormat="1" ht="27.6" customHeight="1">
      <c r="B57" s="773">
        <v>32044</v>
      </c>
      <c r="C57" s="773">
        <v>34454</v>
      </c>
      <c r="D57" s="773">
        <v>34454</v>
      </c>
      <c r="E57" s="770">
        <f t="shared" si="6"/>
        <v>2376</v>
      </c>
      <c r="F57" s="770">
        <f t="shared" si="7"/>
        <v>79.2</v>
      </c>
      <c r="G57" s="775">
        <f t="shared" si="10"/>
        <v>339.42857142857144</v>
      </c>
      <c r="H57" s="771">
        <f t="shared" si="8"/>
        <v>6.6</v>
      </c>
      <c r="I57" s="772">
        <v>110000</v>
      </c>
      <c r="J57" s="773">
        <v>45260</v>
      </c>
      <c r="K57" s="770">
        <v>48417200</v>
      </c>
      <c r="L57" s="769">
        <v>26011</v>
      </c>
      <c r="M57" s="777">
        <f t="shared" si="9"/>
        <v>52.065753424657537</v>
      </c>
    </row>
    <row r="58" spans="1:13" s="774" customFormat="1" ht="27.6" customHeight="1">
      <c r="B58" s="773">
        <v>33892</v>
      </c>
      <c r="C58" s="773">
        <v>34454</v>
      </c>
      <c r="D58" s="773">
        <v>34454</v>
      </c>
      <c r="E58" s="770">
        <f t="shared" si="6"/>
        <v>555</v>
      </c>
      <c r="F58" s="770">
        <f t="shared" si="7"/>
        <v>18.5</v>
      </c>
      <c r="G58" s="775">
        <f t="shared" si="10"/>
        <v>79.285714285714292</v>
      </c>
      <c r="H58" s="771">
        <f t="shared" si="8"/>
        <v>1.5416666666666667</v>
      </c>
      <c r="I58" s="772">
        <v>139028</v>
      </c>
      <c r="J58" s="773">
        <v>45260</v>
      </c>
      <c r="K58" s="770">
        <v>16841800</v>
      </c>
      <c r="L58" s="769">
        <v>23784</v>
      </c>
      <c r="M58" s="777">
        <f t="shared" si="9"/>
        <v>58.167123287671231</v>
      </c>
    </row>
    <row r="59" spans="1:13" s="774" customFormat="1" ht="14.45" customHeight="1">
      <c r="A59" s="774" t="s">
        <v>2998</v>
      </c>
      <c r="B59" s="773">
        <v>32801</v>
      </c>
      <c r="C59" s="773">
        <v>34454</v>
      </c>
      <c r="D59" s="773">
        <v>34454</v>
      </c>
      <c r="E59" s="770">
        <f t="shared" si="6"/>
        <v>1630</v>
      </c>
      <c r="F59" s="770">
        <f t="shared" si="7"/>
        <v>54.333333333333336</v>
      </c>
      <c r="G59" s="775">
        <f t="shared" si="10"/>
        <v>232.85714285714286</v>
      </c>
      <c r="H59" s="771">
        <f t="shared" si="8"/>
        <v>4.5277777777777777</v>
      </c>
      <c r="I59" s="772">
        <v>126533</v>
      </c>
      <c r="J59" s="773">
        <v>45351</v>
      </c>
      <c r="K59" s="770">
        <v>42218400</v>
      </c>
      <c r="L59" s="769">
        <v>24171</v>
      </c>
      <c r="M59" s="777">
        <f t="shared" si="9"/>
        <v>57.106849315068494</v>
      </c>
    </row>
    <row r="60" spans="1:13" s="697" customFormat="1" ht="27.6" customHeight="1">
      <c r="A60" s="774"/>
      <c r="B60" s="773">
        <v>31787</v>
      </c>
      <c r="C60" s="773">
        <v>31968</v>
      </c>
      <c r="D60" s="773">
        <v>34454</v>
      </c>
      <c r="E60" s="770">
        <f t="shared" si="6"/>
        <v>180</v>
      </c>
      <c r="F60" s="770">
        <f t="shared" si="7"/>
        <v>6</v>
      </c>
      <c r="G60" s="775">
        <f t="shared" si="10"/>
        <v>25.714285714285715</v>
      </c>
      <c r="H60" s="771">
        <f t="shared" si="8"/>
        <v>0.5</v>
      </c>
      <c r="I60" s="772">
        <v>20510</v>
      </c>
      <c r="J60" s="773">
        <v>45260</v>
      </c>
      <c r="K60" s="770">
        <v>27792500</v>
      </c>
      <c r="L60" s="769">
        <v>24127</v>
      </c>
      <c r="M60" s="777">
        <f t="shared" si="9"/>
        <v>57.227397260273975</v>
      </c>
    </row>
    <row r="61" spans="1:13" s="697" customFormat="1" ht="27.6" customHeight="1">
      <c r="A61" s="774"/>
      <c r="B61" s="773">
        <v>32438</v>
      </c>
      <c r="C61" s="773">
        <v>33563</v>
      </c>
      <c r="D61" s="773">
        <v>34454</v>
      </c>
      <c r="E61" s="770">
        <f t="shared" si="6"/>
        <v>1109</v>
      </c>
      <c r="F61" s="770">
        <f t="shared" si="7"/>
        <v>36.966666666666669</v>
      </c>
      <c r="G61" s="775">
        <f t="shared" si="10"/>
        <v>158.42857142857142</v>
      </c>
      <c r="H61" s="771">
        <f t="shared" si="8"/>
        <v>3.0805555555555557</v>
      </c>
      <c r="I61" s="772">
        <v>57150</v>
      </c>
      <c r="J61" s="773">
        <v>45260</v>
      </c>
      <c r="K61" s="770"/>
      <c r="L61" s="769">
        <v>24127</v>
      </c>
      <c r="M61" s="777">
        <f t="shared" si="9"/>
        <v>57.227397260273975</v>
      </c>
    </row>
    <row r="62" spans="1:13" s="697" customFormat="1" ht="14.45" customHeight="1">
      <c r="A62" s="774"/>
      <c r="B62" s="773">
        <v>31908</v>
      </c>
      <c r="C62" s="773">
        <v>32391</v>
      </c>
      <c r="D62" s="773">
        <v>34454</v>
      </c>
      <c r="E62" s="770">
        <f t="shared" si="6"/>
        <v>474</v>
      </c>
      <c r="F62" s="770">
        <f t="shared" si="7"/>
        <v>15.8</v>
      </c>
      <c r="G62" s="775">
        <f t="shared" si="10"/>
        <v>67.714285714285708</v>
      </c>
      <c r="H62" s="771">
        <f t="shared" si="8"/>
        <v>1.3166666666666667</v>
      </c>
      <c r="I62" s="772">
        <v>25637</v>
      </c>
      <c r="J62" s="773">
        <v>45260</v>
      </c>
      <c r="K62" s="770">
        <v>11982500</v>
      </c>
      <c r="L62" s="769">
        <v>24258</v>
      </c>
      <c r="M62" s="777">
        <f t="shared" si="9"/>
        <v>56.868493150684934</v>
      </c>
    </row>
    <row r="63" spans="1:13" s="697" customFormat="1" ht="14.45" customHeight="1">
      <c r="A63" s="774"/>
      <c r="B63" s="773">
        <v>33086</v>
      </c>
      <c r="C63" s="773">
        <v>34454</v>
      </c>
      <c r="D63" s="773">
        <v>34454</v>
      </c>
      <c r="E63" s="770">
        <f t="shared" si="6"/>
        <v>1349</v>
      </c>
      <c r="F63" s="770">
        <f t="shared" si="7"/>
        <v>44.966666666666669</v>
      </c>
      <c r="G63" s="775">
        <f t="shared" si="10"/>
        <v>192.71428571428572</v>
      </c>
      <c r="H63" s="771">
        <f t="shared" si="8"/>
        <v>3.7472222222222222</v>
      </c>
      <c r="I63" s="772">
        <v>126533</v>
      </c>
      <c r="J63" s="773">
        <v>45260</v>
      </c>
      <c r="K63" s="770">
        <v>34165500</v>
      </c>
      <c r="L63" s="769">
        <v>24745</v>
      </c>
      <c r="M63" s="777">
        <f t="shared" si="9"/>
        <v>55.534246575342465</v>
      </c>
    </row>
    <row r="64" spans="1:13" s="697" customFormat="1" ht="14.45" customHeight="1">
      <c r="A64" s="774"/>
      <c r="B64" s="773">
        <v>33187</v>
      </c>
      <c r="C64" s="773">
        <v>34025</v>
      </c>
      <c r="D64" s="773">
        <v>34454</v>
      </c>
      <c r="E64" s="770">
        <f t="shared" si="6"/>
        <v>825</v>
      </c>
      <c r="F64" s="770">
        <f t="shared" si="7"/>
        <v>27.5</v>
      </c>
      <c r="G64" s="775">
        <f t="shared" si="10"/>
        <v>117.85714285714286</v>
      </c>
      <c r="H64" s="771">
        <f t="shared" si="8"/>
        <v>2.2916666666666665</v>
      </c>
      <c r="I64" s="772">
        <v>81510</v>
      </c>
      <c r="J64" s="773">
        <v>45260</v>
      </c>
      <c r="K64" s="770">
        <v>19027800</v>
      </c>
      <c r="L64" s="769">
        <v>25024</v>
      </c>
      <c r="M64" s="777">
        <f t="shared" si="9"/>
        <v>54.769863013698632</v>
      </c>
    </row>
    <row r="65" spans="1:13" s="697" customFormat="1" ht="14.45" customHeight="1">
      <c r="A65" s="774"/>
      <c r="B65" s="773">
        <v>34154</v>
      </c>
      <c r="C65" s="773">
        <v>34454</v>
      </c>
      <c r="D65" s="773">
        <v>34454</v>
      </c>
      <c r="E65" s="770">
        <f t="shared" si="6"/>
        <v>296</v>
      </c>
      <c r="F65" s="770">
        <f t="shared" si="7"/>
        <v>9.8666666666666671</v>
      </c>
      <c r="G65" s="775">
        <f t="shared" si="10"/>
        <v>42.285714285714285</v>
      </c>
      <c r="H65" s="771">
        <f t="shared" si="8"/>
        <v>0.82222222222222219</v>
      </c>
      <c r="I65" s="772">
        <v>98700</v>
      </c>
      <c r="J65" s="773">
        <v>45260</v>
      </c>
      <c r="K65" s="770">
        <v>7177000</v>
      </c>
      <c r="L65" s="769">
        <v>24533</v>
      </c>
      <c r="M65" s="777">
        <f t="shared" si="9"/>
        <v>56.115068493150687</v>
      </c>
    </row>
    <row r="66" spans="1:13" s="697" customFormat="1" ht="27.6" customHeight="1">
      <c r="A66" s="774"/>
      <c r="B66" s="773">
        <v>32160</v>
      </c>
      <c r="C66" s="773">
        <v>34454</v>
      </c>
      <c r="D66" s="773">
        <v>34454</v>
      </c>
      <c r="E66" s="770">
        <f t="shared" si="6"/>
        <v>2262</v>
      </c>
      <c r="F66" s="770">
        <f t="shared" si="7"/>
        <v>75.400000000000006</v>
      </c>
      <c r="G66" s="775">
        <f t="shared" si="10"/>
        <v>323.14285714285717</v>
      </c>
      <c r="H66" s="771">
        <f t="shared" si="8"/>
        <v>6.2833333333333332</v>
      </c>
      <c r="I66" s="772">
        <v>159380</v>
      </c>
      <c r="J66" s="773">
        <v>45260</v>
      </c>
      <c r="K66" s="770">
        <v>89701000</v>
      </c>
      <c r="L66" s="769">
        <v>25087</v>
      </c>
      <c r="M66" s="777">
        <f t="shared" si="9"/>
        <v>54.597260273972601</v>
      </c>
    </row>
    <row r="67" spans="1:13" s="697" customFormat="1" ht="14.45" customHeight="1">
      <c r="A67" s="774"/>
      <c r="B67" s="773">
        <v>34380</v>
      </c>
      <c r="C67" s="773">
        <v>34454</v>
      </c>
      <c r="D67" s="773">
        <v>34454</v>
      </c>
      <c r="E67" s="770">
        <f t="shared" si="6"/>
        <v>75</v>
      </c>
      <c r="F67" s="770">
        <f t="shared" si="7"/>
        <v>2.5</v>
      </c>
      <c r="G67" s="775">
        <f t="shared" si="10"/>
        <v>10.714285714285714</v>
      </c>
      <c r="H67" s="771">
        <f t="shared" si="8"/>
        <v>0.20833333333333334</v>
      </c>
      <c r="I67" s="772">
        <v>100000</v>
      </c>
      <c r="J67" s="773">
        <v>45260</v>
      </c>
      <c r="K67" s="770">
        <v>1629200</v>
      </c>
      <c r="L67" s="769">
        <v>25447</v>
      </c>
      <c r="M67" s="777">
        <f t="shared" si="9"/>
        <v>53.610958904109587</v>
      </c>
    </row>
    <row r="68" spans="1:13" s="697" customFormat="1" ht="27.6" customHeight="1">
      <c r="A68" s="774"/>
      <c r="B68" s="773">
        <v>33521</v>
      </c>
      <c r="C68" s="773">
        <v>34454</v>
      </c>
      <c r="D68" s="773">
        <v>34454</v>
      </c>
      <c r="E68" s="770">
        <f t="shared" si="6"/>
        <v>920</v>
      </c>
      <c r="F68" s="770">
        <f t="shared" si="7"/>
        <v>30.666666666666668</v>
      </c>
      <c r="G68" s="775">
        <f t="shared" si="10"/>
        <v>131.42857142857142</v>
      </c>
      <c r="H68" s="771">
        <f t="shared" si="8"/>
        <v>2.5555555555555554</v>
      </c>
      <c r="I68" s="772">
        <v>100702</v>
      </c>
      <c r="J68" s="773">
        <v>45260</v>
      </c>
      <c r="K68" s="770">
        <v>38112000</v>
      </c>
      <c r="L68" s="769">
        <v>25552</v>
      </c>
      <c r="M68" s="777">
        <f t="shared" si="9"/>
        <v>53.323287671232876</v>
      </c>
    </row>
    <row r="69" spans="1:13" s="697" customFormat="1" ht="14.45" customHeight="1">
      <c r="A69" s="774"/>
      <c r="B69" s="773">
        <v>33767</v>
      </c>
      <c r="C69" s="773">
        <v>34454</v>
      </c>
      <c r="D69" s="773">
        <v>34454</v>
      </c>
      <c r="E69" s="770">
        <f t="shared" si="6"/>
        <v>678</v>
      </c>
      <c r="F69" s="770">
        <f t="shared" si="7"/>
        <v>22.6</v>
      </c>
      <c r="G69" s="775">
        <f t="shared" si="10"/>
        <v>96.857142857142861</v>
      </c>
      <c r="H69" s="771">
        <f t="shared" si="8"/>
        <v>1.8833333333333333</v>
      </c>
      <c r="I69" s="772">
        <v>110340</v>
      </c>
      <c r="J69" s="773">
        <v>45260</v>
      </c>
      <c r="K69" s="770">
        <v>15670700</v>
      </c>
      <c r="L69" s="769">
        <v>26099</v>
      </c>
      <c r="M69" s="777">
        <f t="shared" si="9"/>
        <v>51.824657534246576</v>
      </c>
    </row>
    <row r="70" spans="1:13" s="697" customFormat="1" ht="14.45" customHeight="1">
      <c r="A70" s="774"/>
      <c r="B70" s="773">
        <v>33892</v>
      </c>
      <c r="C70" s="773">
        <v>34436</v>
      </c>
      <c r="D70" s="773">
        <v>34454</v>
      </c>
      <c r="E70" s="770">
        <f t="shared" si="6"/>
        <v>537</v>
      </c>
      <c r="F70" s="770">
        <f t="shared" si="7"/>
        <v>17.899999999999999</v>
      </c>
      <c r="G70" s="775">
        <f t="shared" si="10"/>
        <v>76.714285714285708</v>
      </c>
      <c r="H70" s="771">
        <f t="shared" si="8"/>
        <v>1.4916666666666667</v>
      </c>
      <c r="I70" s="772">
        <v>100702</v>
      </c>
      <c r="J70" s="773">
        <v>45260</v>
      </c>
      <c r="K70" s="770">
        <v>11655800</v>
      </c>
      <c r="L70" s="769">
        <v>26584</v>
      </c>
      <c r="M70" s="777">
        <f t="shared" si="9"/>
        <v>50.495890410958907</v>
      </c>
    </row>
    <row r="71" spans="1:13" s="697" customFormat="1" ht="27.6" customHeight="1">
      <c r="A71" s="774"/>
      <c r="B71" s="773">
        <v>30456</v>
      </c>
      <c r="C71" s="773">
        <v>32730</v>
      </c>
      <c r="D71" s="773">
        <v>34454</v>
      </c>
      <c r="E71" s="770">
        <f t="shared" si="6"/>
        <v>2240</v>
      </c>
      <c r="F71" s="770">
        <f t="shared" si="7"/>
        <v>74.666666666666671</v>
      </c>
      <c r="G71" s="775">
        <f t="shared" si="10"/>
        <v>320</v>
      </c>
      <c r="H71" s="771">
        <f t="shared" si="8"/>
        <v>6.2222222222222223</v>
      </c>
      <c r="I71" s="772">
        <v>59100</v>
      </c>
      <c r="J71" s="773">
        <v>45260</v>
      </c>
      <c r="K71" s="770">
        <v>137367900</v>
      </c>
      <c r="L71" s="769">
        <v>17414</v>
      </c>
      <c r="M71" s="777">
        <f t="shared" si="9"/>
        <v>75.61917808219178</v>
      </c>
    </row>
    <row r="72" spans="1:13" s="697" customFormat="1" ht="27.6" customHeight="1">
      <c r="A72" s="774"/>
      <c r="B72" s="773">
        <v>27628</v>
      </c>
      <c r="C72" s="773">
        <v>29950</v>
      </c>
      <c r="D72" s="773">
        <v>34454</v>
      </c>
      <c r="E72" s="770">
        <f t="shared" si="6"/>
        <v>2288</v>
      </c>
      <c r="F72" s="770">
        <f t="shared" si="7"/>
        <v>76.266666666666666</v>
      </c>
      <c r="G72" s="770">
        <f t="shared" si="10"/>
        <v>326.85714285714283</v>
      </c>
      <c r="H72" s="771">
        <f t="shared" si="8"/>
        <v>6.3555555555555552</v>
      </c>
      <c r="I72" s="770">
        <v>18000</v>
      </c>
      <c r="J72" s="773">
        <v>45322</v>
      </c>
      <c r="K72" s="770">
        <v>276948000</v>
      </c>
      <c r="L72" s="769">
        <v>18843</v>
      </c>
      <c r="M72" s="777">
        <f t="shared" si="9"/>
        <v>71.704109589041096</v>
      </c>
    </row>
    <row r="73" spans="1:13" s="697" customFormat="1" ht="14.45" customHeight="1">
      <c r="A73" s="774"/>
      <c r="B73" s="773">
        <v>28617</v>
      </c>
      <c r="C73" s="773">
        <v>29364</v>
      </c>
      <c r="D73" s="773">
        <v>34454</v>
      </c>
      <c r="E73" s="770">
        <f t="shared" si="6"/>
        <v>736</v>
      </c>
      <c r="F73" s="770">
        <f t="shared" si="7"/>
        <v>24.533333333333335</v>
      </c>
      <c r="G73" s="775">
        <f t="shared" si="10"/>
        <v>105.14285714285714</v>
      </c>
      <c r="H73" s="771">
        <f t="shared" si="8"/>
        <v>2.0444444444444443</v>
      </c>
      <c r="I73" s="772">
        <v>4500</v>
      </c>
      <c r="J73" s="773">
        <v>45260</v>
      </c>
      <c r="K73" s="770">
        <v>36577600</v>
      </c>
      <c r="L73" s="769">
        <v>20437</v>
      </c>
      <c r="M73" s="777">
        <f t="shared" si="9"/>
        <v>67.336986301369862</v>
      </c>
    </row>
    <row r="74" spans="1:13" s="697" customFormat="1" ht="14.45" customHeight="1">
      <c r="A74" s="774"/>
      <c r="B74" s="773">
        <v>29244</v>
      </c>
      <c r="C74" s="773">
        <v>31779</v>
      </c>
      <c r="D74" s="773">
        <v>34454</v>
      </c>
      <c r="E74" s="770">
        <f t="shared" si="6"/>
        <v>2498</v>
      </c>
      <c r="F74" s="770">
        <f t="shared" si="7"/>
        <v>83.266666666666666</v>
      </c>
      <c r="G74" s="775">
        <f t="shared" si="10"/>
        <v>356.85714285714283</v>
      </c>
      <c r="H74" s="771">
        <f t="shared" si="8"/>
        <v>6.9388888888888891</v>
      </c>
      <c r="I74" s="772">
        <v>21000</v>
      </c>
      <c r="J74" s="773">
        <v>45260</v>
      </c>
      <c r="K74" s="770">
        <v>108378000</v>
      </c>
      <c r="L74" s="769">
        <v>21491</v>
      </c>
      <c r="M74" s="777">
        <f t="shared" si="9"/>
        <v>64.449315068493149</v>
      </c>
    </row>
    <row r="75" spans="1:13" s="697" customFormat="1" ht="14.45" customHeight="1">
      <c r="A75" s="774"/>
      <c r="B75" s="773">
        <v>29979</v>
      </c>
      <c r="C75" s="773">
        <v>30711</v>
      </c>
      <c r="D75" s="773">
        <v>34454</v>
      </c>
      <c r="E75" s="770">
        <f t="shared" si="6"/>
        <v>722</v>
      </c>
      <c r="F75" s="770">
        <f t="shared" si="7"/>
        <v>24.066666666666666</v>
      </c>
      <c r="G75" s="775">
        <f t="shared" si="10"/>
        <v>103.14285714285714</v>
      </c>
      <c r="H75" s="771">
        <f t="shared" si="8"/>
        <v>2.0055555555555555</v>
      </c>
      <c r="I75" s="772">
        <v>11500</v>
      </c>
      <c r="J75" s="773">
        <v>45260</v>
      </c>
      <c r="K75" s="770">
        <v>34179300</v>
      </c>
      <c r="L75" s="769">
        <v>21364</v>
      </c>
      <c r="M75" s="777">
        <f t="shared" si="9"/>
        <v>64.797260273972597</v>
      </c>
    </row>
    <row r="76" spans="1:13" s="697" customFormat="1" ht="14.45" customHeight="1">
      <c r="A76" s="774"/>
      <c r="B76" s="773">
        <v>32964</v>
      </c>
      <c r="C76" s="773">
        <v>33321</v>
      </c>
      <c r="D76" s="773">
        <v>34454</v>
      </c>
      <c r="E76" s="770">
        <f t="shared" si="6"/>
        <v>353</v>
      </c>
      <c r="F76" s="770">
        <f t="shared" si="7"/>
        <v>11.766666666666667</v>
      </c>
      <c r="G76" s="775">
        <f t="shared" si="10"/>
        <v>50.428571428571431</v>
      </c>
      <c r="H76" s="771">
        <f t="shared" si="8"/>
        <v>0.98055555555555551</v>
      </c>
      <c r="I76" s="772">
        <v>51716</v>
      </c>
      <c r="J76" s="773">
        <v>45260</v>
      </c>
      <c r="K76" s="770">
        <v>15603500</v>
      </c>
      <c r="L76" s="769">
        <v>23980</v>
      </c>
      <c r="M76" s="777">
        <f t="shared" si="9"/>
        <v>57.630136986301373</v>
      </c>
    </row>
    <row r="77" spans="1:13" s="697" customFormat="1" ht="27.6" customHeight="1">
      <c r="A77" s="774"/>
      <c r="B77" s="773">
        <v>30980</v>
      </c>
      <c r="C77" s="773">
        <v>32186</v>
      </c>
      <c r="D77" s="773">
        <v>34454</v>
      </c>
      <c r="E77" s="770">
        <f t="shared" si="6"/>
        <v>1188</v>
      </c>
      <c r="F77" s="770">
        <f t="shared" si="7"/>
        <v>39.6</v>
      </c>
      <c r="G77" s="775">
        <f t="shared" si="10"/>
        <v>169.71428571428572</v>
      </c>
      <c r="H77" s="771">
        <f t="shared" si="8"/>
        <v>3.3</v>
      </c>
      <c r="I77" s="772">
        <v>27800</v>
      </c>
      <c r="J77" s="773">
        <v>45260</v>
      </c>
      <c r="K77" s="770">
        <v>49162900</v>
      </c>
      <c r="L77" s="769">
        <v>23920</v>
      </c>
      <c r="M77" s="777">
        <f t="shared" si="9"/>
        <v>57.794520547945204</v>
      </c>
    </row>
    <row r="78" spans="1:13" s="697" customFormat="1">
      <c r="A78" s="774"/>
      <c r="B78" s="773">
        <v>28653</v>
      </c>
      <c r="C78" s="773">
        <v>29950</v>
      </c>
      <c r="D78" s="773">
        <v>34454</v>
      </c>
      <c r="E78" s="770">
        <f t="shared" si="6"/>
        <v>1278</v>
      </c>
      <c r="F78" s="770">
        <f t="shared" si="7"/>
        <v>42.6</v>
      </c>
      <c r="G78" s="775">
        <f t="shared" si="10"/>
        <v>182.57142857142858</v>
      </c>
      <c r="H78" s="771">
        <f t="shared" si="8"/>
        <v>3.55</v>
      </c>
      <c r="I78" s="772">
        <v>6000</v>
      </c>
      <c r="J78" s="773">
        <v>45260</v>
      </c>
      <c r="K78" s="770">
        <v>52305200</v>
      </c>
      <c r="L78" s="769">
        <v>21186</v>
      </c>
      <c r="M78" s="777">
        <f t="shared" si="9"/>
        <v>65.284931506849318</v>
      </c>
    </row>
    <row r="79" spans="1:13" s="697" customFormat="1" ht="14.45" customHeight="1">
      <c r="A79" s="774"/>
      <c r="B79" s="773">
        <v>32948</v>
      </c>
      <c r="C79" s="773">
        <v>34454</v>
      </c>
      <c r="D79" s="773">
        <v>34454</v>
      </c>
      <c r="E79" s="770">
        <f t="shared" si="6"/>
        <v>1484</v>
      </c>
      <c r="F79" s="770">
        <f t="shared" si="7"/>
        <v>49.466666666666669</v>
      </c>
      <c r="G79" s="775">
        <f t="shared" si="10"/>
        <v>212</v>
      </c>
      <c r="H79" s="771">
        <f t="shared" si="8"/>
        <v>4.1222222222222218</v>
      </c>
      <c r="I79" s="772">
        <v>98700</v>
      </c>
      <c r="J79" s="773">
        <v>45260</v>
      </c>
      <c r="K79" s="770">
        <v>40801100</v>
      </c>
      <c r="L79" s="769">
        <v>25079</v>
      </c>
      <c r="M79" s="777">
        <f t="shared" si="9"/>
        <v>54.61917808219178</v>
      </c>
    </row>
    <row r="80" spans="1:13" s="697" customFormat="1" ht="14.45" customHeight="1">
      <c r="A80" s="774"/>
      <c r="B80" s="773">
        <v>34368</v>
      </c>
      <c r="C80" s="773">
        <v>34454</v>
      </c>
      <c r="D80" s="773">
        <v>34454</v>
      </c>
      <c r="E80" s="770">
        <f t="shared" si="6"/>
        <v>87</v>
      </c>
      <c r="F80" s="770">
        <f t="shared" si="7"/>
        <v>2.9</v>
      </c>
      <c r="G80" s="775">
        <f t="shared" si="10"/>
        <v>12.428571428571429</v>
      </c>
      <c r="H80" s="771">
        <f t="shared" si="8"/>
        <v>0.24166666666666667</v>
      </c>
      <c r="I80" s="772">
        <v>98700</v>
      </c>
      <c r="J80" s="773">
        <v>45260</v>
      </c>
      <c r="K80" s="770">
        <v>2539300</v>
      </c>
      <c r="L80" s="769">
        <v>25359</v>
      </c>
      <c r="M80" s="777">
        <f t="shared" si="9"/>
        <v>53.852054794520548</v>
      </c>
    </row>
    <row r="81" spans="1:13" s="697" customFormat="1" ht="27.6" customHeight="1">
      <c r="A81" s="774"/>
      <c r="B81" s="773">
        <v>33725</v>
      </c>
      <c r="C81" s="773">
        <v>34364</v>
      </c>
      <c r="D81" s="773">
        <v>34454</v>
      </c>
      <c r="E81" s="770">
        <f t="shared" si="6"/>
        <v>629</v>
      </c>
      <c r="F81" s="770">
        <f t="shared" si="7"/>
        <v>20.966666666666665</v>
      </c>
      <c r="G81" s="775">
        <f t="shared" si="10"/>
        <v>89.857142857142861</v>
      </c>
      <c r="H81" s="771">
        <f t="shared" si="8"/>
        <v>1.7472222222222222</v>
      </c>
      <c r="I81" s="772">
        <v>99931</v>
      </c>
      <c r="J81" s="773">
        <v>45260</v>
      </c>
      <c r="K81" s="770">
        <v>14082900</v>
      </c>
      <c r="L81" s="769">
        <v>27068</v>
      </c>
      <c r="M81" s="777">
        <f t="shared" si="9"/>
        <v>49.169863013698631</v>
      </c>
    </row>
    <row r="82" spans="1:13" s="697" customFormat="1" ht="14.45" customHeight="1">
      <c r="A82" s="774"/>
      <c r="B82" s="773">
        <v>34425</v>
      </c>
      <c r="C82" s="773">
        <v>34454</v>
      </c>
      <c r="D82" s="773">
        <v>34454</v>
      </c>
      <c r="E82" s="770">
        <f t="shared" si="6"/>
        <v>29</v>
      </c>
      <c r="F82" s="770">
        <f t="shared" si="7"/>
        <v>0.96666666666666667</v>
      </c>
      <c r="G82" s="775">
        <f t="shared" si="10"/>
        <v>4.1428571428571432</v>
      </c>
      <c r="H82" s="771">
        <f t="shared" si="8"/>
        <v>8.0555555555555561E-2</v>
      </c>
      <c r="I82" s="772">
        <v>98700</v>
      </c>
      <c r="J82" s="773">
        <v>45260</v>
      </c>
      <c r="K82" s="770">
        <v>915400</v>
      </c>
      <c r="L82" s="769">
        <v>27341</v>
      </c>
      <c r="M82" s="777">
        <f t="shared" si="9"/>
        <v>48.421917808219177</v>
      </c>
    </row>
    <row r="83" spans="1:13" s="697" customFormat="1" ht="14.45" customHeight="1">
      <c r="A83" s="774"/>
      <c r="B83" s="773">
        <v>28408</v>
      </c>
      <c r="C83" s="773">
        <v>29858</v>
      </c>
      <c r="D83" s="773">
        <v>34454</v>
      </c>
      <c r="E83" s="770">
        <f t="shared" si="6"/>
        <v>1429</v>
      </c>
      <c r="F83" s="770">
        <f t="shared" si="7"/>
        <v>47.633333333333333</v>
      </c>
      <c r="G83" s="775">
        <f t="shared" si="10"/>
        <v>204.14285714285714</v>
      </c>
      <c r="H83" s="771">
        <f t="shared" si="8"/>
        <v>3.9694444444444446</v>
      </c>
      <c r="I83" s="772">
        <v>13000</v>
      </c>
      <c r="J83" s="773">
        <v>45260</v>
      </c>
      <c r="K83" s="770">
        <v>0</v>
      </c>
      <c r="L83" s="769" t="s">
        <v>2997</v>
      </c>
      <c r="M83" s="769"/>
    </row>
    <row r="84" spans="1:13" s="697" customFormat="1" ht="27.6" customHeight="1">
      <c r="A84" s="774"/>
      <c r="B84" s="773">
        <v>29443</v>
      </c>
      <c r="C84" s="773">
        <v>30439</v>
      </c>
      <c r="D84" s="773">
        <v>34454</v>
      </c>
      <c r="E84" s="770">
        <f t="shared" si="6"/>
        <v>983</v>
      </c>
      <c r="F84" s="770">
        <f t="shared" si="7"/>
        <v>32.766666666666666</v>
      </c>
      <c r="G84" s="775">
        <f t="shared" si="10"/>
        <v>140.42857142857142</v>
      </c>
      <c r="H84" s="771">
        <f t="shared" si="8"/>
        <v>2.7305555555555556</v>
      </c>
      <c r="I84" s="772">
        <v>9300</v>
      </c>
      <c r="J84" s="773">
        <v>45260</v>
      </c>
      <c r="K84" s="770">
        <v>56139000</v>
      </c>
      <c r="L84" s="769">
        <v>18821</v>
      </c>
      <c r="M84" s="777">
        <f>(+$L$1-L84)/365</f>
        <v>71.764383561643839</v>
      </c>
    </row>
    <row r="85" spans="1:13" s="697" customFormat="1" ht="14.45" customHeight="1">
      <c r="A85" s="774"/>
      <c r="B85" s="773">
        <v>30773</v>
      </c>
      <c r="C85" s="773">
        <v>32141</v>
      </c>
      <c r="D85" s="773">
        <v>34454</v>
      </c>
      <c r="E85" s="770">
        <f t="shared" si="6"/>
        <v>1349</v>
      </c>
      <c r="F85" s="770">
        <f t="shared" si="7"/>
        <v>44.966666666666669</v>
      </c>
      <c r="G85" s="775">
        <f t="shared" si="10"/>
        <v>192.71428571428572</v>
      </c>
      <c r="H85" s="771">
        <f t="shared" si="8"/>
        <v>3.7472222222222222</v>
      </c>
      <c r="I85" s="772">
        <v>29900</v>
      </c>
      <c r="J85" s="773">
        <v>45260</v>
      </c>
      <c r="K85" s="770">
        <v>61179400</v>
      </c>
      <c r="L85" s="769">
        <v>22307</v>
      </c>
      <c r="M85" s="777">
        <f>(+$L$1-L85)/365</f>
        <v>62.213698630136989</v>
      </c>
    </row>
    <row r="86" spans="1:13" s="697" customFormat="1" ht="27.6" customHeight="1">
      <c r="A86" s="774"/>
      <c r="B86" s="773">
        <v>32181</v>
      </c>
      <c r="C86" s="773">
        <v>34399</v>
      </c>
      <c r="D86" s="773">
        <v>34454</v>
      </c>
      <c r="E86" s="770">
        <f t="shared" si="6"/>
        <v>2188</v>
      </c>
      <c r="F86" s="770">
        <f t="shared" si="7"/>
        <v>72.933333333333337</v>
      </c>
      <c r="G86" s="775">
        <f t="shared" si="10"/>
        <v>312.57142857142856</v>
      </c>
      <c r="H86" s="771">
        <f t="shared" si="8"/>
        <v>6.0777777777777775</v>
      </c>
      <c r="I86" s="772">
        <v>108459</v>
      </c>
      <c r="J86" s="773">
        <v>45260</v>
      </c>
      <c r="K86" s="770">
        <v>66021700</v>
      </c>
      <c r="L86" s="769">
        <v>24030</v>
      </c>
      <c r="M86" s="777">
        <f>(+$L$1-L86)/365</f>
        <v>57.493150684931507</v>
      </c>
    </row>
    <row r="87" spans="1:13" s="697" customFormat="1" ht="14.45" customHeight="1">
      <c r="A87" s="774"/>
      <c r="B87" s="773">
        <v>32977</v>
      </c>
      <c r="C87" s="773">
        <v>33918</v>
      </c>
      <c r="D87" s="773">
        <v>34454</v>
      </c>
      <c r="E87" s="770">
        <f t="shared" si="6"/>
        <v>926</v>
      </c>
      <c r="F87" s="770">
        <f t="shared" si="7"/>
        <v>30.866666666666667</v>
      </c>
      <c r="G87" s="775">
        <f t="shared" si="10"/>
        <v>132.28571428571428</v>
      </c>
      <c r="H87" s="771">
        <f t="shared" si="8"/>
        <v>2.5722222222222224</v>
      </c>
      <c r="I87" s="772">
        <v>65649</v>
      </c>
      <c r="J87" s="773">
        <v>45260</v>
      </c>
      <c r="K87" s="770">
        <v>26606300</v>
      </c>
      <c r="L87" s="769">
        <v>23679</v>
      </c>
      <c r="M87" s="777">
        <f>(+$L$1-L87)/365</f>
        <v>58.454794520547942</v>
      </c>
    </row>
    <row r="88" spans="1:13" s="697" customFormat="1" ht="27.6" customHeight="1">
      <c r="A88" s="774"/>
      <c r="B88" s="773">
        <v>34357</v>
      </c>
      <c r="C88" s="773">
        <v>34454</v>
      </c>
      <c r="D88" s="773">
        <v>34454</v>
      </c>
      <c r="E88" s="775">
        <f t="shared" si="6"/>
        <v>97</v>
      </c>
      <c r="F88" s="775">
        <f t="shared" si="7"/>
        <v>3.2333333333333334</v>
      </c>
      <c r="G88" s="775">
        <f t="shared" si="10"/>
        <v>13.857142857142858</v>
      </c>
      <c r="H88" s="780">
        <f t="shared" si="8"/>
        <v>0.26944444444444443</v>
      </c>
      <c r="I88" s="776">
        <v>145000</v>
      </c>
      <c r="J88" s="773">
        <v>45260</v>
      </c>
      <c r="K88" s="770">
        <v>4180900</v>
      </c>
      <c r="L88" s="769">
        <v>25407</v>
      </c>
      <c r="M88" s="777">
        <f>(+$L$1-L88)/365</f>
        <v>53.720547945205482</v>
      </c>
    </row>
    <row r="89" spans="1:13" s="697" customFormat="1" ht="27.6" customHeight="1">
      <c r="A89" s="774"/>
      <c r="B89" s="773">
        <v>29736</v>
      </c>
      <c r="C89" s="773">
        <v>30107</v>
      </c>
      <c r="D89" s="773">
        <v>34454</v>
      </c>
      <c r="E89" s="770">
        <f t="shared" si="6"/>
        <v>365</v>
      </c>
      <c r="F89" s="770">
        <f t="shared" si="7"/>
        <v>12.166666666666666</v>
      </c>
      <c r="G89" s="775">
        <f t="shared" si="10"/>
        <v>52.142857142857146</v>
      </c>
      <c r="H89" s="771">
        <f t="shared" si="8"/>
        <v>1.0138888888888888</v>
      </c>
      <c r="I89" s="772">
        <v>9000</v>
      </c>
      <c r="J89" s="773">
        <v>45260</v>
      </c>
      <c r="K89" s="770">
        <v>0</v>
      </c>
      <c r="L89" s="769" t="s">
        <v>2997</v>
      </c>
      <c r="M89" s="769"/>
    </row>
    <row r="90" spans="1:13" s="774" customFormat="1" ht="14.45" customHeight="1">
      <c r="B90" s="773">
        <v>30376</v>
      </c>
      <c r="C90" s="773">
        <v>31420</v>
      </c>
      <c r="D90" s="773">
        <v>34454</v>
      </c>
      <c r="E90" s="770">
        <f t="shared" si="6"/>
        <v>1027</v>
      </c>
      <c r="F90" s="770">
        <f t="shared" si="7"/>
        <v>34.233333333333334</v>
      </c>
      <c r="G90" s="775">
        <f t="shared" si="10"/>
        <v>146.71428571428572</v>
      </c>
      <c r="H90" s="771">
        <f t="shared" si="8"/>
        <v>2.8527777777777779</v>
      </c>
      <c r="I90" s="772">
        <v>16811</v>
      </c>
      <c r="J90" s="773">
        <v>45260</v>
      </c>
      <c r="K90" s="770">
        <v>42058200</v>
      </c>
      <c r="L90" s="769">
        <v>22882</v>
      </c>
      <c r="M90" s="777">
        <f>(+$L$1-L90)/365</f>
        <v>60.638356164383559</v>
      </c>
    </row>
    <row r="91" spans="1:13" s="774" customFormat="1" ht="27.6" customHeight="1">
      <c r="B91" s="773">
        <v>30464</v>
      </c>
      <c r="C91" s="773">
        <v>31116</v>
      </c>
      <c r="D91" s="773">
        <v>34454</v>
      </c>
      <c r="E91" s="770">
        <f t="shared" si="6"/>
        <v>642</v>
      </c>
      <c r="F91" s="770">
        <f t="shared" si="7"/>
        <v>21.4</v>
      </c>
      <c r="G91" s="775">
        <f t="shared" si="10"/>
        <v>91.714285714285708</v>
      </c>
      <c r="H91" s="771">
        <f t="shared" si="8"/>
        <v>1.7833333333333334</v>
      </c>
      <c r="I91" s="772">
        <v>13558</v>
      </c>
      <c r="J91" s="773">
        <v>45260</v>
      </c>
      <c r="K91" s="770">
        <v>25849300</v>
      </c>
      <c r="L91" s="769">
        <v>23398</v>
      </c>
      <c r="M91" s="777">
        <f>(+$L$1-L91)/365</f>
        <v>59.224657534246575</v>
      </c>
    </row>
    <row r="92" spans="1:13" s="774" customFormat="1">
      <c r="B92" s="773">
        <v>32964</v>
      </c>
      <c r="C92" s="773">
        <v>33422</v>
      </c>
      <c r="D92" s="773">
        <v>34454</v>
      </c>
      <c r="E92" s="770">
        <f t="shared" si="6"/>
        <v>452</v>
      </c>
      <c r="F92" s="770">
        <f t="shared" si="7"/>
        <v>15.066666666666666</v>
      </c>
      <c r="G92" s="775">
        <f t="shared" si="10"/>
        <v>64.571428571428569</v>
      </c>
      <c r="H92" s="771">
        <f t="shared" si="8"/>
        <v>1.2555555555555555</v>
      </c>
      <c r="I92" s="772">
        <v>160000</v>
      </c>
      <c r="J92" s="773">
        <v>45260</v>
      </c>
      <c r="K92" s="770">
        <v>52358700</v>
      </c>
      <c r="L92" s="769">
        <v>20039</v>
      </c>
      <c r="M92" s="777">
        <f>(+$L$1-L92)/365</f>
        <v>68.427397260273978</v>
      </c>
    </row>
    <row r="93" spans="1:13" s="774" customFormat="1" ht="27.6" customHeight="1">
      <c r="B93" s="773">
        <v>29267</v>
      </c>
      <c r="C93" s="773">
        <v>29645</v>
      </c>
      <c r="D93" s="773">
        <v>34454</v>
      </c>
      <c r="E93" s="770">
        <f t="shared" si="6"/>
        <v>372</v>
      </c>
      <c r="F93" s="770">
        <f t="shared" si="7"/>
        <v>12.4</v>
      </c>
      <c r="G93" s="775">
        <f t="shared" si="10"/>
        <v>53.142857142857146</v>
      </c>
      <c r="H93" s="771">
        <f t="shared" si="8"/>
        <v>1.0333333333333334</v>
      </c>
      <c r="I93" s="772">
        <v>7000</v>
      </c>
      <c r="J93" s="773">
        <v>45260</v>
      </c>
      <c r="K93" s="770">
        <v>23561800</v>
      </c>
      <c r="L93" s="769">
        <v>19997</v>
      </c>
      <c r="M93" s="777">
        <f>(+$L$1-L93)/365</f>
        <v>68.542465753424651</v>
      </c>
    </row>
    <row r="94" spans="1:13" s="774" customFormat="1" ht="13.9" customHeight="1">
      <c r="B94" s="773">
        <v>31387</v>
      </c>
      <c r="C94" s="773">
        <v>31867</v>
      </c>
      <c r="D94" s="773">
        <v>34454</v>
      </c>
      <c r="E94" s="770">
        <f t="shared" si="6"/>
        <v>475</v>
      </c>
      <c r="F94" s="770">
        <f t="shared" si="7"/>
        <v>15.833333333333334</v>
      </c>
      <c r="G94" s="775">
        <f t="shared" si="10"/>
        <v>67.857142857142861</v>
      </c>
      <c r="H94" s="771">
        <f t="shared" si="8"/>
        <v>1.3194444444444444</v>
      </c>
      <c r="I94" s="772">
        <v>78000</v>
      </c>
      <c r="J94" s="773">
        <v>45260</v>
      </c>
      <c r="K94" s="770">
        <v>0</v>
      </c>
      <c r="L94" s="769" t="s">
        <v>2997</v>
      </c>
      <c r="M94" s="769"/>
    </row>
    <row r="95" spans="1:13" s="774" customFormat="1" ht="14.45" customHeight="1">
      <c r="B95" s="773">
        <v>32299</v>
      </c>
      <c r="C95" s="773">
        <v>34454</v>
      </c>
      <c r="D95" s="773">
        <v>34454</v>
      </c>
      <c r="E95" s="770">
        <f t="shared" si="6"/>
        <v>2125</v>
      </c>
      <c r="F95" s="770">
        <f t="shared" si="7"/>
        <v>70.833333333333329</v>
      </c>
      <c r="G95" s="775">
        <f t="shared" si="10"/>
        <v>303.57142857142856</v>
      </c>
      <c r="H95" s="771">
        <f t="shared" si="8"/>
        <v>5.9027777777777777</v>
      </c>
      <c r="I95" s="772">
        <v>102897</v>
      </c>
      <c r="J95" s="773">
        <v>45260</v>
      </c>
      <c r="K95" s="770">
        <v>58180500</v>
      </c>
      <c r="L95" s="769">
        <v>24630</v>
      </c>
      <c r="M95" s="777">
        <f t="shared" ref="M95:M101" si="11">(+$L$1-L95)/365</f>
        <v>55.849315068493148</v>
      </c>
    </row>
    <row r="96" spans="1:13" s="774" customFormat="1" ht="27.6" customHeight="1">
      <c r="B96" s="773">
        <v>32529</v>
      </c>
      <c r="C96" s="773">
        <v>32628</v>
      </c>
      <c r="D96" s="773">
        <v>34454</v>
      </c>
      <c r="E96" s="770">
        <f t="shared" si="6"/>
        <v>99</v>
      </c>
      <c r="F96" s="770">
        <f t="shared" si="7"/>
        <v>3.3</v>
      </c>
      <c r="G96" s="775">
        <f t="shared" si="10"/>
        <v>14.142857142857142</v>
      </c>
      <c r="H96" s="771">
        <f t="shared" si="8"/>
        <v>0.27500000000000002</v>
      </c>
      <c r="I96" s="772">
        <v>43440</v>
      </c>
      <c r="J96" s="773">
        <v>45260</v>
      </c>
      <c r="K96" s="770">
        <v>5100400</v>
      </c>
      <c r="L96" s="769">
        <v>24239</v>
      </c>
      <c r="M96" s="777">
        <f t="shared" si="11"/>
        <v>56.920547945205477</v>
      </c>
    </row>
    <row r="97" spans="1:13" s="774" customFormat="1">
      <c r="B97" s="773">
        <v>32734</v>
      </c>
      <c r="C97" s="773">
        <v>33066</v>
      </c>
      <c r="D97" s="773">
        <v>34454</v>
      </c>
      <c r="E97" s="770">
        <f t="shared" si="6"/>
        <v>328</v>
      </c>
      <c r="F97" s="770">
        <f t="shared" si="7"/>
        <v>10.933333333333334</v>
      </c>
      <c r="G97" s="775">
        <f t="shared" si="10"/>
        <v>46.857142857142854</v>
      </c>
      <c r="H97" s="771">
        <f t="shared" si="8"/>
        <v>0.91111111111111109</v>
      </c>
      <c r="I97" s="772">
        <v>50062</v>
      </c>
      <c r="J97" s="773">
        <v>45260</v>
      </c>
      <c r="K97" s="770">
        <v>13965900</v>
      </c>
      <c r="L97" s="769">
        <v>25499</v>
      </c>
      <c r="M97" s="777">
        <f t="shared" si="11"/>
        <v>53.468493150684928</v>
      </c>
    </row>
    <row r="98" spans="1:13" s="774" customFormat="1" ht="27.6" customHeight="1">
      <c r="B98" s="773">
        <v>34033</v>
      </c>
      <c r="C98" s="773">
        <v>34454</v>
      </c>
      <c r="D98" s="773">
        <v>34454</v>
      </c>
      <c r="E98" s="770">
        <f t="shared" ref="E98:E161" si="12">+IF(IF($C98&lt;$D98,DAYS360($B98,$C98,0),DAYS360($B98,$D98,0))&lt;0,"No aplica",IF($C98&lt;$D98,DAYS360($B98,$C98,0),DAYS360($B98,$D98,0)))</f>
        <v>415</v>
      </c>
      <c r="F98" s="770">
        <f t="shared" ref="F98:F161" si="13">+IFERROR(E98/30,"No aplica")</f>
        <v>13.833333333333334</v>
      </c>
      <c r="G98" s="775">
        <f t="shared" si="10"/>
        <v>59.285714285714285</v>
      </c>
      <c r="H98" s="771">
        <f t="shared" ref="H98:H161" si="14">+IFERROR(E98/360,"No aplica")</f>
        <v>1.1527777777777777</v>
      </c>
      <c r="I98" s="772">
        <v>99931</v>
      </c>
      <c r="J98" s="773">
        <v>45260</v>
      </c>
      <c r="K98" s="770">
        <v>12463800</v>
      </c>
      <c r="L98" s="769">
        <v>25657</v>
      </c>
      <c r="M98" s="777">
        <f t="shared" si="11"/>
        <v>53.035616438356165</v>
      </c>
    </row>
    <row r="99" spans="1:13" s="774" customFormat="1" ht="27.6" customHeight="1">
      <c r="B99" s="773">
        <v>33122</v>
      </c>
      <c r="C99" s="773">
        <v>34454</v>
      </c>
      <c r="D99" s="773">
        <v>34454</v>
      </c>
      <c r="E99" s="770">
        <f t="shared" si="12"/>
        <v>1314</v>
      </c>
      <c r="F99" s="770">
        <f t="shared" si="13"/>
        <v>43.8</v>
      </c>
      <c r="G99" s="775">
        <f t="shared" si="10"/>
        <v>187.71428571428572</v>
      </c>
      <c r="H99" s="771">
        <f t="shared" si="14"/>
        <v>3.65</v>
      </c>
      <c r="I99" s="772">
        <v>101412</v>
      </c>
      <c r="J99" s="773">
        <v>45260</v>
      </c>
      <c r="K99" s="770">
        <v>37264000</v>
      </c>
      <c r="L99" s="769">
        <v>25873</v>
      </c>
      <c r="M99" s="777">
        <f t="shared" si="11"/>
        <v>52.443835616438356</v>
      </c>
    </row>
    <row r="100" spans="1:13" s="774" customFormat="1" ht="27.6" customHeight="1">
      <c r="A100" s="774" t="s">
        <v>2999</v>
      </c>
      <c r="B100" s="773">
        <v>33506</v>
      </c>
      <c r="C100" s="773">
        <v>34454</v>
      </c>
      <c r="D100" s="773">
        <v>34454</v>
      </c>
      <c r="E100" s="770">
        <f t="shared" si="12"/>
        <v>935</v>
      </c>
      <c r="F100" s="770">
        <f t="shared" si="13"/>
        <v>31.166666666666668</v>
      </c>
      <c r="G100" s="775">
        <f t="shared" si="10"/>
        <v>133.57142857142858</v>
      </c>
      <c r="H100" s="771">
        <f t="shared" si="14"/>
        <v>2.5972222222222223</v>
      </c>
      <c r="I100" s="772">
        <v>100702</v>
      </c>
      <c r="J100" s="773">
        <v>45260</v>
      </c>
      <c r="K100" s="770">
        <v>27177200</v>
      </c>
      <c r="L100" s="769">
        <v>26470</v>
      </c>
      <c r="M100" s="777">
        <f t="shared" si="11"/>
        <v>50.80821917808219</v>
      </c>
    </row>
    <row r="101" spans="1:13" s="774" customFormat="1" ht="14.45" customHeight="1">
      <c r="B101" s="773">
        <v>30439</v>
      </c>
      <c r="C101" s="773">
        <v>30805</v>
      </c>
      <c r="D101" s="773">
        <v>34454</v>
      </c>
      <c r="E101" s="770">
        <f t="shared" si="12"/>
        <v>360</v>
      </c>
      <c r="F101" s="770">
        <f t="shared" si="13"/>
        <v>12</v>
      </c>
      <c r="G101" s="775">
        <f t="shared" si="10"/>
        <v>51.428571428571431</v>
      </c>
      <c r="H101" s="771">
        <f t="shared" si="14"/>
        <v>1</v>
      </c>
      <c r="I101" s="772">
        <v>40000</v>
      </c>
      <c r="J101" s="773">
        <v>45260</v>
      </c>
      <c r="K101" s="770">
        <v>49374400</v>
      </c>
      <c r="L101" s="769">
        <v>21903</v>
      </c>
      <c r="M101" s="777">
        <f t="shared" si="11"/>
        <v>63.320547945205476</v>
      </c>
    </row>
    <row r="102" spans="1:13" s="774" customFormat="1" ht="14.45" customHeight="1">
      <c r="B102" s="773">
        <v>31563</v>
      </c>
      <c r="C102" s="773">
        <v>32293</v>
      </c>
      <c r="D102" s="773">
        <v>34454</v>
      </c>
      <c r="E102" s="770">
        <f t="shared" si="12"/>
        <v>720</v>
      </c>
      <c r="F102" s="770">
        <f t="shared" si="13"/>
        <v>24</v>
      </c>
      <c r="G102" s="775">
        <f t="shared" si="10"/>
        <v>102.85714285714286</v>
      </c>
      <c r="H102" s="771">
        <f t="shared" si="14"/>
        <v>2</v>
      </c>
      <c r="I102" s="772">
        <v>26000</v>
      </c>
      <c r="J102" s="773">
        <v>45260</v>
      </c>
      <c r="K102" s="770">
        <v>0</v>
      </c>
      <c r="L102" s="769" t="s">
        <v>2997</v>
      </c>
      <c r="M102" s="769"/>
    </row>
    <row r="103" spans="1:13" s="774" customFormat="1" ht="27.6" customHeight="1">
      <c r="B103" s="773">
        <v>32268</v>
      </c>
      <c r="C103" s="773">
        <v>32658</v>
      </c>
      <c r="D103" s="773">
        <v>34454</v>
      </c>
      <c r="E103" s="770">
        <f t="shared" si="12"/>
        <v>385</v>
      </c>
      <c r="F103" s="770">
        <f t="shared" si="13"/>
        <v>12.833333333333334</v>
      </c>
      <c r="G103" s="775">
        <f t="shared" si="10"/>
        <v>55</v>
      </c>
      <c r="H103" s="771">
        <f t="shared" si="14"/>
        <v>1.0694444444444444</v>
      </c>
      <c r="I103" s="772">
        <v>129900</v>
      </c>
      <c r="J103" s="773">
        <v>45260</v>
      </c>
      <c r="K103" s="770">
        <v>54768300</v>
      </c>
      <c r="L103" s="769">
        <v>23667</v>
      </c>
      <c r="M103" s="777">
        <f t="shared" ref="M103:M138" si="15">(+$L$1-L103)/365</f>
        <v>58.487671232876714</v>
      </c>
    </row>
    <row r="104" spans="1:13" s="774" customFormat="1" ht="27.6" customHeight="1">
      <c r="B104" s="773">
        <v>33364</v>
      </c>
      <c r="C104" s="773">
        <v>33724</v>
      </c>
      <c r="D104" s="773">
        <v>34454</v>
      </c>
      <c r="E104" s="770">
        <f t="shared" si="12"/>
        <v>354</v>
      </c>
      <c r="F104" s="770">
        <f t="shared" si="13"/>
        <v>11.8</v>
      </c>
      <c r="G104" s="775">
        <f t="shared" si="10"/>
        <v>50.571428571428569</v>
      </c>
      <c r="H104" s="771">
        <f t="shared" si="14"/>
        <v>0.98333333333333328</v>
      </c>
      <c r="I104" s="772">
        <v>200000</v>
      </c>
      <c r="J104" s="773">
        <v>45260</v>
      </c>
      <c r="K104" s="770">
        <v>34886200</v>
      </c>
      <c r="L104" s="769">
        <v>25011</v>
      </c>
      <c r="M104" s="777">
        <f t="shared" si="15"/>
        <v>54.805479452054797</v>
      </c>
    </row>
    <row r="105" spans="1:13" s="774" customFormat="1" ht="27.6" customHeight="1">
      <c r="B105" s="773">
        <v>31534</v>
      </c>
      <c r="C105" s="773">
        <v>32019</v>
      </c>
      <c r="D105" s="773">
        <v>34454</v>
      </c>
      <c r="E105" s="770">
        <f t="shared" si="12"/>
        <v>478</v>
      </c>
      <c r="F105" s="770">
        <f t="shared" si="13"/>
        <v>15.933333333333334</v>
      </c>
      <c r="G105" s="775">
        <f t="shared" si="10"/>
        <v>68.285714285714292</v>
      </c>
      <c r="H105" s="771">
        <f t="shared" si="14"/>
        <v>1.3277777777777777</v>
      </c>
      <c r="I105" s="772">
        <v>23400</v>
      </c>
      <c r="J105" s="773">
        <v>45260</v>
      </c>
      <c r="K105" s="770">
        <v>19320800</v>
      </c>
      <c r="L105" s="769">
        <v>22890</v>
      </c>
      <c r="M105" s="777">
        <f t="shared" si="15"/>
        <v>60.61643835616438</v>
      </c>
    </row>
    <row r="106" spans="1:13" s="774" customFormat="1" ht="14.45" customHeight="1">
      <c r="A106" s="774" t="s">
        <v>2998</v>
      </c>
      <c r="B106" s="773">
        <v>32044</v>
      </c>
      <c r="C106" s="773">
        <v>34454</v>
      </c>
      <c r="D106" s="773">
        <v>34454</v>
      </c>
      <c r="E106" s="770">
        <f t="shared" si="12"/>
        <v>2376</v>
      </c>
      <c r="F106" s="770">
        <f t="shared" si="13"/>
        <v>79.2</v>
      </c>
      <c r="G106" s="775">
        <f t="shared" ref="G106:G169" si="16">+E106/7</f>
        <v>339.42857142857144</v>
      </c>
      <c r="H106" s="771">
        <f t="shared" si="14"/>
        <v>6.6</v>
      </c>
      <c r="I106" s="772">
        <v>109382</v>
      </c>
      <c r="J106" s="773">
        <v>45351</v>
      </c>
      <c r="K106" s="770">
        <v>70517600</v>
      </c>
      <c r="L106" s="769">
        <v>24310</v>
      </c>
      <c r="M106" s="777">
        <f t="shared" si="15"/>
        <v>56.726027397260275</v>
      </c>
    </row>
    <row r="107" spans="1:13" s="774" customFormat="1" ht="14.45" customHeight="1">
      <c r="B107" s="773">
        <v>33040</v>
      </c>
      <c r="C107" s="773">
        <v>34454</v>
      </c>
      <c r="D107" s="773">
        <v>34454</v>
      </c>
      <c r="E107" s="770">
        <f t="shared" si="12"/>
        <v>1394</v>
      </c>
      <c r="F107" s="770">
        <f t="shared" si="13"/>
        <v>46.466666666666669</v>
      </c>
      <c r="G107" s="775">
        <f t="shared" si="16"/>
        <v>199.14285714285714</v>
      </c>
      <c r="H107" s="771">
        <f t="shared" si="14"/>
        <v>3.8722222222222222</v>
      </c>
      <c r="I107" s="772">
        <v>101990</v>
      </c>
      <c r="J107" s="773">
        <v>45260</v>
      </c>
      <c r="K107" s="770">
        <v>29784000</v>
      </c>
      <c r="L107" s="769">
        <v>24739</v>
      </c>
      <c r="M107" s="777">
        <f t="shared" si="15"/>
        <v>55.550684931506851</v>
      </c>
    </row>
    <row r="108" spans="1:13" s="774" customFormat="1" ht="14.45" customHeight="1">
      <c r="B108" s="773">
        <v>33604</v>
      </c>
      <c r="C108" s="773">
        <v>34454</v>
      </c>
      <c r="D108" s="773">
        <v>34454</v>
      </c>
      <c r="E108" s="770">
        <f t="shared" si="12"/>
        <v>839</v>
      </c>
      <c r="F108" s="770">
        <f t="shared" si="13"/>
        <v>27.966666666666665</v>
      </c>
      <c r="G108" s="775">
        <f t="shared" si="16"/>
        <v>119.85714285714286</v>
      </c>
      <c r="H108" s="771">
        <f t="shared" si="14"/>
        <v>2.3305555555555557</v>
      </c>
      <c r="I108" s="772">
        <v>110000</v>
      </c>
      <c r="J108" s="773">
        <v>45260</v>
      </c>
      <c r="K108" s="770">
        <v>38564000</v>
      </c>
      <c r="L108" s="769">
        <v>24958</v>
      </c>
      <c r="M108" s="777">
        <f t="shared" si="15"/>
        <v>54.950684931506849</v>
      </c>
    </row>
    <row r="109" spans="1:13" s="774" customFormat="1" ht="27.6" customHeight="1">
      <c r="B109" s="773">
        <v>34238</v>
      </c>
      <c r="C109" s="773">
        <v>34454</v>
      </c>
      <c r="D109" s="773">
        <v>34454</v>
      </c>
      <c r="E109" s="770">
        <f t="shared" si="12"/>
        <v>214</v>
      </c>
      <c r="F109" s="770">
        <f t="shared" si="13"/>
        <v>7.1333333333333337</v>
      </c>
      <c r="G109" s="775">
        <f t="shared" si="16"/>
        <v>30.571428571428573</v>
      </c>
      <c r="H109" s="771">
        <f t="shared" si="14"/>
        <v>0.59444444444444444</v>
      </c>
      <c r="I109" s="772">
        <v>99931</v>
      </c>
      <c r="J109" s="773">
        <v>45260</v>
      </c>
      <c r="K109" s="770">
        <v>6590700</v>
      </c>
      <c r="L109" s="769">
        <v>24555</v>
      </c>
      <c r="M109" s="777">
        <f t="shared" si="15"/>
        <v>56.054794520547944</v>
      </c>
    </row>
    <row r="110" spans="1:13" s="774" customFormat="1" ht="27.6" customHeight="1">
      <c r="B110" s="773">
        <v>32592</v>
      </c>
      <c r="C110" s="773">
        <v>34454</v>
      </c>
      <c r="D110" s="773">
        <v>34454</v>
      </c>
      <c r="E110" s="770">
        <f t="shared" si="12"/>
        <v>1835</v>
      </c>
      <c r="F110" s="770">
        <f t="shared" si="13"/>
        <v>61.166666666666664</v>
      </c>
      <c r="G110" s="775">
        <f t="shared" si="16"/>
        <v>262.14285714285717</v>
      </c>
      <c r="H110" s="771">
        <f t="shared" si="14"/>
        <v>5.0972222222222223</v>
      </c>
      <c r="I110" s="772">
        <v>120000</v>
      </c>
      <c r="J110" s="773">
        <v>45260</v>
      </c>
      <c r="K110" s="770">
        <v>55911000</v>
      </c>
      <c r="L110" s="769">
        <v>25049</v>
      </c>
      <c r="M110" s="777">
        <f t="shared" si="15"/>
        <v>54.701369863013696</v>
      </c>
    </row>
    <row r="111" spans="1:13" s="774" customFormat="1" ht="27.6" customHeight="1">
      <c r="B111" s="773">
        <v>33327</v>
      </c>
      <c r="C111" s="773">
        <v>34454</v>
      </c>
      <c r="D111" s="773">
        <v>34454</v>
      </c>
      <c r="E111" s="770">
        <f t="shared" si="12"/>
        <v>1110</v>
      </c>
      <c r="F111" s="770">
        <f t="shared" si="13"/>
        <v>37</v>
      </c>
      <c r="G111" s="775">
        <f t="shared" si="16"/>
        <v>158.57142857142858</v>
      </c>
      <c r="H111" s="771">
        <f t="shared" si="14"/>
        <v>3.0833333333333335</v>
      </c>
      <c r="I111" s="772">
        <v>101412</v>
      </c>
      <c r="J111" s="773">
        <v>45260</v>
      </c>
      <c r="K111" s="770">
        <v>42545600</v>
      </c>
      <c r="L111" s="769">
        <v>25280</v>
      </c>
      <c r="M111" s="777">
        <f t="shared" si="15"/>
        <v>54.06849315068493</v>
      </c>
    </row>
    <row r="112" spans="1:13" s="774" customFormat="1" ht="27.6" customHeight="1">
      <c r="B112" s="773">
        <v>33944</v>
      </c>
      <c r="C112" s="773">
        <v>34150</v>
      </c>
      <c r="D112" s="773">
        <v>34454</v>
      </c>
      <c r="E112" s="770">
        <f t="shared" si="12"/>
        <v>204</v>
      </c>
      <c r="F112" s="770">
        <f t="shared" si="13"/>
        <v>6.8</v>
      </c>
      <c r="G112" s="775">
        <f t="shared" si="16"/>
        <v>29.142857142857142</v>
      </c>
      <c r="H112" s="771">
        <f t="shared" si="14"/>
        <v>0.56666666666666665</v>
      </c>
      <c r="I112" s="772"/>
      <c r="J112" s="773">
        <v>45351</v>
      </c>
      <c r="K112" s="770">
        <v>1</v>
      </c>
      <c r="L112" s="769">
        <v>25676</v>
      </c>
      <c r="M112" s="777">
        <f t="shared" si="15"/>
        <v>52.983561643835614</v>
      </c>
    </row>
    <row r="113" spans="1:13" s="774" customFormat="1" ht="27.6" customHeight="1">
      <c r="A113" s="774" t="s">
        <v>68</v>
      </c>
      <c r="B113" s="773">
        <v>34154</v>
      </c>
      <c r="C113" s="773">
        <v>34454</v>
      </c>
      <c r="D113" s="773">
        <v>34454</v>
      </c>
      <c r="E113" s="770">
        <f t="shared" si="12"/>
        <v>296</v>
      </c>
      <c r="F113" s="770">
        <f t="shared" si="13"/>
        <v>9.8666666666666671</v>
      </c>
      <c r="G113" s="775">
        <f t="shared" si="16"/>
        <v>42.285714285714285</v>
      </c>
      <c r="H113" s="771">
        <f t="shared" si="14"/>
        <v>0.82222222222222219</v>
      </c>
      <c r="I113" s="772">
        <v>98700</v>
      </c>
      <c r="J113" s="771"/>
      <c r="K113" s="770">
        <v>1</v>
      </c>
      <c r="L113" s="769">
        <v>25676</v>
      </c>
      <c r="M113" s="777">
        <f t="shared" si="15"/>
        <v>52.983561643835614</v>
      </c>
    </row>
    <row r="114" spans="1:13" s="774" customFormat="1" ht="27.6" customHeight="1">
      <c r="A114" s="774" t="s">
        <v>2998</v>
      </c>
      <c r="B114" s="773">
        <v>33604</v>
      </c>
      <c r="C114" s="773">
        <v>33670</v>
      </c>
      <c r="D114" s="773">
        <v>34454</v>
      </c>
      <c r="E114" s="770">
        <f t="shared" si="12"/>
        <v>66</v>
      </c>
      <c r="F114" s="770">
        <f t="shared" si="13"/>
        <v>2.2000000000000002</v>
      </c>
      <c r="G114" s="775">
        <f t="shared" si="16"/>
        <v>9.4285714285714288</v>
      </c>
      <c r="H114" s="771">
        <f t="shared" si="14"/>
        <v>0.18333333333333332</v>
      </c>
      <c r="I114" s="772"/>
      <c r="J114" s="773">
        <v>45260</v>
      </c>
      <c r="K114" s="770">
        <v>17191500</v>
      </c>
      <c r="L114" s="769">
        <v>25676</v>
      </c>
      <c r="M114" s="777">
        <f t="shared" si="15"/>
        <v>52.983561643835614</v>
      </c>
    </row>
    <row r="115" spans="1:13" s="774" customFormat="1" ht="14.45" customHeight="1">
      <c r="B115" s="773">
        <v>33329</v>
      </c>
      <c r="C115" s="773">
        <v>33635</v>
      </c>
      <c r="D115" s="773">
        <v>34454</v>
      </c>
      <c r="E115" s="770">
        <f t="shared" si="12"/>
        <v>300</v>
      </c>
      <c r="F115" s="770">
        <f t="shared" si="13"/>
        <v>10</v>
      </c>
      <c r="G115" s="775">
        <f t="shared" si="16"/>
        <v>42.857142857142854</v>
      </c>
      <c r="H115" s="771">
        <f t="shared" si="14"/>
        <v>0.83333333333333337</v>
      </c>
      <c r="I115" s="772">
        <v>65190</v>
      </c>
      <c r="J115" s="773">
        <v>45260</v>
      </c>
      <c r="K115" s="770">
        <v>27386300</v>
      </c>
      <c r="L115" s="769">
        <v>25787</v>
      </c>
      <c r="M115" s="777">
        <f t="shared" si="15"/>
        <v>52.679452054794524</v>
      </c>
    </row>
    <row r="116" spans="1:13" s="774" customFormat="1" ht="14.45" customHeight="1">
      <c r="B116" s="773">
        <v>33797</v>
      </c>
      <c r="C116" s="773">
        <v>34454</v>
      </c>
      <c r="D116" s="773">
        <v>34454</v>
      </c>
      <c r="E116" s="770">
        <f t="shared" si="12"/>
        <v>648</v>
      </c>
      <c r="F116" s="770">
        <f t="shared" si="13"/>
        <v>21.6</v>
      </c>
      <c r="G116" s="775">
        <f t="shared" si="16"/>
        <v>92.571428571428569</v>
      </c>
      <c r="H116" s="771">
        <f t="shared" si="14"/>
        <v>1.8</v>
      </c>
      <c r="I116" s="772">
        <v>99931</v>
      </c>
      <c r="J116" s="773">
        <v>45260</v>
      </c>
      <c r="K116" s="770">
        <v>1</v>
      </c>
      <c r="L116" s="769">
        <v>25787</v>
      </c>
      <c r="M116" s="777">
        <f t="shared" si="15"/>
        <v>52.679452054794524</v>
      </c>
    </row>
    <row r="117" spans="1:13" s="697" customFormat="1" ht="14.45" customHeight="1">
      <c r="A117" s="774"/>
      <c r="B117" s="773">
        <v>33452</v>
      </c>
      <c r="C117" s="773">
        <v>33754</v>
      </c>
      <c r="D117" s="773">
        <v>33785</v>
      </c>
      <c r="E117" s="770">
        <f t="shared" si="12"/>
        <v>298</v>
      </c>
      <c r="F117" s="770">
        <f t="shared" si="13"/>
        <v>9.9333333333333336</v>
      </c>
      <c r="G117" s="775">
        <f t="shared" si="16"/>
        <v>42.571428571428569</v>
      </c>
      <c r="H117" s="771">
        <f t="shared" si="14"/>
        <v>0.82777777777777772</v>
      </c>
      <c r="I117" s="772">
        <v>52102</v>
      </c>
      <c r="J117" s="773">
        <v>45260</v>
      </c>
      <c r="K117" s="770">
        <v>1</v>
      </c>
      <c r="L117" s="769">
        <v>25787</v>
      </c>
      <c r="M117" s="777">
        <f t="shared" si="15"/>
        <v>52.679452054794524</v>
      </c>
    </row>
    <row r="118" spans="1:13" s="697" customFormat="1" ht="14.45" customHeight="1">
      <c r="A118" s="774" t="s">
        <v>2999</v>
      </c>
      <c r="B118" s="773">
        <v>33913</v>
      </c>
      <c r="C118" s="773">
        <v>34155</v>
      </c>
      <c r="D118" s="773">
        <v>34454</v>
      </c>
      <c r="E118" s="770">
        <f t="shared" si="12"/>
        <v>240</v>
      </c>
      <c r="F118" s="770">
        <f t="shared" si="13"/>
        <v>8</v>
      </c>
      <c r="G118" s="775">
        <f t="shared" si="16"/>
        <v>34.285714285714285</v>
      </c>
      <c r="H118" s="771">
        <f t="shared" si="14"/>
        <v>0.66666666666666663</v>
      </c>
      <c r="I118" s="772">
        <v>81510</v>
      </c>
      <c r="J118" s="773">
        <v>45260</v>
      </c>
      <c r="K118" s="770">
        <v>16042900</v>
      </c>
      <c r="L118" s="769">
        <v>25954</v>
      </c>
      <c r="M118" s="777">
        <f t="shared" si="15"/>
        <v>52.221917808219175</v>
      </c>
    </row>
    <row r="119" spans="1:13" s="697" customFormat="1" ht="14.45" customHeight="1">
      <c r="A119" s="774"/>
      <c r="B119" s="773">
        <v>31505</v>
      </c>
      <c r="C119" s="773">
        <v>34454</v>
      </c>
      <c r="D119" s="773">
        <v>34454</v>
      </c>
      <c r="E119" s="770">
        <f t="shared" si="12"/>
        <v>2907</v>
      </c>
      <c r="F119" s="770">
        <f t="shared" si="13"/>
        <v>96.9</v>
      </c>
      <c r="G119" s="775">
        <f t="shared" si="16"/>
        <v>415.28571428571428</v>
      </c>
      <c r="H119" s="771">
        <f t="shared" si="14"/>
        <v>8.0749999999999993</v>
      </c>
      <c r="I119" s="772">
        <v>109382</v>
      </c>
      <c r="J119" s="773">
        <v>45260</v>
      </c>
      <c r="K119" s="770">
        <v>79302700</v>
      </c>
      <c r="L119" s="769">
        <v>24670</v>
      </c>
      <c r="M119" s="777">
        <f t="shared" si="15"/>
        <v>55.739726027397261</v>
      </c>
    </row>
    <row r="120" spans="1:13" s="697" customFormat="1" ht="31.9" customHeight="1">
      <c r="A120" s="774"/>
      <c r="B120" s="773">
        <v>33466</v>
      </c>
      <c r="C120" s="773">
        <v>33831</v>
      </c>
      <c r="D120" s="773">
        <v>34454</v>
      </c>
      <c r="E120" s="770">
        <f t="shared" si="12"/>
        <v>359</v>
      </c>
      <c r="F120" s="770">
        <f t="shared" si="13"/>
        <v>11.966666666666667</v>
      </c>
      <c r="G120" s="775">
        <f t="shared" si="16"/>
        <v>51.285714285714285</v>
      </c>
      <c r="H120" s="771">
        <f t="shared" si="14"/>
        <v>0.99722222222222223</v>
      </c>
      <c r="I120" s="772">
        <v>200000</v>
      </c>
      <c r="J120" s="773">
        <v>45260</v>
      </c>
      <c r="K120" s="770">
        <v>32227300</v>
      </c>
      <c r="L120" s="769">
        <v>24740</v>
      </c>
      <c r="M120" s="777">
        <f t="shared" si="15"/>
        <v>55.547945205479451</v>
      </c>
    </row>
    <row r="121" spans="1:13" s="697" customFormat="1" ht="14.45" customHeight="1">
      <c r="A121" s="774"/>
      <c r="B121" s="773">
        <v>33489</v>
      </c>
      <c r="C121" s="773">
        <v>34454</v>
      </c>
      <c r="D121" s="773">
        <v>34454</v>
      </c>
      <c r="E121" s="770">
        <f t="shared" si="12"/>
        <v>952</v>
      </c>
      <c r="F121" s="770">
        <f t="shared" si="13"/>
        <v>31.733333333333334</v>
      </c>
      <c r="G121" s="775">
        <f t="shared" si="16"/>
        <v>136</v>
      </c>
      <c r="H121" s="771">
        <f t="shared" si="14"/>
        <v>2.6444444444444444</v>
      </c>
      <c r="I121" s="772">
        <v>100702</v>
      </c>
      <c r="J121" s="773">
        <v>45260</v>
      </c>
      <c r="K121" s="770">
        <v>28261900</v>
      </c>
      <c r="L121" s="769">
        <v>24292</v>
      </c>
      <c r="M121" s="777">
        <f t="shared" si="15"/>
        <v>56.775342465753425</v>
      </c>
    </row>
    <row r="122" spans="1:13" s="697" customFormat="1" ht="14.45" customHeight="1">
      <c r="A122" s="774"/>
      <c r="B122" s="773">
        <v>33992</v>
      </c>
      <c r="C122" s="773">
        <v>34364</v>
      </c>
      <c r="D122" s="773">
        <v>34454</v>
      </c>
      <c r="E122" s="770">
        <f t="shared" si="12"/>
        <v>367</v>
      </c>
      <c r="F122" s="770">
        <f t="shared" si="13"/>
        <v>12.233333333333333</v>
      </c>
      <c r="G122" s="775">
        <f t="shared" si="16"/>
        <v>52.428571428571431</v>
      </c>
      <c r="H122" s="771">
        <f t="shared" si="14"/>
        <v>1.0194444444444444</v>
      </c>
      <c r="I122" s="772">
        <v>98700</v>
      </c>
      <c r="J122" s="773">
        <v>45260</v>
      </c>
      <c r="K122" s="770">
        <v>11635900</v>
      </c>
      <c r="L122" s="769">
        <v>25897</v>
      </c>
      <c r="M122" s="777">
        <f t="shared" si="15"/>
        <v>52.37808219178082</v>
      </c>
    </row>
    <row r="123" spans="1:13" s="697" customFormat="1" ht="13.9" customHeight="1">
      <c r="A123" s="774"/>
      <c r="B123" s="773">
        <v>34315</v>
      </c>
      <c r="C123" s="773">
        <v>34454</v>
      </c>
      <c r="D123" s="773">
        <v>34454</v>
      </c>
      <c r="E123" s="770">
        <f t="shared" si="12"/>
        <v>138</v>
      </c>
      <c r="F123" s="770">
        <f t="shared" si="13"/>
        <v>4.5999999999999996</v>
      </c>
      <c r="G123" s="775">
        <f t="shared" si="16"/>
        <v>19.714285714285715</v>
      </c>
      <c r="H123" s="771">
        <f t="shared" si="14"/>
        <v>0.38333333333333336</v>
      </c>
      <c r="I123" s="772">
        <v>118934</v>
      </c>
      <c r="J123" s="773">
        <v>45260</v>
      </c>
      <c r="K123" s="770">
        <v>5047200</v>
      </c>
      <c r="L123" s="769">
        <v>26158</v>
      </c>
      <c r="M123" s="777">
        <f t="shared" si="15"/>
        <v>51.663013698630138</v>
      </c>
    </row>
    <row r="124" spans="1:13" s="697" customFormat="1" ht="14.45" customHeight="1">
      <c r="A124" s="774"/>
      <c r="B124" s="773">
        <v>34223</v>
      </c>
      <c r="C124" s="773">
        <v>34454</v>
      </c>
      <c r="D124" s="773">
        <v>34454</v>
      </c>
      <c r="E124" s="770">
        <f t="shared" si="12"/>
        <v>229</v>
      </c>
      <c r="F124" s="770">
        <f t="shared" si="13"/>
        <v>7.6333333333333337</v>
      </c>
      <c r="G124" s="775">
        <f t="shared" si="16"/>
        <v>32.714285714285715</v>
      </c>
      <c r="H124" s="771">
        <f t="shared" si="14"/>
        <v>0.63611111111111107</v>
      </c>
      <c r="I124" s="772">
        <v>99931</v>
      </c>
      <c r="J124" s="773">
        <v>45260</v>
      </c>
      <c r="K124" s="770">
        <v>6996300</v>
      </c>
      <c r="L124" s="769">
        <v>26695</v>
      </c>
      <c r="M124" s="777">
        <f t="shared" si="15"/>
        <v>50.19178082191781</v>
      </c>
    </row>
    <row r="125" spans="1:13" s="697" customFormat="1" ht="27.6" customHeight="1">
      <c r="A125" s="774"/>
      <c r="B125" s="773">
        <v>33829</v>
      </c>
      <c r="C125" s="773">
        <v>34454</v>
      </c>
      <c r="D125" s="773">
        <v>34454</v>
      </c>
      <c r="E125" s="770">
        <f t="shared" si="12"/>
        <v>617</v>
      </c>
      <c r="F125" s="770">
        <f t="shared" si="13"/>
        <v>20.566666666666666</v>
      </c>
      <c r="G125" s="775">
        <f t="shared" si="16"/>
        <v>88.142857142857139</v>
      </c>
      <c r="H125" s="771">
        <f t="shared" si="14"/>
        <v>1.7138888888888888</v>
      </c>
      <c r="I125" s="772">
        <v>110340</v>
      </c>
      <c r="J125" s="773">
        <v>45260</v>
      </c>
      <c r="K125" s="770">
        <v>20126100</v>
      </c>
      <c r="L125" s="769">
        <v>26386</v>
      </c>
      <c r="M125" s="777">
        <f t="shared" si="15"/>
        <v>51.038356164383565</v>
      </c>
    </row>
    <row r="126" spans="1:13" s="697" customFormat="1" ht="14.45" customHeight="1">
      <c r="A126" s="774"/>
      <c r="B126" s="773">
        <v>32734</v>
      </c>
      <c r="C126" s="773">
        <v>33300</v>
      </c>
      <c r="D126" s="773">
        <v>34454</v>
      </c>
      <c r="E126" s="770">
        <f t="shared" si="12"/>
        <v>559</v>
      </c>
      <c r="F126" s="770">
        <f t="shared" si="13"/>
        <v>18.633333333333333</v>
      </c>
      <c r="G126" s="775">
        <f t="shared" si="16"/>
        <v>79.857142857142861</v>
      </c>
      <c r="H126" s="771">
        <f t="shared" si="14"/>
        <v>1.5527777777777778</v>
      </c>
      <c r="I126" s="772">
        <v>65190</v>
      </c>
      <c r="J126" s="773">
        <v>45260</v>
      </c>
      <c r="K126" s="770">
        <v>24860700</v>
      </c>
      <c r="L126" s="769">
        <v>23808</v>
      </c>
      <c r="M126" s="777">
        <f t="shared" si="15"/>
        <v>58.101369863013701</v>
      </c>
    </row>
    <row r="127" spans="1:13" s="697" customFormat="1" ht="14.45" customHeight="1">
      <c r="A127" s="774"/>
      <c r="B127" s="773">
        <v>34337</v>
      </c>
      <c r="C127" s="773">
        <v>34454</v>
      </c>
      <c r="D127" s="773">
        <v>34454</v>
      </c>
      <c r="E127" s="770">
        <f t="shared" si="12"/>
        <v>117</v>
      </c>
      <c r="F127" s="770">
        <f t="shared" si="13"/>
        <v>3.9</v>
      </c>
      <c r="G127" s="775">
        <f t="shared" si="16"/>
        <v>16.714285714285715</v>
      </c>
      <c r="H127" s="771">
        <f t="shared" si="14"/>
        <v>0.32500000000000001</v>
      </c>
      <c r="I127" s="772">
        <v>367800</v>
      </c>
      <c r="J127" s="773">
        <v>45260</v>
      </c>
      <c r="K127" s="770">
        <v>12792100</v>
      </c>
      <c r="L127" s="769">
        <v>26058</v>
      </c>
      <c r="M127" s="777">
        <f t="shared" si="15"/>
        <v>51.936986301369863</v>
      </c>
    </row>
    <row r="128" spans="1:13" s="697" customFormat="1" ht="27.6" customHeight="1">
      <c r="A128" s="774"/>
      <c r="B128" s="773">
        <v>33623</v>
      </c>
      <c r="C128" s="773">
        <v>34454</v>
      </c>
      <c r="D128" s="773">
        <v>34454</v>
      </c>
      <c r="E128" s="770">
        <f t="shared" si="12"/>
        <v>820</v>
      </c>
      <c r="F128" s="770">
        <f t="shared" si="13"/>
        <v>27.333333333333332</v>
      </c>
      <c r="G128" s="775">
        <f t="shared" si="16"/>
        <v>117.14285714285714</v>
      </c>
      <c r="H128" s="771">
        <f t="shared" si="14"/>
        <v>2.2777777777777777</v>
      </c>
      <c r="I128" s="772">
        <v>100702</v>
      </c>
      <c r="J128" s="773">
        <v>45260</v>
      </c>
      <c r="K128" s="770">
        <v>17353500</v>
      </c>
      <c r="L128" s="769">
        <v>25288</v>
      </c>
      <c r="M128" s="777">
        <f t="shared" si="15"/>
        <v>54.046575342465751</v>
      </c>
    </row>
    <row r="129" spans="1:13" s="697" customFormat="1" ht="27.6" customHeight="1">
      <c r="A129" s="774"/>
      <c r="B129" s="773">
        <v>34201</v>
      </c>
      <c r="C129" s="773">
        <v>34454</v>
      </c>
      <c r="D129" s="773">
        <v>34454</v>
      </c>
      <c r="E129" s="770">
        <f t="shared" si="12"/>
        <v>250</v>
      </c>
      <c r="F129" s="770">
        <f t="shared" si="13"/>
        <v>8.3333333333333339</v>
      </c>
      <c r="G129" s="775">
        <f t="shared" si="16"/>
        <v>35.714285714285715</v>
      </c>
      <c r="H129" s="771">
        <f t="shared" si="14"/>
        <v>0.69444444444444442</v>
      </c>
      <c r="I129" s="772">
        <v>367800</v>
      </c>
      <c r="J129" s="773">
        <v>45260</v>
      </c>
      <c r="K129" s="770">
        <v>27001600</v>
      </c>
      <c r="L129" s="769">
        <v>25700</v>
      </c>
      <c r="M129" s="777">
        <f t="shared" si="15"/>
        <v>52.917808219178085</v>
      </c>
    </row>
    <row r="130" spans="1:13" s="697" customFormat="1" ht="27.6" customHeight="1">
      <c r="A130" s="774"/>
      <c r="B130" s="773">
        <v>34252</v>
      </c>
      <c r="C130" s="773">
        <v>34454</v>
      </c>
      <c r="D130" s="773">
        <v>34454</v>
      </c>
      <c r="E130" s="770">
        <f t="shared" si="12"/>
        <v>200</v>
      </c>
      <c r="F130" s="770">
        <f t="shared" si="13"/>
        <v>6.666666666666667</v>
      </c>
      <c r="G130" s="775">
        <f t="shared" si="16"/>
        <v>28.571428571428573</v>
      </c>
      <c r="H130" s="771">
        <f t="shared" si="14"/>
        <v>0.55555555555555558</v>
      </c>
      <c r="I130" s="772">
        <v>367800</v>
      </c>
      <c r="J130" s="773">
        <v>45260</v>
      </c>
      <c r="K130" s="770">
        <v>21717700</v>
      </c>
      <c r="L130" s="769">
        <v>25816</v>
      </c>
      <c r="M130" s="777">
        <f t="shared" si="15"/>
        <v>52.6</v>
      </c>
    </row>
    <row r="131" spans="1:13" s="697" customFormat="1" ht="27.6" customHeight="1">
      <c r="A131" s="774"/>
      <c r="B131" s="773">
        <v>34243</v>
      </c>
      <c r="C131" s="773">
        <v>34454</v>
      </c>
      <c r="D131" s="773">
        <v>34454</v>
      </c>
      <c r="E131" s="770">
        <f t="shared" si="12"/>
        <v>209</v>
      </c>
      <c r="F131" s="770">
        <f t="shared" si="13"/>
        <v>6.9666666666666668</v>
      </c>
      <c r="G131" s="775">
        <f t="shared" si="16"/>
        <v>29.857142857142858</v>
      </c>
      <c r="H131" s="771">
        <f t="shared" si="14"/>
        <v>0.5805555555555556</v>
      </c>
      <c r="I131" s="772">
        <v>367800</v>
      </c>
      <c r="J131" s="773">
        <v>45260</v>
      </c>
      <c r="K131" s="770">
        <v>22553800</v>
      </c>
      <c r="L131" s="769">
        <v>25685</v>
      </c>
      <c r="M131" s="777">
        <f t="shared" si="15"/>
        <v>52.958904109589042</v>
      </c>
    </row>
    <row r="132" spans="1:13" s="697" customFormat="1" ht="14.45" customHeight="1">
      <c r="A132" s="774"/>
      <c r="B132" s="773">
        <v>30135</v>
      </c>
      <c r="C132" s="773">
        <v>30836</v>
      </c>
      <c r="D132" s="773">
        <v>34454</v>
      </c>
      <c r="E132" s="770">
        <f t="shared" si="12"/>
        <v>690</v>
      </c>
      <c r="F132" s="770">
        <f t="shared" si="13"/>
        <v>23</v>
      </c>
      <c r="G132" s="775">
        <f t="shared" si="16"/>
        <v>98.571428571428569</v>
      </c>
      <c r="H132" s="771">
        <f t="shared" si="14"/>
        <v>1.9166666666666667</v>
      </c>
      <c r="I132" s="772">
        <v>45000</v>
      </c>
      <c r="J132" s="773">
        <v>45260</v>
      </c>
      <c r="K132" s="770">
        <v>102846200</v>
      </c>
      <c r="L132" s="769">
        <v>22307</v>
      </c>
      <c r="M132" s="777">
        <f t="shared" si="15"/>
        <v>62.213698630136989</v>
      </c>
    </row>
    <row r="133" spans="1:13" s="697" customFormat="1" ht="14.45" customHeight="1">
      <c r="A133" s="774"/>
      <c r="B133" s="773">
        <v>31316</v>
      </c>
      <c r="C133" s="773">
        <v>34210</v>
      </c>
      <c r="D133" s="773">
        <v>34454</v>
      </c>
      <c r="E133" s="770">
        <f t="shared" si="12"/>
        <v>2853</v>
      </c>
      <c r="F133" s="770">
        <f t="shared" si="13"/>
        <v>95.1</v>
      </c>
      <c r="G133" s="775">
        <f t="shared" si="16"/>
        <v>407.57142857142856</v>
      </c>
      <c r="H133" s="771">
        <f t="shared" si="14"/>
        <v>7.9249999999999998</v>
      </c>
      <c r="I133" s="772">
        <v>103208</v>
      </c>
      <c r="J133" s="773">
        <v>45260</v>
      </c>
      <c r="K133" s="770">
        <v>69933300</v>
      </c>
      <c r="L133" s="769">
        <v>22232</v>
      </c>
      <c r="M133" s="777">
        <f t="shared" si="15"/>
        <v>62.419178082191777</v>
      </c>
    </row>
    <row r="134" spans="1:13" s="697" customFormat="1" ht="27.6" customHeight="1">
      <c r="A134" s="774"/>
      <c r="B134" s="773">
        <v>29059</v>
      </c>
      <c r="C134" s="773">
        <v>30086</v>
      </c>
      <c r="D134" s="773">
        <v>34454</v>
      </c>
      <c r="E134" s="770">
        <f t="shared" si="12"/>
        <v>1012</v>
      </c>
      <c r="F134" s="770">
        <f t="shared" si="13"/>
        <v>33.733333333333334</v>
      </c>
      <c r="G134" s="775">
        <f t="shared" si="16"/>
        <v>144.57142857142858</v>
      </c>
      <c r="H134" s="771">
        <f t="shared" si="14"/>
        <v>2.8111111111111109</v>
      </c>
      <c r="I134" s="772">
        <v>30000</v>
      </c>
      <c r="J134" s="773">
        <v>45260</v>
      </c>
      <c r="K134" s="770">
        <v>146374300</v>
      </c>
      <c r="L134" s="769">
        <v>17987</v>
      </c>
      <c r="M134" s="777">
        <f t="shared" si="15"/>
        <v>74.049315068493144</v>
      </c>
    </row>
    <row r="135" spans="1:13" s="697" customFormat="1" ht="14.45" customHeight="1">
      <c r="A135" s="774" t="s">
        <v>2998</v>
      </c>
      <c r="B135" s="773">
        <v>31694</v>
      </c>
      <c r="C135" s="773">
        <v>31999</v>
      </c>
      <c r="D135" s="773">
        <v>34454</v>
      </c>
      <c r="E135" s="770">
        <f t="shared" si="12"/>
        <v>301</v>
      </c>
      <c r="F135" s="770">
        <f t="shared" si="13"/>
        <v>10.033333333333333</v>
      </c>
      <c r="G135" s="775">
        <f t="shared" si="16"/>
        <v>43</v>
      </c>
      <c r="H135" s="771">
        <f t="shared" si="14"/>
        <v>0.83611111111111114</v>
      </c>
      <c r="I135" s="772">
        <v>78000</v>
      </c>
      <c r="J135" s="773">
        <v>45351</v>
      </c>
      <c r="K135" s="770">
        <v>30902000</v>
      </c>
      <c r="L135" s="769">
        <v>19995</v>
      </c>
      <c r="M135" s="777">
        <f t="shared" si="15"/>
        <v>68.547945205479451</v>
      </c>
    </row>
    <row r="136" spans="1:13" s="697" customFormat="1" ht="27.6" customHeight="1">
      <c r="A136" s="774"/>
      <c r="B136" s="773">
        <v>30451</v>
      </c>
      <c r="C136" s="773">
        <v>31213</v>
      </c>
      <c r="D136" s="773">
        <v>34454</v>
      </c>
      <c r="E136" s="770">
        <f t="shared" si="12"/>
        <v>750</v>
      </c>
      <c r="F136" s="770">
        <f t="shared" si="13"/>
        <v>25</v>
      </c>
      <c r="G136" s="775">
        <f t="shared" si="16"/>
        <v>107.14285714285714</v>
      </c>
      <c r="H136" s="771">
        <f t="shared" si="14"/>
        <v>2.0833333333333335</v>
      </c>
      <c r="I136" s="772">
        <v>14000</v>
      </c>
      <c r="J136" s="773">
        <v>45260</v>
      </c>
      <c r="K136" s="770">
        <v>25591800</v>
      </c>
      <c r="L136" s="769">
        <v>20378</v>
      </c>
      <c r="M136" s="777">
        <f t="shared" si="15"/>
        <v>67.498630136986307</v>
      </c>
    </row>
    <row r="137" spans="1:13" s="697" customFormat="1" ht="27.6" customHeight="1">
      <c r="A137" s="774"/>
      <c r="B137" s="773">
        <v>32858</v>
      </c>
      <c r="C137" s="773">
        <v>33587</v>
      </c>
      <c r="D137" s="773">
        <v>34454</v>
      </c>
      <c r="E137" s="770">
        <f t="shared" si="12"/>
        <v>719</v>
      </c>
      <c r="F137" s="770">
        <f t="shared" si="13"/>
        <v>23.966666666666665</v>
      </c>
      <c r="G137" s="775">
        <f t="shared" si="16"/>
        <v>102.71428571428571</v>
      </c>
      <c r="H137" s="771">
        <f t="shared" si="14"/>
        <v>1.9972222222222222</v>
      </c>
      <c r="I137" s="772">
        <v>142875</v>
      </c>
      <c r="J137" s="773">
        <v>45260</v>
      </c>
      <c r="K137" s="770">
        <v>40826900</v>
      </c>
      <c r="L137" s="769">
        <v>20893</v>
      </c>
      <c r="M137" s="777">
        <f t="shared" si="15"/>
        <v>66.087671232876716</v>
      </c>
    </row>
    <row r="138" spans="1:13" s="697" customFormat="1" ht="14.45" customHeight="1">
      <c r="A138" s="774"/>
      <c r="B138" s="773">
        <v>31332</v>
      </c>
      <c r="C138" s="773">
        <v>32763</v>
      </c>
      <c r="D138" s="773">
        <v>34454</v>
      </c>
      <c r="E138" s="770">
        <f t="shared" si="12"/>
        <v>1410</v>
      </c>
      <c r="F138" s="770">
        <f t="shared" si="13"/>
        <v>47</v>
      </c>
      <c r="G138" s="775">
        <f t="shared" si="16"/>
        <v>201.42857142857142</v>
      </c>
      <c r="H138" s="771">
        <f t="shared" si="14"/>
        <v>3.9166666666666665</v>
      </c>
      <c r="I138" s="772">
        <v>40950</v>
      </c>
      <c r="J138" s="773">
        <v>45260</v>
      </c>
      <c r="K138" s="770">
        <v>40558400</v>
      </c>
      <c r="L138" s="769">
        <v>22708</v>
      </c>
      <c r="M138" s="777">
        <f t="shared" si="15"/>
        <v>61.115068493150687</v>
      </c>
    </row>
    <row r="139" spans="1:13" s="697" customFormat="1" ht="14.45" customHeight="1">
      <c r="A139" s="774"/>
      <c r="B139" s="773">
        <v>26896</v>
      </c>
      <c r="C139" s="773">
        <v>32636</v>
      </c>
      <c r="D139" s="773">
        <v>34454</v>
      </c>
      <c r="E139" s="770">
        <f t="shared" si="12"/>
        <v>5658</v>
      </c>
      <c r="F139" s="770">
        <f t="shared" si="13"/>
        <v>188.6</v>
      </c>
      <c r="G139" s="775">
        <f t="shared" si="16"/>
        <v>808.28571428571433</v>
      </c>
      <c r="H139" s="771">
        <f t="shared" si="14"/>
        <v>15.716666666666667</v>
      </c>
      <c r="I139" s="772">
        <v>71700</v>
      </c>
      <c r="J139" s="773">
        <v>45260</v>
      </c>
      <c r="K139" s="770">
        <v>0</v>
      </c>
      <c r="L139" s="769" t="s">
        <v>2997</v>
      </c>
      <c r="M139" s="777"/>
    </row>
    <row r="140" spans="1:13" s="697" customFormat="1" ht="14.45" customHeight="1">
      <c r="A140" s="774"/>
      <c r="B140" s="773">
        <v>33699</v>
      </c>
      <c r="C140" s="773">
        <v>34454</v>
      </c>
      <c r="D140" s="773">
        <v>34454</v>
      </c>
      <c r="E140" s="770">
        <f t="shared" si="12"/>
        <v>745</v>
      </c>
      <c r="F140" s="770">
        <f t="shared" si="13"/>
        <v>24.833333333333332</v>
      </c>
      <c r="G140" s="775">
        <f t="shared" si="16"/>
        <v>106.42857142857143</v>
      </c>
      <c r="H140" s="771">
        <f t="shared" si="14"/>
        <v>2.0694444444444446</v>
      </c>
      <c r="I140" s="772">
        <v>145000</v>
      </c>
      <c r="J140" s="773">
        <v>45260</v>
      </c>
      <c r="K140" s="770">
        <v>29068900</v>
      </c>
      <c r="L140" s="769">
        <v>20689</v>
      </c>
      <c r="M140" s="777">
        <f t="shared" ref="M140:M151" si="17">(+$L$1-L140)/365</f>
        <v>66.646575342465752</v>
      </c>
    </row>
    <row r="141" spans="1:13" s="697" customFormat="1" ht="14.45" customHeight="1">
      <c r="A141" s="774"/>
      <c r="B141" s="773">
        <v>33726</v>
      </c>
      <c r="C141" s="773">
        <v>34454</v>
      </c>
      <c r="D141" s="773">
        <v>34454</v>
      </c>
      <c r="E141" s="770">
        <f t="shared" si="12"/>
        <v>718</v>
      </c>
      <c r="F141" s="770">
        <f t="shared" si="13"/>
        <v>23.933333333333334</v>
      </c>
      <c r="G141" s="775">
        <f t="shared" si="16"/>
        <v>102.57142857142857</v>
      </c>
      <c r="H141" s="771">
        <f t="shared" si="14"/>
        <v>1.9944444444444445</v>
      </c>
      <c r="I141" s="772">
        <v>165000</v>
      </c>
      <c r="J141" s="773">
        <v>45260</v>
      </c>
      <c r="K141" s="770">
        <v>35378600</v>
      </c>
      <c r="L141" s="769">
        <v>20123</v>
      </c>
      <c r="M141" s="777">
        <f t="shared" si="17"/>
        <v>68.197260273972603</v>
      </c>
    </row>
    <row r="142" spans="1:13" s="697" customFormat="1" ht="14.45" customHeight="1">
      <c r="A142" s="774"/>
      <c r="B142" s="773">
        <v>31264</v>
      </c>
      <c r="C142" s="773">
        <v>31891</v>
      </c>
      <c r="D142" s="773">
        <v>34454</v>
      </c>
      <c r="E142" s="770">
        <f t="shared" si="12"/>
        <v>619</v>
      </c>
      <c r="F142" s="770">
        <f t="shared" si="13"/>
        <v>20.633333333333333</v>
      </c>
      <c r="G142" s="775">
        <f t="shared" si="16"/>
        <v>88.428571428571431</v>
      </c>
      <c r="H142" s="771">
        <f t="shared" si="14"/>
        <v>1.7194444444444446</v>
      </c>
      <c r="I142" s="772">
        <v>24700</v>
      </c>
      <c r="J142" s="773">
        <v>45260</v>
      </c>
      <c r="K142" s="770">
        <v>20537500</v>
      </c>
      <c r="L142" s="769">
        <v>22063</v>
      </c>
      <c r="M142" s="777">
        <f t="shared" si="17"/>
        <v>62.88219178082192</v>
      </c>
    </row>
    <row r="143" spans="1:13" s="697" customFormat="1" ht="14.45" customHeight="1">
      <c r="A143" s="774"/>
      <c r="B143" s="773">
        <v>33047</v>
      </c>
      <c r="C143" s="773">
        <v>33411</v>
      </c>
      <c r="D143" s="773">
        <v>34454</v>
      </c>
      <c r="E143" s="770">
        <f t="shared" si="12"/>
        <v>359</v>
      </c>
      <c r="F143" s="770">
        <f t="shared" si="13"/>
        <v>11.966666666666667</v>
      </c>
      <c r="G143" s="775">
        <f t="shared" si="16"/>
        <v>51.285714285714285</v>
      </c>
      <c r="H143" s="771">
        <f t="shared" si="14"/>
        <v>0.99722222222222223</v>
      </c>
      <c r="I143" s="772">
        <v>160000</v>
      </c>
      <c r="J143" s="773">
        <v>45260</v>
      </c>
      <c r="K143" s="770">
        <v>23789700</v>
      </c>
      <c r="L143" s="769">
        <v>22438</v>
      </c>
      <c r="M143" s="777">
        <f t="shared" si="17"/>
        <v>61.854794520547948</v>
      </c>
    </row>
    <row r="144" spans="1:13" s="697" customFormat="1" ht="27.6" customHeight="1">
      <c r="A144" s="774"/>
      <c r="B144" s="773">
        <v>31656</v>
      </c>
      <c r="C144" s="773">
        <v>34454</v>
      </c>
      <c r="D144" s="773">
        <v>34454</v>
      </c>
      <c r="E144" s="770">
        <f t="shared" si="12"/>
        <v>2759</v>
      </c>
      <c r="F144" s="770">
        <f t="shared" si="13"/>
        <v>91.966666666666669</v>
      </c>
      <c r="G144" s="775">
        <f t="shared" si="16"/>
        <v>394.14285714285717</v>
      </c>
      <c r="H144" s="771">
        <f t="shared" si="14"/>
        <v>7.6638888888888888</v>
      </c>
      <c r="I144" s="772">
        <v>131374</v>
      </c>
      <c r="J144" s="773">
        <v>45260</v>
      </c>
      <c r="K144" s="770">
        <v>68754600</v>
      </c>
      <c r="L144" s="769">
        <v>22862</v>
      </c>
      <c r="M144" s="777">
        <f t="shared" si="17"/>
        <v>60.69315068493151</v>
      </c>
    </row>
    <row r="145" spans="1:13" s="697" customFormat="1" ht="27.6" customHeight="1">
      <c r="A145" s="774" t="s">
        <v>3000</v>
      </c>
      <c r="B145" s="773">
        <v>31564</v>
      </c>
      <c r="C145" s="773">
        <v>33404</v>
      </c>
      <c r="D145" s="773">
        <v>34454</v>
      </c>
      <c r="E145" s="770">
        <f t="shared" si="12"/>
        <v>1814</v>
      </c>
      <c r="F145" s="770">
        <f t="shared" si="13"/>
        <v>60.466666666666669</v>
      </c>
      <c r="G145" s="775">
        <f t="shared" si="16"/>
        <v>259.14285714285717</v>
      </c>
      <c r="H145" s="771">
        <f t="shared" si="14"/>
        <v>5.0388888888888888</v>
      </c>
      <c r="I145" s="772">
        <v>77153</v>
      </c>
      <c r="J145" s="773">
        <v>45260</v>
      </c>
      <c r="K145" s="770">
        <v>39291000</v>
      </c>
      <c r="L145" s="769">
        <v>22751</v>
      </c>
      <c r="M145" s="777">
        <f t="shared" si="17"/>
        <v>60.9972602739726</v>
      </c>
    </row>
    <row r="146" spans="1:13" s="697" customFormat="1" ht="27.6" customHeight="1">
      <c r="A146" s="774"/>
      <c r="B146" s="773">
        <v>30417</v>
      </c>
      <c r="C146" s="773">
        <v>31558</v>
      </c>
      <c r="D146" s="773">
        <v>34454</v>
      </c>
      <c r="E146" s="770">
        <f t="shared" si="12"/>
        <v>1125</v>
      </c>
      <c r="F146" s="770">
        <f t="shared" si="13"/>
        <v>37.5</v>
      </c>
      <c r="G146" s="775">
        <f t="shared" si="16"/>
        <v>160.71428571428572</v>
      </c>
      <c r="H146" s="771">
        <f t="shared" si="14"/>
        <v>3.125</v>
      </c>
      <c r="I146" s="772">
        <v>23000</v>
      </c>
      <c r="J146" s="773">
        <v>45260</v>
      </c>
      <c r="K146" s="770">
        <v>40582100</v>
      </c>
      <c r="L146" s="769">
        <v>23107</v>
      </c>
      <c r="M146" s="777">
        <f t="shared" si="17"/>
        <v>60.021917808219179</v>
      </c>
    </row>
    <row r="147" spans="1:13" s="697" customFormat="1" ht="27.6" customHeight="1">
      <c r="A147" s="774"/>
      <c r="B147" s="773">
        <v>33586</v>
      </c>
      <c r="C147" s="773">
        <v>34454</v>
      </c>
      <c r="D147" s="773">
        <v>34454</v>
      </c>
      <c r="E147" s="770">
        <f t="shared" si="12"/>
        <v>856</v>
      </c>
      <c r="F147" s="770">
        <f t="shared" si="13"/>
        <v>28.533333333333335</v>
      </c>
      <c r="G147" s="775">
        <f t="shared" si="16"/>
        <v>122.28571428571429</v>
      </c>
      <c r="H147" s="771">
        <f t="shared" si="14"/>
        <v>2.3777777777777778</v>
      </c>
      <c r="I147" s="772">
        <v>150000</v>
      </c>
      <c r="J147" s="773">
        <v>45260</v>
      </c>
      <c r="K147" s="770">
        <v>27554400</v>
      </c>
      <c r="L147" s="769">
        <v>23115</v>
      </c>
      <c r="M147" s="777">
        <f t="shared" si="17"/>
        <v>60</v>
      </c>
    </row>
    <row r="148" spans="1:13" s="774" customFormat="1" ht="27.6" customHeight="1">
      <c r="B148" s="773">
        <v>31869</v>
      </c>
      <c r="C148" s="773">
        <v>32216</v>
      </c>
      <c r="D148" s="773">
        <v>34454</v>
      </c>
      <c r="E148" s="770">
        <f t="shared" si="12"/>
        <v>342</v>
      </c>
      <c r="F148" s="770">
        <f t="shared" si="13"/>
        <v>11.4</v>
      </c>
      <c r="G148" s="775">
        <f t="shared" si="16"/>
        <v>48.857142857142854</v>
      </c>
      <c r="H148" s="771">
        <f t="shared" si="14"/>
        <v>0.95</v>
      </c>
      <c r="I148" s="772">
        <v>30900</v>
      </c>
      <c r="J148" s="773">
        <v>45260</v>
      </c>
      <c r="K148" s="770">
        <v>11755900</v>
      </c>
      <c r="L148" s="769">
        <v>23259</v>
      </c>
      <c r="M148" s="777">
        <f t="shared" si="17"/>
        <v>59.605479452054794</v>
      </c>
    </row>
    <row r="149" spans="1:13" s="774" customFormat="1" ht="27.6" customHeight="1">
      <c r="B149" s="773">
        <v>33672</v>
      </c>
      <c r="C149" s="773">
        <v>34454</v>
      </c>
      <c r="D149" s="773">
        <v>34454</v>
      </c>
      <c r="E149" s="770">
        <f t="shared" si="12"/>
        <v>771</v>
      </c>
      <c r="F149" s="770">
        <f t="shared" si="13"/>
        <v>25.7</v>
      </c>
      <c r="G149" s="775">
        <f t="shared" si="16"/>
        <v>110.14285714285714</v>
      </c>
      <c r="H149" s="771">
        <f t="shared" si="14"/>
        <v>2.1416666666666666</v>
      </c>
      <c r="I149" s="772">
        <v>110340</v>
      </c>
      <c r="J149" s="773">
        <v>45260</v>
      </c>
      <c r="K149" s="770">
        <v>19888200</v>
      </c>
      <c r="L149" s="769">
        <v>23704</v>
      </c>
      <c r="M149" s="777">
        <f t="shared" si="17"/>
        <v>58.386301369863013</v>
      </c>
    </row>
    <row r="150" spans="1:13" s="774" customFormat="1" ht="27.6" customHeight="1">
      <c r="B150" s="773">
        <v>33726</v>
      </c>
      <c r="C150" s="773">
        <v>34091</v>
      </c>
      <c r="D150" s="773">
        <v>34454</v>
      </c>
      <c r="E150" s="770">
        <f t="shared" si="12"/>
        <v>360</v>
      </c>
      <c r="F150" s="770">
        <f t="shared" si="13"/>
        <v>12</v>
      </c>
      <c r="G150" s="775">
        <f t="shared" si="16"/>
        <v>51.428571428571431</v>
      </c>
      <c r="H150" s="771">
        <f t="shared" si="14"/>
        <v>1</v>
      </c>
      <c r="I150" s="772">
        <v>180000</v>
      </c>
      <c r="J150" s="773">
        <v>45260</v>
      </c>
      <c r="K150" s="770">
        <v>17637700</v>
      </c>
      <c r="L150" s="769">
        <v>24941</v>
      </c>
      <c r="M150" s="777">
        <f t="shared" si="17"/>
        <v>54.9972602739726</v>
      </c>
    </row>
    <row r="151" spans="1:13" s="774" customFormat="1" ht="27.6" customHeight="1">
      <c r="B151" s="773">
        <v>34223</v>
      </c>
      <c r="C151" s="773">
        <v>34454</v>
      </c>
      <c r="D151" s="773">
        <v>34454</v>
      </c>
      <c r="E151" s="770">
        <f t="shared" si="12"/>
        <v>229</v>
      </c>
      <c r="F151" s="770">
        <f t="shared" si="13"/>
        <v>7.6333333333333337</v>
      </c>
      <c r="G151" s="775">
        <f t="shared" si="16"/>
        <v>32.714285714285715</v>
      </c>
      <c r="H151" s="771">
        <f t="shared" si="14"/>
        <v>0.63611111111111107</v>
      </c>
      <c r="I151" s="772">
        <v>99931</v>
      </c>
      <c r="J151" s="773">
        <v>45260</v>
      </c>
      <c r="K151" s="770">
        <v>5342700</v>
      </c>
      <c r="L151" s="769">
        <v>24861</v>
      </c>
      <c r="M151" s="777">
        <f t="shared" si="17"/>
        <v>55.216438356164382</v>
      </c>
    </row>
    <row r="152" spans="1:13" s="774" customFormat="1" ht="14.45" customHeight="1">
      <c r="B152" s="773">
        <v>33178</v>
      </c>
      <c r="C152" s="773">
        <v>34454</v>
      </c>
      <c r="D152" s="773">
        <v>34454</v>
      </c>
      <c r="E152" s="770">
        <f t="shared" si="12"/>
        <v>1259</v>
      </c>
      <c r="F152" s="770">
        <f t="shared" si="13"/>
        <v>41.966666666666669</v>
      </c>
      <c r="G152" s="775">
        <f t="shared" si="16"/>
        <v>179.85714285714286</v>
      </c>
      <c r="H152" s="771">
        <f t="shared" si="14"/>
        <v>3.4972222222222222</v>
      </c>
      <c r="I152" s="772">
        <v>51720</v>
      </c>
      <c r="J152" s="773">
        <v>45260</v>
      </c>
      <c r="K152" s="770">
        <v>0</v>
      </c>
      <c r="L152" s="769" t="s">
        <v>2997</v>
      </c>
      <c r="M152" s="769"/>
    </row>
    <row r="153" spans="1:13" s="774" customFormat="1" ht="27.6" customHeight="1">
      <c r="B153" s="773">
        <v>33519</v>
      </c>
      <c r="C153" s="773">
        <v>33638</v>
      </c>
      <c r="D153" s="773">
        <v>34454</v>
      </c>
      <c r="E153" s="770">
        <f t="shared" si="12"/>
        <v>116</v>
      </c>
      <c r="F153" s="770">
        <f t="shared" si="13"/>
        <v>3.8666666666666667</v>
      </c>
      <c r="G153" s="775">
        <f t="shared" si="16"/>
        <v>16.571428571428573</v>
      </c>
      <c r="H153" s="771">
        <f t="shared" si="14"/>
        <v>0.32222222222222224</v>
      </c>
      <c r="I153" s="772">
        <v>80110</v>
      </c>
      <c r="J153" s="773">
        <v>45260</v>
      </c>
      <c r="K153" s="770">
        <v>3698600</v>
      </c>
      <c r="L153" s="769">
        <v>26158</v>
      </c>
      <c r="M153" s="777">
        <f t="shared" ref="M153:M189" si="18">(+$L$1-L153)/365</f>
        <v>51.663013698630138</v>
      </c>
    </row>
    <row r="154" spans="1:13" s="774" customFormat="1" ht="14.45" customHeight="1">
      <c r="B154" s="773">
        <v>34236</v>
      </c>
      <c r="C154" s="773">
        <v>34357</v>
      </c>
      <c r="D154" s="773">
        <v>34454</v>
      </c>
      <c r="E154" s="770">
        <f t="shared" si="12"/>
        <v>119</v>
      </c>
      <c r="F154" s="770">
        <f t="shared" si="13"/>
        <v>3.9666666666666668</v>
      </c>
      <c r="G154" s="775">
        <f t="shared" si="16"/>
        <v>17</v>
      </c>
      <c r="H154" s="771">
        <f t="shared" si="14"/>
        <v>0.33055555555555555</v>
      </c>
      <c r="I154" s="772">
        <v>81510</v>
      </c>
      <c r="J154" s="773">
        <v>45260</v>
      </c>
      <c r="K154" s="770">
        <v>2796400</v>
      </c>
      <c r="L154" s="769">
        <v>26962</v>
      </c>
      <c r="M154" s="777">
        <f t="shared" si="18"/>
        <v>49.460273972602742</v>
      </c>
    </row>
    <row r="155" spans="1:13" s="774" customFormat="1" ht="14.45" customHeight="1">
      <c r="B155" s="773">
        <v>33878</v>
      </c>
      <c r="C155" s="773">
        <v>34242</v>
      </c>
      <c r="D155" s="773">
        <v>34454</v>
      </c>
      <c r="E155" s="770">
        <f t="shared" si="12"/>
        <v>359</v>
      </c>
      <c r="F155" s="770">
        <f t="shared" si="13"/>
        <v>11.966666666666667</v>
      </c>
      <c r="G155" s="775">
        <f t="shared" si="16"/>
        <v>51.285714285714285</v>
      </c>
      <c r="H155" s="771">
        <f t="shared" si="14"/>
        <v>0.99722222222222223</v>
      </c>
      <c r="I155" s="772">
        <v>300000</v>
      </c>
      <c r="J155" s="773">
        <v>45260</v>
      </c>
      <c r="K155" s="770">
        <v>26603700</v>
      </c>
      <c r="L155" s="769">
        <v>22834</v>
      </c>
      <c r="M155" s="777">
        <f t="shared" si="18"/>
        <v>60.769863013698632</v>
      </c>
    </row>
    <row r="156" spans="1:13" s="774" customFormat="1" ht="27.6" customHeight="1">
      <c r="B156" s="773">
        <v>33820</v>
      </c>
      <c r="C156" s="773">
        <v>33876</v>
      </c>
      <c r="D156" s="773">
        <v>34454</v>
      </c>
      <c r="E156" s="770">
        <f t="shared" si="12"/>
        <v>55</v>
      </c>
      <c r="F156" s="770">
        <f t="shared" si="13"/>
        <v>1.8333333333333333</v>
      </c>
      <c r="G156" s="775">
        <f t="shared" si="16"/>
        <v>7.8571428571428568</v>
      </c>
      <c r="H156" s="771">
        <f t="shared" si="14"/>
        <v>0.15277777777777779</v>
      </c>
      <c r="I156" s="772">
        <v>154667</v>
      </c>
      <c r="J156" s="773">
        <v>45260</v>
      </c>
      <c r="K156" s="770">
        <v>2866600</v>
      </c>
      <c r="L156" s="769">
        <v>23680</v>
      </c>
      <c r="M156" s="777">
        <f t="shared" si="18"/>
        <v>58.452054794520549</v>
      </c>
    </row>
    <row r="157" spans="1:13" s="774" customFormat="1" ht="27.6" customHeight="1">
      <c r="B157" s="773">
        <v>34370</v>
      </c>
      <c r="C157" s="773">
        <v>34399</v>
      </c>
      <c r="D157" s="773">
        <v>34454</v>
      </c>
      <c r="E157" s="770">
        <f t="shared" si="12"/>
        <v>31</v>
      </c>
      <c r="F157" s="770">
        <f t="shared" si="13"/>
        <v>1.0333333333333334</v>
      </c>
      <c r="G157" s="775">
        <f t="shared" si="16"/>
        <v>4.4285714285714288</v>
      </c>
      <c r="H157" s="771">
        <f t="shared" si="14"/>
        <v>8.611111111111111E-2</v>
      </c>
      <c r="I157" s="772">
        <v>121333</v>
      </c>
      <c r="J157" s="773">
        <v>45260</v>
      </c>
      <c r="K157" s="770">
        <v>888300</v>
      </c>
      <c r="L157" s="769">
        <v>23252</v>
      </c>
      <c r="M157" s="777">
        <f t="shared" si="18"/>
        <v>59.624657534246573</v>
      </c>
    </row>
    <row r="158" spans="1:13" s="774" customFormat="1" ht="14.45" customHeight="1">
      <c r="B158" s="773">
        <v>33707</v>
      </c>
      <c r="C158" s="773">
        <v>33765</v>
      </c>
      <c r="D158" s="773">
        <v>34454</v>
      </c>
      <c r="E158" s="770">
        <f t="shared" si="12"/>
        <v>57</v>
      </c>
      <c r="F158" s="770">
        <f t="shared" si="13"/>
        <v>1.9</v>
      </c>
      <c r="G158" s="775">
        <f t="shared" si="16"/>
        <v>8.1428571428571423</v>
      </c>
      <c r="H158" s="771">
        <f t="shared" si="14"/>
        <v>0.15833333333333333</v>
      </c>
      <c r="I158" s="772">
        <v>65190</v>
      </c>
      <c r="J158" s="773">
        <v>45260</v>
      </c>
      <c r="K158" s="770">
        <v>1654500</v>
      </c>
      <c r="L158" s="769">
        <v>23230</v>
      </c>
      <c r="M158" s="777">
        <f t="shared" si="18"/>
        <v>59.684931506849317</v>
      </c>
    </row>
    <row r="159" spans="1:13" s="774" customFormat="1" ht="14.45" customHeight="1">
      <c r="B159" s="773">
        <v>33748</v>
      </c>
      <c r="C159" s="773">
        <v>34112</v>
      </c>
      <c r="D159" s="773">
        <v>34454</v>
      </c>
      <c r="E159" s="770">
        <f t="shared" si="12"/>
        <v>359</v>
      </c>
      <c r="F159" s="770">
        <f t="shared" si="13"/>
        <v>11.966666666666667</v>
      </c>
      <c r="G159" s="775">
        <f t="shared" si="16"/>
        <v>51.285714285714285</v>
      </c>
      <c r="H159" s="771">
        <f t="shared" si="14"/>
        <v>0.99722222222222223</v>
      </c>
      <c r="I159" s="772">
        <v>250000</v>
      </c>
      <c r="J159" s="773">
        <v>45260</v>
      </c>
      <c r="K159" s="770">
        <v>24055600</v>
      </c>
      <c r="L159" s="769">
        <v>24527</v>
      </c>
      <c r="M159" s="777">
        <f t="shared" si="18"/>
        <v>56.131506849315066</v>
      </c>
    </row>
    <row r="160" spans="1:13" s="774" customFormat="1" ht="27.6" customHeight="1">
      <c r="A160" s="774" t="s">
        <v>3001</v>
      </c>
      <c r="B160" s="773">
        <v>32096</v>
      </c>
      <c r="C160" s="773">
        <v>33818</v>
      </c>
      <c r="D160" s="773">
        <v>34454</v>
      </c>
      <c r="E160" s="770">
        <f t="shared" si="12"/>
        <v>1697</v>
      </c>
      <c r="F160" s="770">
        <f t="shared" si="13"/>
        <v>56.56666666666667</v>
      </c>
      <c r="G160" s="775">
        <f t="shared" si="16"/>
        <v>242.42857142857142</v>
      </c>
      <c r="H160" s="771">
        <f t="shared" si="14"/>
        <v>4.7138888888888886</v>
      </c>
      <c r="I160" s="772">
        <v>81911</v>
      </c>
      <c r="J160" s="773">
        <v>45260</v>
      </c>
      <c r="K160" s="770">
        <v>44142100</v>
      </c>
      <c r="L160" s="769">
        <v>22573</v>
      </c>
      <c r="M160" s="777">
        <f t="shared" si="18"/>
        <v>61.484931506849314</v>
      </c>
    </row>
    <row r="161" spans="1:13" s="774" customFormat="1" ht="27.6" customHeight="1">
      <c r="A161" s="774" t="s">
        <v>2998</v>
      </c>
      <c r="B161" s="773">
        <v>30150</v>
      </c>
      <c r="C161" s="773">
        <v>34454</v>
      </c>
      <c r="D161" s="773">
        <v>34454</v>
      </c>
      <c r="E161" s="770">
        <f t="shared" si="12"/>
        <v>4242</v>
      </c>
      <c r="F161" s="770">
        <f t="shared" si="13"/>
        <v>141.4</v>
      </c>
      <c r="G161" s="775">
        <f t="shared" si="16"/>
        <v>606</v>
      </c>
      <c r="H161" s="771">
        <f t="shared" si="14"/>
        <v>11.783333333333333</v>
      </c>
      <c r="I161" s="772">
        <v>167000</v>
      </c>
      <c r="J161" s="773">
        <v>45351</v>
      </c>
      <c r="K161" s="770">
        <v>127486700</v>
      </c>
      <c r="L161" s="769">
        <v>22189</v>
      </c>
      <c r="M161" s="777">
        <f t="shared" si="18"/>
        <v>62.536986301369865</v>
      </c>
    </row>
    <row r="162" spans="1:13" s="774" customFormat="1" ht="14.45" customHeight="1">
      <c r="B162" s="773">
        <v>31264</v>
      </c>
      <c r="C162" s="773">
        <v>32236</v>
      </c>
      <c r="D162" s="773">
        <v>34454</v>
      </c>
      <c r="E162" s="770">
        <f t="shared" ref="E162:E188" si="19">+IF(IF($C162&lt;$D162,DAYS360($B162,$C162,0),DAYS360($B162,$D162,0))&lt;0,"No aplica",IF($C162&lt;$D162,DAYS360($B162,$C162,0),DAYS360($B162,$D162,0)))</f>
        <v>958</v>
      </c>
      <c r="F162" s="770">
        <f t="shared" ref="F162:F189" si="20">+IFERROR(E162/30,"No aplica")</f>
        <v>31.933333333333334</v>
      </c>
      <c r="G162" s="775">
        <f t="shared" si="16"/>
        <v>136.85714285714286</v>
      </c>
      <c r="H162" s="771">
        <f t="shared" ref="H162:H189" si="21">+IFERROR(E162/360,"No aplica")</f>
        <v>2.661111111111111</v>
      </c>
      <c r="I162" s="772">
        <v>30900</v>
      </c>
      <c r="J162" s="773">
        <v>45260</v>
      </c>
      <c r="K162" s="770">
        <v>34766900</v>
      </c>
      <c r="L162" s="769">
        <v>23899</v>
      </c>
      <c r="M162" s="777">
        <f t="shared" si="18"/>
        <v>57.852054794520548</v>
      </c>
    </row>
    <row r="163" spans="1:13" s="774" customFormat="1" ht="27.6" customHeight="1">
      <c r="B163" s="773">
        <v>33941</v>
      </c>
      <c r="C163" s="773">
        <v>34454</v>
      </c>
      <c r="D163" s="773">
        <v>34454</v>
      </c>
      <c r="E163" s="770">
        <f t="shared" si="19"/>
        <v>507</v>
      </c>
      <c r="F163" s="770">
        <f t="shared" si="20"/>
        <v>16.899999999999999</v>
      </c>
      <c r="G163" s="775">
        <f t="shared" si="16"/>
        <v>72.428571428571431</v>
      </c>
      <c r="H163" s="771">
        <f t="shared" si="21"/>
        <v>1.4083333333333334</v>
      </c>
      <c r="I163" s="772">
        <v>110340</v>
      </c>
      <c r="J163" s="773">
        <v>45260</v>
      </c>
      <c r="K163" s="770">
        <v>1</v>
      </c>
      <c r="L163" s="769">
        <v>23899</v>
      </c>
      <c r="M163" s="777">
        <f t="shared" si="18"/>
        <v>57.852054794520548</v>
      </c>
    </row>
    <row r="164" spans="1:13" s="774" customFormat="1" ht="27.6" customHeight="1">
      <c r="B164" s="773">
        <v>32753</v>
      </c>
      <c r="C164" s="773">
        <v>34454</v>
      </c>
      <c r="D164" s="773">
        <v>34454</v>
      </c>
      <c r="E164" s="770">
        <f t="shared" si="19"/>
        <v>1678</v>
      </c>
      <c r="F164" s="770">
        <f t="shared" si="20"/>
        <v>55.93333333333333</v>
      </c>
      <c r="G164" s="775">
        <f t="shared" si="16"/>
        <v>239.71428571428572</v>
      </c>
      <c r="H164" s="771">
        <f t="shared" si="21"/>
        <v>4.6611111111111114</v>
      </c>
      <c r="I164" s="772">
        <v>130000</v>
      </c>
      <c r="J164" s="773">
        <v>45260</v>
      </c>
      <c r="K164" s="770">
        <v>43216300</v>
      </c>
      <c r="L164" s="769">
        <v>24007</v>
      </c>
      <c r="M164" s="777">
        <f t="shared" si="18"/>
        <v>57.556164383561644</v>
      </c>
    </row>
    <row r="165" spans="1:13" s="774" customFormat="1" ht="27.6" customHeight="1">
      <c r="B165" s="773">
        <v>31796</v>
      </c>
      <c r="C165" s="773">
        <v>32650</v>
      </c>
      <c r="D165" s="773">
        <v>34454</v>
      </c>
      <c r="E165" s="770">
        <f t="shared" si="19"/>
        <v>843</v>
      </c>
      <c r="F165" s="770">
        <f t="shared" si="20"/>
        <v>28.1</v>
      </c>
      <c r="G165" s="775">
        <f t="shared" si="16"/>
        <v>120.42857142857143</v>
      </c>
      <c r="H165" s="771">
        <f t="shared" si="21"/>
        <v>2.3416666666666668</v>
      </c>
      <c r="I165" s="772">
        <v>46500</v>
      </c>
      <c r="J165" s="773">
        <v>45260</v>
      </c>
      <c r="K165" s="770">
        <v>30889200</v>
      </c>
      <c r="L165" s="769">
        <v>24689</v>
      </c>
      <c r="M165" s="777">
        <f t="shared" si="18"/>
        <v>55.68767123287671</v>
      </c>
    </row>
    <row r="166" spans="1:13" s="774" customFormat="1" ht="14.45" customHeight="1">
      <c r="B166" s="773">
        <v>32699</v>
      </c>
      <c r="C166" s="773">
        <v>33785</v>
      </c>
      <c r="D166" s="773">
        <v>34454</v>
      </c>
      <c r="E166" s="770">
        <f t="shared" si="19"/>
        <v>1070</v>
      </c>
      <c r="F166" s="770">
        <f t="shared" si="20"/>
        <v>35.666666666666664</v>
      </c>
      <c r="G166" s="775">
        <f t="shared" si="16"/>
        <v>152.85714285714286</v>
      </c>
      <c r="H166" s="771">
        <f t="shared" si="21"/>
        <v>2.9722222222222223</v>
      </c>
      <c r="I166" s="772">
        <v>65649</v>
      </c>
      <c r="J166" s="773">
        <v>45260</v>
      </c>
      <c r="K166" s="770">
        <v>23129800</v>
      </c>
      <c r="L166" s="769">
        <v>24705</v>
      </c>
      <c r="M166" s="777">
        <f t="shared" si="18"/>
        <v>55.643835616438359</v>
      </c>
    </row>
    <row r="167" spans="1:13" s="774" customFormat="1" ht="27.6" customHeight="1">
      <c r="B167" s="773">
        <v>32342</v>
      </c>
      <c r="C167" s="773">
        <v>33901</v>
      </c>
      <c r="D167" s="773">
        <v>34454</v>
      </c>
      <c r="E167" s="770">
        <f t="shared" si="19"/>
        <v>1536</v>
      </c>
      <c r="F167" s="770">
        <f t="shared" si="20"/>
        <v>51.2</v>
      </c>
      <c r="G167" s="775">
        <f t="shared" si="16"/>
        <v>219.42857142857142</v>
      </c>
      <c r="H167" s="771">
        <f t="shared" si="21"/>
        <v>4.2666666666666666</v>
      </c>
      <c r="I167" s="772">
        <v>80411</v>
      </c>
      <c r="J167" s="773">
        <v>45260</v>
      </c>
      <c r="K167" s="770">
        <v>35428300</v>
      </c>
      <c r="L167" s="769">
        <v>25369</v>
      </c>
      <c r="M167" s="777">
        <f t="shared" si="18"/>
        <v>53.824657534246576</v>
      </c>
    </row>
    <row r="168" spans="1:13" s="774" customFormat="1" ht="27.6" customHeight="1">
      <c r="B168" s="773">
        <v>32888</v>
      </c>
      <c r="C168" s="773">
        <v>33693</v>
      </c>
      <c r="D168" s="773">
        <v>34454</v>
      </c>
      <c r="E168" s="770">
        <f t="shared" si="19"/>
        <v>795</v>
      </c>
      <c r="F168" s="770">
        <f t="shared" si="20"/>
        <v>26.5</v>
      </c>
      <c r="G168" s="775">
        <f t="shared" si="16"/>
        <v>113.57142857142857</v>
      </c>
      <c r="H168" s="771">
        <f t="shared" si="21"/>
        <v>2.2083333333333335</v>
      </c>
      <c r="I168" s="772">
        <v>65190</v>
      </c>
      <c r="J168" s="773">
        <v>45260</v>
      </c>
      <c r="K168" s="770">
        <v>18407400</v>
      </c>
      <c r="L168" s="769">
        <v>25773</v>
      </c>
      <c r="M168" s="777">
        <f t="shared" si="18"/>
        <v>52.717808219178082</v>
      </c>
    </row>
    <row r="169" spans="1:13" s="774" customFormat="1" ht="14.45" customHeight="1">
      <c r="B169" s="773">
        <v>33800</v>
      </c>
      <c r="C169" s="773">
        <v>34454</v>
      </c>
      <c r="D169" s="773">
        <v>34454</v>
      </c>
      <c r="E169" s="770">
        <f t="shared" si="19"/>
        <v>645</v>
      </c>
      <c r="F169" s="770">
        <f t="shared" si="20"/>
        <v>21.5</v>
      </c>
      <c r="G169" s="775">
        <f t="shared" si="16"/>
        <v>92.142857142857139</v>
      </c>
      <c r="H169" s="771">
        <f t="shared" si="21"/>
        <v>1.7916666666666667</v>
      </c>
      <c r="I169" s="772">
        <v>98700</v>
      </c>
      <c r="J169" s="773">
        <v>45260</v>
      </c>
      <c r="K169" s="770">
        <v>13593400</v>
      </c>
      <c r="L169" s="769">
        <v>27107</v>
      </c>
      <c r="M169" s="777">
        <f t="shared" si="18"/>
        <v>49.063013698630137</v>
      </c>
    </row>
    <row r="170" spans="1:13" s="774" customFormat="1" ht="14.45" customHeight="1">
      <c r="B170" s="773">
        <v>31190</v>
      </c>
      <c r="C170" s="773">
        <v>31446</v>
      </c>
      <c r="D170" s="773">
        <v>34454</v>
      </c>
      <c r="E170" s="770">
        <f t="shared" si="19"/>
        <v>250</v>
      </c>
      <c r="F170" s="770">
        <f t="shared" si="20"/>
        <v>8.3333333333333339</v>
      </c>
      <c r="G170" s="775">
        <f t="shared" ref="G170:G184" si="22">+E170/7</f>
        <v>35.714285714285715</v>
      </c>
      <c r="H170" s="771">
        <f t="shared" si="21"/>
        <v>0.69444444444444442</v>
      </c>
      <c r="I170" s="772">
        <v>60000</v>
      </c>
      <c r="J170" s="773">
        <v>45260</v>
      </c>
      <c r="K170" s="770">
        <v>26890100</v>
      </c>
      <c r="L170" s="769">
        <v>22189</v>
      </c>
      <c r="M170" s="777">
        <f t="shared" si="18"/>
        <v>62.536986301369865</v>
      </c>
    </row>
    <row r="171" spans="1:13" s="774" customFormat="1" ht="14.45" customHeight="1">
      <c r="B171" s="773">
        <v>32997</v>
      </c>
      <c r="C171" s="773">
        <v>33361</v>
      </c>
      <c r="D171" s="773">
        <v>34454</v>
      </c>
      <c r="E171" s="770">
        <f t="shared" si="19"/>
        <v>359</v>
      </c>
      <c r="F171" s="770">
        <f t="shared" si="20"/>
        <v>11.966666666666667</v>
      </c>
      <c r="G171" s="775">
        <f t="shared" si="22"/>
        <v>51.285714285714285</v>
      </c>
      <c r="H171" s="771">
        <f t="shared" si="21"/>
        <v>0.99722222222222223</v>
      </c>
      <c r="I171" s="772">
        <v>160000</v>
      </c>
      <c r="J171" s="773">
        <v>45260</v>
      </c>
      <c r="K171" s="770">
        <v>29113100</v>
      </c>
      <c r="L171" s="769">
        <v>22624</v>
      </c>
      <c r="M171" s="777">
        <f t="shared" si="18"/>
        <v>61.345205479452055</v>
      </c>
    </row>
    <row r="172" spans="1:13" s="774" customFormat="1" ht="27.6" customHeight="1">
      <c r="B172" s="773">
        <v>33391</v>
      </c>
      <c r="C172" s="773">
        <v>34454</v>
      </c>
      <c r="D172" s="773">
        <v>34454</v>
      </c>
      <c r="E172" s="770">
        <f t="shared" si="19"/>
        <v>1048</v>
      </c>
      <c r="F172" s="770">
        <f t="shared" si="20"/>
        <v>34.93333333333333</v>
      </c>
      <c r="G172" s="775">
        <f t="shared" si="22"/>
        <v>149.71428571428572</v>
      </c>
      <c r="H172" s="771">
        <f t="shared" si="21"/>
        <v>2.911111111111111</v>
      </c>
      <c r="I172" s="772">
        <v>194640</v>
      </c>
      <c r="J172" s="773">
        <v>45260</v>
      </c>
      <c r="K172" s="770">
        <v>67831000</v>
      </c>
      <c r="L172" s="769">
        <v>22916</v>
      </c>
      <c r="M172" s="777">
        <f t="shared" si="18"/>
        <v>60.545205479452058</v>
      </c>
    </row>
    <row r="173" spans="1:13" s="774" customFormat="1">
      <c r="B173" s="773">
        <v>34116</v>
      </c>
      <c r="C173" s="773">
        <v>34454</v>
      </c>
      <c r="D173" s="773">
        <v>34454</v>
      </c>
      <c r="E173" s="770">
        <f t="shared" si="19"/>
        <v>333</v>
      </c>
      <c r="F173" s="770">
        <f t="shared" si="20"/>
        <v>11.1</v>
      </c>
      <c r="G173" s="775">
        <f t="shared" si="22"/>
        <v>47.571428571428569</v>
      </c>
      <c r="H173" s="771">
        <f t="shared" si="21"/>
        <v>0.92500000000000004</v>
      </c>
      <c r="I173" s="772">
        <v>367800</v>
      </c>
      <c r="J173" s="773">
        <v>45260</v>
      </c>
      <c r="K173" s="770">
        <v>26457000</v>
      </c>
      <c r="L173" s="769">
        <v>23736</v>
      </c>
      <c r="M173" s="777">
        <f t="shared" si="18"/>
        <v>58.298630136986304</v>
      </c>
    </row>
    <row r="174" spans="1:13" s="774" customFormat="1">
      <c r="B174" s="773">
        <v>33507</v>
      </c>
      <c r="C174" s="773">
        <v>33872</v>
      </c>
      <c r="D174" s="773">
        <v>34454</v>
      </c>
      <c r="E174" s="770">
        <f t="shared" si="19"/>
        <v>359</v>
      </c>
      <c r="F174" s="770">
        <f t="shared" si="20"/>
        <v>11.966666666666667</v>
      </c>
      <c r="G174" s="775">
        <f t="shared" si="22"/>
        <v>51.285714285714285</v>
      </c>
      <c r="H174" s="771">
        <f t="shared" si="21"/>
        <v>0.99722222222222223</v>
      </c>
      <c r="I174" s="772">
        <v>200000</v>
      </c>
      <c r="J174" s="773">
        <v>45260</v>
      </c>
      <c r="K174" s="770">
        <v>23017900</v>
      </c>
      <c r="L174" s="769">
        <v>23990</v>
      </c>
      <c r="M174" s="777">
        <f t="shared" si="18"/>
        <v>57.602739726027394</v>
      </c>
    </row>
    <row r="175" spans="1:13" s="774" customFormat="1">
      <c r="B175" s="773">
        <v>33836</v>
      </c>
      <c r="C175" s="773">
        <v>34200</v>
      </c>
      <c r="D175" s="773">
        <v>34454</v>
      </c>
      <c r="E175" s="770">
        <f t="shared" si="19"/>
        <v>359</v>
      </c>
      <c r="F175" s="770">
        <f t="shared" si="20"/>
        <v>11.966666666666667</v>
      </c>
      <c r="G175" s="775">
        <f t="shared" si="22"/>
        <v>51.285714285714285</v>
      </c>
      <c r="H175" s="771">
        <f t="shared" si="21"/>
        <v>0.99722222222222223</v>
      </c>
      <c r="I175" s="772">
        <v>300000</v>
      </c>
      <c r="J175" s="773">
        <v>45260</v>
      </c>
      <c r="K175" s="770">
        <v>27253300</v>
      </c>
      <c r="L175" s="769">
        <v>24252</v>
      </c>
      <c r="M175" s="777">
        <f t="shared" si="18"/>
        <v>56.884931506849313</v>
      </c>
    </row>
    <row r="176" spans="1:13" s="774" customFormat="1" ht="13.9" customHeight="1">
      <c r="B176" s="773">
        <v>33836</v>
      </c>
      <c r="C176" s="773">
        <v>34200</v>
      </c>
      <c r="D176" s="773">
        <v>34454</v>
      </c>
      <c r="E176" s="770">
        <f t="shared" si="19"/>
        <v>359</v>
      </c>
      <c r="F176" s="770">
        <f t="shared" si="20"/>
        <v>11.966666666666667</v>
      </c>
      <c r="G176" s="775">
        <f t="shared" si="22"/>
        <v>51.285714285714285</v>
      </c>
      <c r="H176" s="771">
        <f t="shared" si="21"/>
        <v>0.99722222222222223</v>
      </c>
      <c r="I176" s="772">
        <v>300000</v>
      </c>
      <c r="J176" s="773">
        <v>45260</v>
      </c>
      <c r="K176" s="770">
        <v>27176200</v>
      </c>
      <c r="L176" s="769">
        <v>24366</v>
      </c>
      <c r="M176" s="777">
        <f t="shared" si="18"/>
        <v>56.57260273972603</v>
      </c>
    </row>
    <row r="177" spans="1:13" s="774" customFormat="1">
      <c r="B177" s="773">
        <v>33342</v>
      </c>
      <c r="C177" s="773">
        <v>33707</v>
      </c>
      <c r="D177" s="773">
        <v>34454</v>
      </c>
      <c r="E177" s="770">
        <f t="shared" si="19"/>
        <v>359</v>
      </c>
      <c r="F177" s="770">
        <f t="shared" si="20"/>
        <v>11.966666666666667</v>
      </c>
      <c r="G177" s="775">
        <f t="shared" si="22"/>
        <v>51.285714285714285</v>
      </c>
      <c r="H177" s="771">
        <f t="shared" si="21"/>
        <v>0.99722222222222223</v>
      </c>
      <c r="I177" s="772">
        <v>200000</v>
      </c>
      <c r="J177" s="773">
        <v>45260</v>
      </c>
      <c r="K177" s="770">
        <v>25575700</v>
      </c>
      <c r="L177" s="769">
        <v>24706</v>
      </c>
      <c r="M177" s="777">
        <f t="shared" si="18"/>
        <v>55.641095890410959</v>
      </c>
    </row>
    <row r="178" spans="1:13" s="774" customFormat="1">
      <c r="B178" s="773">
        <v>33981</v>
      </c>
      <c r="C178" s="773">
        <v>34100</v>
      </c>
      <c r="D178" s="773">
        <v>34454</v>
      </c>
      <c r="E178" s="770">
        <f t="shared" si="19"/>
        <v>119</v>
      </c>
      <c r="F178" s="770">
        <f t="shared" si="20"/>
        <v>3.9666666666666668</v>
      </c>
      <c r="G178" s="775">
        <f t="shared" si="22"/>
        <v>17</v>
      </c>
      <c r="H178" s="771">
        <f t="shared" si="21"/>
        <v>0.33055555555555555</v>
      </c>
      <c r="I178" s="772">
        <v>90000</v>
      </c>
      <c r="J178" s="773">
        <v>45260</v>
      </c>
      <c r="K178" s="770">
        <v>2962600</v>
      </c>
      <c r="L178" s="769">
        <v>26021</v>
      </c>
      <c r="M178" s="777">
        <f t="shared" si="18"/>
        <v>52.038356164383565</v>
      </c>
    </row>
    <row r="179" spans="1:13" s="774" customFormat="1">
      <c r="B179" s="773">
        <v>33375</v>
      </c>
      <c r="C179" s="773">
        <v>34454</v>
      </c>
      <c r="D179" s="773">
        <v>34454</v>
      </c>
      <c r="E179" s="770">
        <f t="shared" si="19"/>
        <v>1063</v>
      </c>
      <c r="F179" s="770">
        <f t="shared" si="20"/>
        <v>35.43333333333333</v>
      </c>
      <c r="G179" s="775">
        <f t="shared" si="22"/>
        <v>151.85714285714286</v>
      </c>
      <c r="H179" s="771">
        <f t="shared" si="21"/>
        <v>2.9527777777777779</v>
      </c>
      <c r="I179" s="772">
        <v>141769</v>
      </c>
      <c r="J179" s="773">
        <v>45260</v>
      </c>
      <c r="K179" s="770">
        <v>31118600</v>
      </c>
      <c r="L179" s="769">
        <v>24294</v>
      </c>
      <c r="M179" s="777">
        <f t="shared" si="18"/>
        <v>56.769863013698632</v>
      </c>
    </row>
    <row r="180" spans="1:13" s="774" customFormat="1">
      <c r="B180" s="773">
        <v>34239</v>
      </c>
      <c r="C180" s="773">
        <v>34454</v>
      </c>
      <c r="D180" s="773">
        <v>34454</v>
      </c>
      <c r="E180" s="770">
        <f t="shared" si="19"/>
        <v>213</v>
      </c>
      <c r="F180" s="770">
        <f t="shared" si="20"/>
        <v>7.1</v>
      </c>
      <c r="G180" s="775">
        <f t="shared" si="22"/>
        <v>30.428571428571427</v>
      </c>
      <c r="H180" s="771">
        <f t="shared" si="21"/>
        <v>0.59166666666666667</v>
      </c>
      <c r="I180" s="772">
        <v>99931</v>
      </c>
      <c r="J180" s="773">
        <v>45260</v>
      </c>
      <c r="K180" s="770">
        <v>4688000</v>
      </c>
      <c r="L180" s="769">
        <v>27162</v>
      </c>
      <c r="M180" s="777">
        <f t="shared" si="18"/>
        <v>48.912328767123284</v>
      </c>
    </row>
    <row r="181" spans="1:13" s="697" customFormat="1">
      <c r="A181" s="774"/>
      <c r="B181" s="773">
        <v>34387</v>
      </c>
      <c r="C181" s="773">
        <v>34454</v>
      </c>
      <c r="D181" s="773">
        <v>34454</v>
      </c>
      <c r="E181" s="770">
        <f t="shared" si="19"/>
        <v>68</v>
      </c>
      <c r="F181" s="770">
        <f t="shared" si="20"/>
        <v>2.2666666666666666</v>
      </c>
      <c r="G181" s="775">
        <f t="shared" si="22"/>
        <v>9.7142857142857135</v>
      </c>
      <c r="H181" s="771">
        <f t="shared" si="21"/>
        <v>0.18888888888888888</v>
      </c>
      <c r="I181" s="772">
        <v>98700</v>
      </c>
      <c r="J181" s="773">
        <v>45260</v>
      </c>
      <c r="K181" s="770">
        <v>1767500</v>
      </c>
      <c r="L181" s="769">
        <v>24009</v>
      </c>
      <c r="M181" s="777">
        <f t="shared" si="18"/>
        <v>57.550684931506851</v>
      </c>
    </row>
    <row r="182" spans="1:13" s="774" customFormat="1">
      <c r="B182" s="773">
        <v>34228</v>
      </c>
      <c r="C182" s="773">
        <v>34364</v>
      </c>
      <c r="D182" s="773">
        <v>34454</v>
      </c>
      <c r="E182" s="770">
        <f t="shared" si="19"/>
        <v>134</v>
      </c>
      <c r="F182" s="770">
        <f t="shared" si="20"/>
        <v>4.4666666666666668</v>
      </c>
      <c r="G182" s="775">
        <f t="shared" si="22"/>
        <v>19.142857142857142</v>
      </c>
      <c r="H182" s="771">
        <f t="shared" si="21"/>
        <v>0.37222222222222223</v>
      </c>
      <c r="I182" s="772">
        <v>98700</v>
      </c>
      <c r="J182" s="773">
        <v>45260</v>
      </c>
      <c r="K182" s="770">
        <v>3967200</v>
      </c>
      <c r="L182" s="769">
        <v>23483</v>
      </c>
      <c r="M182" s="777">
        <f t="shared" si="18"/>
        <v>58.991780821917807</v>
      </c>
    </row>
    <row r="183" spans="1:13" s="774" customFormat="1">
      <c r="B183" s="773">
        <v>33339</v>
      </c>
      <c r="C183" s="773">
        <v>34419</v>
      </c>
      <c r="D183" s="773">
        <v>34454</v>
      </c>
      <c r="E183" s="770">
        <f t="shared" si="19"/>
        <v>1065</v>
      </c>
      <c r="F183" s="770">
        <f t="shared" si="20"/>
        <v>35.5</v>
      </c>
      <c r="G183" s="775">
        <f t="shared" si="22"/>
        <v>152.14285714285714</v>
      </c>
      <c r="H183" s="771">
        <f t="shared" si="21"/>
        <v>2.9583333333333335</v>
      </c>
      <c r="I183" s="772">
        <v>98700</v>
      </c>
      <c r="J183" s="773">
        <v>45260</v>
      </c>
      <c r="K183" s="770">
        <v>22188700</v>
      </c>
      <c r="L183" s="769">
        <v>25419</v>
      </c>
      <c r="M183" s="777">
        <f t="shared" si="18"/>
        <v>53.68767123287671</v>
      </c>
    </row>
    <row r="184" spans="1:13" s="774" customFormat="1">
      <c r="B184" s="773">
        <v>34352</v>
      </c>
      <c r="C184" s="773">
        <v>34454</v>
      </c>
      <c r="D184" s="773">
        <v>34454</v>
      </c>
      <c r="E184" s="770">
        <f t="shared" si="19"/>
        <v>102</v>
      </c>
      <c r="F184" s="770">
        <f t="shared" si="20"/>
        <v>3.4</v>
      </c>
      <c r="G184" s="775">
        <f t="shared" si="22"/>
        <v>14.571428571428571</v>
      </c>
      <c r="H184" s="771">
        <f t="shared" si="21"/>
        <v>0.28333333333333333</v>
      </c>
      <c r="I184" s="772">
        <v>98700</v>
      </c>
      <c r="J184" s="773">
        <v>45260</v>
      </c>
      <c r="K184" s="770">
        <v>2203600</v>
      </c>
      <c r="L184" s="769">
        <v>26507</v>
      </c>
      <c r="M184" s="777">
        <f t="shared" si="18"/>
        <v>50.706849315068496</v>
      </c>
    </row>
    <row r="185" spans="1:13" s="774" customFormat="1">
      <c r="B185" s="773">
        <v>33893</v>
      </c>
      <c r="C185" s="773">
        <v>34454</v>
      </c>
      <c r="D185" s="773">
        <v>34454</v>
      </c>
      <c r="E185" s="770">
        <f t="shared" si="19"/>
        <v>554</v>
      </c>
      <c r="F185" s="770">
        <f t="shared" si="20"/>
        <v>18.466666666666665</v>
      </c>
      <c r="G185" s="770">
        <f>+E185/7</f>
        <v>79.142857142857139</v>
      </c>
      <c r="H185" s="771">
        <f t="shared" si="21"/>
        <v>1.538888888888889</v>
      </c>
      <c r="I185" s="770">
        <v>98700</v>
      </c>
      <c r="J185" s="773">
        <v>45351</v>
      </c>
      <c r="K185" s="770">
        <v>22304900</v>
      </c>
      <c r="L185" s="769">
        <v>20836</v>
      </c>
      <c r="M185" s="777">
        <f t="shared" si="18"/>
        <v>66.243835616438361</v>
      </c>
    </row>
    <row r="186" spans="1:13" s="774" customFormat="1">
      <c r="B186" s="773">
        <v>29172</v>
      </c>
      <c r="C186" s="773">
        <v>30855</v>
      </c>
      <c r="D186" s="773">
        <v>34454</v>
      </c>
      <c r="E186" s="770">
        <f t="shared" si="19"/>
        <v>1659</v>
      </c>
      <c r="F186" s="770">
        <f t="shared" si="20"/>
        <v>55.3</v>
      </c>
      <c r="G186" s="770">
        <f>+E186/7</f>
        <v>237</v>
      </c>
      <c r="H186" s="771">
        <f t="shared" si="21"/>
        <v>4.6083333333333334</v>
      </c>
      <c r="I186" s="770">
        <v>12600</v>
      </c>
      <c r="J186" s="773">
        <v>45351</v>
      </c>
      <c r="K186" s="770">
        <v>112316000</v>
      </c>
      <c r="L186" s="769">
        <v>15723</v>
      </c>
      <c r="M186" s="777">
        <f t="shared" si="18"/>
        <v>80.252054794520546</v>
      </c>
    </row>
    <row r="187" spans="1:13" s="774" customFormat="1">
      <c r="B187" s="773">
        <v>29092</v>
      </c>
      <c r="C187" s="773">
        <v>31510</v>
      </c>
      <c r="D187" s="773">
        <v>34454</v>
      </c>
      <c r="E187" s="770">
        <f t="shared" si="19"/>
        <v>2383</v>
      </c>
      <c r="F187" s="770">
        <f t="shared" si="20"/>
        <v>79.433333333333337</v>
      </c>
      <c r="G187" s="770">
        <f>+E187/7</f>
        <v>340.42857142857144</v>
      </c>
      <c r="H187" s="771">
        <f t="shared" si="21"/>
        <v>6.6194444444444445</v>
      </c>
      <c r="I187" s="770">
        <v>18200</v>
      </c>
      <c r="J187" s="773">
        <v>45351</v>
      </c>
      <c r="K187" s="770">
        <v>76904100</v>
      </c>
      <c r="L187" s="769">
        <v>20651</v>
      </c>
      <c r="M187" s="777">
        <f t="shared" si="18"/>
        <v>66.750684931506854</v>
      </c>
    </row>
    <row r="188" spans="1:13" s="774" customFormat="1">
      <c r="B188" s="773">
        <v>29462</v>
      </c>
      <c r="C188" s="773">
        <v>31216</v>
      </c>
      <c r="D188" s="773">
        <v>34454</v>
      </c>
      <c r="E188" s="770">
        <f t="shared" si="19"/>
        <v>1729</v>
      </c>
      <c r="F188" s="770">
        <f t="shared" si="20"/>
        <v>57.633333333333333</v>
      </c>
      <c r="G188" s="770">
        <f>+E188/7</f>
        <v>247</v>
      </c>
      <c r="H188" s="771">
        <f t="shared" si="21"/>
        <v>4.802777777777778</v>
      </c>
      <c r="I188" s="770">
        <v>14500</v>
      </c>
      <c r="J188" s="773">
        <v>45351</v>
      </c>
      <c r="K188" s="770">
        <v>75824400</v>
      </c>
      <c r="L188" s="769">
        <v>18947</v>
      </c>
      <c r="M188" s="777">
        <f t="shared" si="18"/>
        <v>71.419178082191777</v>
      </c>
    </row>
    <row r="189" spans="1:13" s="774" customFormat="1">
      <c r="B189" s="781">
        <v>24845</v>
      </c>
      <c r="C189" s="781">
        <v>27479</v>
      </c>
      <c r="D189" s="773">
        <v>34454</v>
      </c>
      <c r="E189" s="770">
        <f>+DAYS360(B189,C189)+1</f>
        <v>2599</v>
      </c>
      <c r="F189" s="770">
        <f t="shared" si="20"/>
        <v>86.63333333333334</v>
      </c>
      <c r="G189" s="782">
        <f>+E189/7</f>
        <v>371.28571428571428</v>
      </c>
      <c r="H189" s="771">
        <f t="shared" si="21"/>
        <v>7.2194444444444441</v>
      </c>
      <c r="I189" s="783">
        <v>1732</v>
      </c>
      <c r="J189" s="773">
        <v>45351</v>
      </c>
      <c r="K189" s="770">
        <v>0</v>
      </c>
      <c r="L189" s="784">
        <v>18484</v>
      </c>
      <c r="M189" s="785">
        <f t="shared" si="18"/>
        <v>72.68767123287671</v>
      </c>
    </row>
    <row r="190" spans="1:13">
      <c r="I190" s="716"/>
      <c r="J190" s="716"/>
      <c r="K190" s="786">
        <f>SUM(K2:K189)</f>
        <v>7996747108</v>
      </c>
    </row>
    <row r="191" spans="1:13">
      <c r="I191" s="716"/>
      <c r="J191" s="716"/>
    </row>
    <row r="192" spans="1:13">
      <c r="B192" s="672" t="s">
        <v>226</v>
      </c>
      <c r="C192" s="672" t="s">
        <v>227</v>
      </c>
      <c r="D192" s="672" t="s">
        <v>228</v>
      </c>
      <c r="E192" s="672" t="s">
        <v>229</v>
      </c>
      <c r="F192" s="672" t="s">
        <v>230</v>
      </c>
      <c r="G192" s="672" t="s">
        <v>231</v>
      </c>
      <c r="H192" s="672" t="s">
        <v>232</v>
      </c>
      <c r="I192" s="672" t="s">
        <v>233</v>
      </c>
      <c r="J192" s="672" t="s">
        <v>3010</v>
      </c>
      <c r="K192" s="672" t="s">
        <v>3011</v>
      </c>
    </row>
    <row r="193" spans="2:11">
      <c r="B193" s="710">
        <v>6031084000</v>
      </c>
      <c r="C193" s="710">
        <v>982831553.5</v>
      </c>
      <c r="D193" s="710">
        <v>500000000</v>
      </c>
      <c r="E193" s="710">
        <v>500000000</v>
      </c>
      <c r="F193" s="710">
        <v>500000000</v>
      </c>
      <c r="G193" s="710">
        <v>500000000</v>
      </c>
      <c r="H193" s="710">
        <v>500000000</v>
      </c>
      <c r="I193" s="754">
        <v>0</v>
      </c>
      <c r="J193" s="755">
        <v>0</v>
      </c>
      <c r="K193" s="756">
        <v>0</v>
      </c>
    </row>
    <row r="194" spans="2:11">
      <c r="I194" s="716"/>
    </row>
    <row r="195" spans="2:11">
      <c r="I195" s="716"/>
    </row>
    <row r="196" spans="2:11">
      <c r="I196" s="716"/>
    </row>
    <row r="230" spans="10:11">
      <c r="K230" s="717"/>
    </row>
    <row r="231" spans="10:11">
      <c r="K231" s="717"/>
    </row>
    <row r="232" spans="10:11">
      <c r="K232" s="717"/>
    </row>
    <row r="234" spans="10:11">
      <c r="K234" s="717"/>
    </row>
    <row r="235" spans="10:11">
      <c r="K235" s="717"/>
    </row>
    <row r="236" spans="10:11">
      <c r="K236" s="717"/>
    </row>
    <row r="239" spans="10:11">
      <c r="J239" s="718"/>
    </row>
    <row r="240" spans="10:11">
      <c r="J240" s="718"/>
    </row>
    <row r="241" spans="10:10">
      <c r="J241" s="719"/>
    </row>
  </sheetData>
  <phoneticPr fontId="30" type="noConversion"/>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AM97"/>
  <sheetViews>
    <sheetView showGridLines="0" topLeftCell="D70" zoomScaleNormal="100" workbookViewId="0">
      <selection activeCell="O76" sqref="O76"/>
    </sheetView>
  </sheetViews>
  <sheetFormatPr baseColWidth="10" defaultRowHeight="12.75"/>
  <cols>
    <col min="1" max="1" width="7.85546875" bestFit="1" customWidth="1"/>
    <col min="3" max="3" width="14.42578125" bestFit="1" customWidth="1"/>
    <col min="4" max="4" width="20.5703125" customWidth="1"/>
    <col min="5" max="5" width="20.140625" bestFit="1" customWidth="1"/>
    <col min="8" max="8" width="12.85546875" bestFit="1" customWidth="1"/>
    <col min="10" max="10" width="13.28515625" bestFit="1" customWidth="1"/>
    <col min="13" max="13" width="16.5703125" bestFit="1" customWidth="1"/>
    <col min="16" max="17" width="13.85546875" bestFit="1" customWidth="1"/>
  </cols>
  <sheetData>
    <row r="2" spans="1:3" s="19" customFormat="1" ht="15.75">
      <c r="A2" s="20" t="s">
        <v>148</v>
      </c>
      <c r="B2" s="20" t="s">
        <v>73</v>
      </c>
      <c r="C2" s="20" t="s">
        <v>74</v>
      </c>
    </row>
    <row r="3" spans="1:3">
      <c r="A3" s="5">
        <v>0</v>
      </c>
      <c r="B3" s="5">
        <v>2003</v>
      </c>
      <c r="C3" s="22">
        <v>6.4899999999999999E-2</v>
      </c>
    </row>
    <row r="4" spans="1:3">
      <c r="A4" s="5">
        <v>1</v>
      </c>
      <c r="B4" s="5">
        <v>2004</v>
      </c>
      <c r="C4" s="22">
        <v>5.5E-2</v>
      </c>
    </row>
    <row r="5" spans="1:3">
      <c r="A5" s="5">
        <v>2</v>
      </c>
      <c r="B5" s="5">
        <v>2005</v>
      </c>
      <c r="C5" s="22">
        <v>4.8500000000000001E-2</v>
      </c>
    </row>
    <row r="6" spans="1:3">
      <c r="A6" s="5">
        <v>3</v>
      </c>
      <c r="B6" s="5">
        <v>2006</v>
      </c>
      <c r="C6" s="22">
        <v>4.48E-2</v>
      </c>
    </row>
    <row r="7" spans="1:3">
      <c r="A7" s="5">
        <v>4</v>
      </c>
      <c r="B7" s="5">
        <v>2007</v>
      </c>
      <c r="C7" s="22">
        <v>5.6899999999999999E-2</v>
      </c>
    </row>
    <row r="8" spans="1:3">
      <c r="A8" s="5">
        <v>5</v>
      </c>
      <c r="B8" s="5">
        <v>2008</v>
      </c>
      <c r="C8" s="22">
        <v>7.6700000000000004E-2</v>
      </c>
    </row>
    <row r="9" spans="1:3">
      <c r="A9" s="5">
        <v>6</v>
      </c>
      <c r="B9" s="5">
        <v>2009</v>
      </c>
      <c r="C9" s="22">
        <v>0.02</v>
      </c>
    </row>
    <row r="10" spans="1:3">
      <c r="A10" s="5">
        <v>7</v>
      </c>
      <c r="B10" s="5">
        <v>2010</v>
      </c>
      <c r="C10" s="22">
        <v>3.1699999999999999E-2</v>
      </c>
    </row>
    <row r="11" spans="1:3">
      <c r="A11" s="5">
        <v>8</v>
      </c>
      <c r="B11" s="5">
        <v>2011</v>
      </c>
      <c r="C11" s="22">
        <v>3.73E-2</v>
      </c>
    </row>
    <row r="12" spans="1:3">
      <c r="A12" s="5">
        <v>9</v>
      </c>
      <c r="B12" s="5">
        <v>2012</v>
      </c>
      <c r="C12" s="22">
        <v>2.4400000000000002E-2</v>
      </c>
    </row>
    <row r="13" spans="1:3">
      <c r="A13" s="5">
        <v>10</v>
      </c>
      <c r="B13" s="5">
        <v>2013</v>
      </c>
      <c r="C13" s="22">
        <v>1.9400000000000001E-2</v>
      </c>
    </row>
    <row r="14" spans="1:3">
      <c r="A14" s="5">
        <v>11</v>
      </c>
      <c r="B14" s="5">
        <v>2014</v>
      </c>
      <c r="C14" s="22">
        <v>3.6600000000000001E-2</v>
      </c>
    </row>
    <row r="15" spans="1:3">
      <c r="A15" s="5">
        <v>12</v>
      </c>
      <c r="B15" s="5">
        <v>2015</v>
      </c>
      <c r="C15" s="22">
        <v>6.7699999999999996E-2</v>
      </c>
    </row>
    <row r="16" spans="1:3">
      <c r="A16" s="5">
        <v>13</v>
      </c>
      <c r="B16" s="5">
        <v>2016</v>
      </c>
      <c r="C16" s="22">
        <v>5.7500000000000002E-2</v>
      </c>
    </row>
    <row r="17" spans="1:14">
      <c r="A17" s="5">
        <v>14</v>
      </c>
      <c r="B17" s="5">
        <v>2017</v>
      </c>
      <c r="C17" s="22">
        <v>4.0899999999999999E-2</v>
      </c>
    </row>
    <row r="18" spans="1:14">
      <c r="A18" s="5">
        <v>15</v>
      </c>
      <c r="B18" s="5">
        <v>2018</v>
      </c>
      <c r="C18" s="22">
        <v>3.1800000000000002E-2</v>
      </c>
    </row>
    <row r="19" spans="1:14">
      <c r="A19" s="5">
        <v>16</v>
      </c>
      <c r="B19" s="5">
        <v>2019</v>
      </c>
      <c r="C19" s="22">
        <v>3.7999999999999999E-2</v>
      </c>
    </row>
    <row r="20" spans="1:14">
      <c r="A20" s="5">
        <v>17</v>
      </c>
      <c r="B20" s="5">
        <v>2020</v>
      </c>
      <c r="C20" s="22">
        <v>1.61E-2</v>
      </c>
      <c r="E20" s="108"/>
    </row>
    <row r="21" spans="1:14">
      <c r="A21" s="5">
        <v>18</v>
      </c>
      <c r="B21" s="5">
        <v>2021</v>
      </c>
      <c r="C21" s="22">
        <v>5.62E-2</v>
      </c>
    </row>
    <row r="22" spans="1:14">
      <c r="A22" s="5">
        <v>19</v>
      </c>
      <c r="B22" s="5">
        <v>2022</v>
      </c>
      <c r="C22" s="22">
        <v>0.13120000000000001</v>
      </c>
      <c r="E22" s="108"/>
    </row>
    <row r="23" spans="1:14">
      <c r="A23" s="5">
        <v>20</v>
      </c>
      <c r="B23" s="5">
        <v>2023</v>
      </c>
      <c r="C23" s="22">
        <v>9.2799999999999994E-2</v>
      </c>
      <c r="E23" s="743">
        <v>2024</v>
      </c>
      <c r="F23" s="743">
        <v>2025</v>
      </c>
      <c r="G23" s="743">
        <v>2026</v>
      </c>
      <c r="H23" s="743">
        <v>2027</v>
      </c>
      <c r="I23" s="743">
        <v>2028</v>
      </c>
      <c r="J23" s="743">
        <v>2029</v>
      </c>
      <c r="K23" s="743">
        <v>2030</v>
      </c>
      <c r="L23" s="743">
        <v>2031</v>
      </c>
      <c r="M23" s="743">
        <v>2032</v>
      </c>
      <c r="N23" s="743">
        <v>2033</v>
      </c>
    </row>
    <row r="24" spans="1:14">
      <c r="A24" s="5">
        <v>21</v>
      </c>
      <c r="B24" s="5">
        <v>2024</v>
      </c>
      <c r="C24" s="22">
        <v>0.06</v>
      </c>
      <c r="E24" s="21">
        <v>0.06</v>
      </c>
      <c r="F24" s="21">
        <v>4.5975144331782153E-2</v>
      </c>
      <c r="G24" s="21">
        <v>4.7225144331782154E-2</v>
      </c>
      <c r="H24" s="21">
        <v>4.8475144331782155E-2</v>
      </c>
      <c r="I24" s="21">
        <v>4.9725144331782156E-2</v>
      </c>
      <c r="J24" s="21">
        <v>5.0975144331782157E-2</v>
      </c>
      <c r="K24" s="21">
        <v>5.2225144331782158E-2</v>
      </c>
      <c r="L24" s="21">
        <v>5.347514433178216E-2</v>
      </c>
      <c r="M24" s="21">
        <v>5.4725144331782161E-2</v>
      </c>
      <c r="N24" s="21">
        <v>5.5975144331782162E-2</v>
      </c>
    </row>
    <row r="25" spans="1:14">
      <c r="A25" s="5">
        <v>22</v>
      </c>
      <c r="B25" s="5">
        <v>2025</v>
      </c>
      <c r="C25" s="22">
        <f>0.0046*(LOG10(A25))+(0.0398)</f>
        <v>4.5975144331782153E-2</v>
      </c>
    </row>
    <row r="26" spans="1:14">
      <c r="A26" s="5">
        <v>23</v>
      </c>
      <c r="B26" s="5">
        <v>2026</v>
      </c>
      <c r="C26" s="22">
        <f>+C25+0.00125</f>
        <v>4.7225144331782154E-2</v>
      </c>
    </row>
    <row r="27" spans="1:14">
      <c r="A27" s="5">
        <v>24</v>
      </c>
      <c r="B27" s="5">
        <v>2027</v>
      </c>
      <c r="C27" s="22">
        <f t="shared" ref="C27:C29" si="0">+C26+0.00125</f>
        <v>4.8475144331782155E-2</v>
      </c>
    </row>
    <row r="28" spans="1:14">
      <c r="A28" s="5">
        <v>25</v>
      </c>
      <c r="B28" s="5">
        <v>2028</v>
      </c>
      <c r="C28" s="22">
        <f t="shared" si="0"/>
        <v>4.9725144331782156E-2</v>
      </c>
    </row>
    <row r="29" spans="1:14">
      <c r="A29" s="5">
        <v>26</v>
      </c>
      <c r="B29" s="5">
        <v>2029</v>
      </c>
      <c r="C29" s="22">
        <f t="shared" si="0"/>
        <v>5.0975144331782157E-2</v>
      </c>
    </row>
    <row r="30" spans="1:14">
      <c r="A30" s="5">
        <v>27</v>
      </c>
      <c r="B30" s="5">
        <v>2030</v>
      </c>
      <c r="C30" s="22">
        <f t="shared" ref="C30:C34" si="1">+C29+0.00125</f>
        <v>5.2225144331782158E-2</v>
      </c>
    </row>
    <row r="31" spans="1:14">
      <c r="A31" s="5">
        <v>28</v>
      </c>
      <c r="B31" s="5">
        <v>2031</v>
      </c>
      <c r="C31" s="22">
        <f t="shared" si="1"/>
        <v>5.347514433178216E-2</v>
      </c>
    </row>
    <row r="32" spans="1:14">
      <c r="A32" s="5">
        <v>29</v>
      </c>
      <c r="B32" s="5">
        <v>2032</v>
      </c>
      <c r="C32" s="22">
        <f t="shared" si="1"/>
        <v>5.4725144331782161E-2</v>
      </c>
    </row>
    <row r="33" spans="1:39">
      <c r="A33" s="5">
        <v>30</v>
      </c>
      <c r="B33" s="5">
        <v>2033</v>
      </c>
      <c r="C33" s="22">
        <f t="shared" si="1"/>
        <v>5.5975144331782162E-2</v>
      </c>
    </row>
    <row r="34" spans="1:39">
      <c r="A34" s="5">
        <v>31</v>
      </c>
      <c r="B34" s="5">
        <v>2034</v>
      </c>
      <c r="C34" s="22">
        <f t="shared" si="1"/>
        <v>5.7225144331782163E-2</v>
      </c>
    </row>
    <row r="35" spans="1:39">
      <c r="A35" s="5">
        <v>32</v>
      </c>
      <c r="B35" s="5">
        <v>2035</v>
      </c>
      <c r="C35" s="22">
        <f t="shared" ref="C35:C36" si="2">+C34+0.00125</f>
        <v>5.8475144331782164E-2</v>
      </c>
    </row>
    <row r="36" spans="1:39">
      <c r="A36" s="5">
        <v>33</v>
      </c>
      <c r="B36" s="5">
        <v>2036</v>
      </c>
      <c r="C36" s="22">
        <f t="shared" si="2"/>
        <v>5.9725144331782165E-2</v>
      </c>
    </row>
    <row r="37" spans="1:39">
      <c r="A37" s="5">
        <v>34</v>
      </c>
      <c r="B37" s="5">
        <v>2037</v>
      </c>
      <c r="C37" s="22">
        <f t="shared" ref="C37:C39" si="3">+C36+0.00125</f>
        <v>6.0975144331782166E-2</v>
      </c>
    </row>
    <row r="38" spans="1:39">
      <c r="A38" s="5">
        <v>35</v>
      </c>
      <c r="B38" s="5">
        <v>2038</v>
      </c>
      <c r="C38" s="22">
        <f t="shared" si="3"/>
        <v>6.2225144331782167E-2</v>
      </c>
    </row>
    <row r="39" spans="1:39">
      <c r="A39" s="5">
        <v>36</v>
      </c>
      <c r="B39" s="5">
        <v>2039</v>
      </c>
      <c r="C39" s="22">
        <f t="shared" si="3"/>
        <v>6.3475144331782168E-2</v>
      </c>
    </row>
    <row r="40" spans="1:39">
      <c r="A40" s="1"/>
      <c r="B40" s="1"/>
      <c r="C40" s="114"/>
    </row>
    <row r="42" spans="1:39" ht="15.75">
      <c r="B42" s="20" t="s">
        <v>73</v>
      </c>
      <c r="C42" s="5">
        <v>2003</v>
      </c>
      <c r="D42" s="5">
        <v>2004</v>
      </c>
      <c r="E42" s="5">
        <v>2005</v>
      </c>
      <c r="F42" s="5">
        <v>2006</v>
      </c>
      <c r="G42" s="5">
        <v>2007</v>
      </c>
      <c r="H42" s="5">
        <v>2008</v>
      </c>
      <c r="I42" s="5">
        <v>2009</v>
      </c>
      <c r="J42" s="5">
        <v>2010</v>
      </c>
      <c r="K42" s="5">
        <v>2011</v>
      </c>
      <c r="L42" s="5">
        <v>2012</v>
      </c>
      <c r="M42" s="5">
        <v>2013</v>
      </c>
      <c r="N42" s="5">
        <v>2014</v>
      </c>
      <c r="O42" s="5">
        <v>2015</v>
      </c>
      <c r="P42" s="5">
        <v>2016</v>
      </c>
      <c r="Q42" s="5">
        <v>2017</v>
      </c>
      <c r="R42" s="5">
        <v>2018</v>
      </c>
      <c r="S42" s="5">
        <v>2019</v>
      </c>
      <c r="T42" s="5">
        <v>2020</v>
      </c>
      <c r="U42" s="5">
        <v>2021</v>
      </c>
      <c r="V42" s="5">
        <v>2022</v>
      </c>
      <c r="W42" s="5">
        <v>2023</v>
      </c>
      <c r="X42" s="5">
        <v>2024</v>
      </c>
      <c r="Y42" s="5">
        <v>2025</v>
      </c>
      <c r="Z42" s="5">
        <v>2026</v>
      </c>
      <c r="AA42" s="5">
        <v>2027</v>
      </c>
      <c r="AB42" s="5">
        <v>2028</v>
      </c>
      <c r="AC42" s="5">
        <v>2029</v>
      </c>
      <c r="AD42" s="5">
        <v>2030</v>
      </c>
      <c r="AE42" s="5">
        <v>2031</v>
      </c>
      <c r="AF42" s="5">
        <v>2032</v>
      </c>
      <c r="AG42" s="5">
        <v>2033</v>
      </c>
      <c r="AH42" s="5">
        <v>2034</v>
      </c>
      <c r="AI42" s="5">
        <v>2035</v>
      </c>
      <c r="AJ42" s="5">
        <v>2036</v>
      </c>
      <c r="AK42" s="5">
        <v>2037</v>
      </c>
      <c r="AL42" s="5">
        <v>2038</v>
      </c>
      <c r="AM42" s="5">
        <v>2039</v>
      </c>
    </row>
    <row r="43" spans="1:39" ht="15.75">
      <c r="B43" s="20" t="s">
        <v>74</v>
      </c>
      <c r="C43" s="21">
        <v>6.4899999999999999E-2</v>
      </c>
      <c r="D43" s="21">
        <v>5.5E-2</v>
      </c>
      <c r="E43" s="21">
        <v>4.8500000000000001E-2</v>
      </c>
      <c r="F43" s="21">
        <v>4.48E-2</v>
      </c>
      <c r="G43" s="21">
        <v>5.6899999999999999E-2</v>
      </c>
      <c r="H43" s="21">
        <v>7.6700000000000004E-2</v>
      </c>
      <c r="I43" s="21">
        <v>0.02</v>
      </c>
      <c r="J43" s="21">
        <v>3.1699999999999999E-2</v>
      </c>
      <c r="K43" s="21">
        <v>3.73E-2</v>
      </c>
      <c r="L43" s="21">
        <v>2.4400000000000002E-2</v>
      </c>
      <c r="M43" s="21">
        <v>1.9400000000000001E-2</v>
      </c>
      <c r="N43" s="21">
        <v>3.6600000000000001E-2</v>
      </c>
      <c r="O43" s="21">
        <v>6.7699999999999996E-2</v>
      </c>
      <c r="P43" s="21">
        <v>5.7500000000000002E-2</v>
      </c>
      <c r="Q43" s="21">
        <v>4.0899999999999999E-2</v>
      </c>
      <c r="R43" s="21">
        <v>3.1800000000000002E-2</v>
      </c>
      <c r="S43" s="21">
        <v>3.7999999999999999E-2</v>
      </c>
      <c r="T43" s="21">
        <v>1.61E-2</v>
      </c>
      <c r="U43" s="21">
        <v>5.62E-2</v>
      </c>
      <c r="V43" s="21">
        <v>0.13120000000000001</v>
      </c>
      <c r="W43" s="21">
        <v>0.13650000000000001</v>
      </c>
      <c r="X43" s="21">
        <v>0.10690000000000002</v>
      </c>
      <c r="Y43" s="21">
        <v>0.12140000000000001</v>
      </c>
      <c r="Z43" s="21">
        <v>0.12265000000000001</v>
      </c>
      <c r="AA43" s="21">
        <v>0.12390000000000001</v>
      </c>
      <c r="AB43" s="21">
        <v>0.12515000000000001</v>
      </c>
      <c r="AC43" s="21">
        <v>0.12640000000000001</v>
      </c>
      <c r="AD43" s="21">
        <v>0.12765000000000001</v>
      </c>
      <c r="AE43" s="21">
        <v>0.12890000000000001</v>
      </c>
      <c r="AF43" s="21">
        <v>0.13015000000000002</v>
      </c>
      <c r="AG43" s="21">
        <v>0.13140000000000002</v>
      </c>
      <c r="AH43" s="21">
        <v>0.13265000000000002</v>
      </c>
      <c r="AI43" s="21">
        <v>0.13390000000000002</v>
      </c>
      <c r="AJ43" s="21">
        <v>0.13514999999999999</v>
      </c>
      <c r="AK43" s="21">
        <v>0.13639999999999999</v>
      </c>
      <c r="AL43" s="21">
        <v>0.13764999999999999</v>
      </c>
      <c r="AM43" s="21">
        <v>0.1389</v>
      </c>
    </row>
    <row r="45" spans="1:39" ht="15.75">
      <c r="B45" s="20" t="s">
        <v>73</v>
      </c>
      <c r="C45" s="20" t="s">
        <v>80</v>
      </c>
      <c r="D45" s="20" t="s">
        <v>75</v>
      </c>
      <c r="E45" s="20" t="s">
        <v>76</v>
      </c>
    </row>
    <row r="46" spans="1:39" ht="15.75">
      <c r="B46" s="26">
        <v>2003</v>
      </c>
      <c r="C46" s="26">
        <v>253528</v>
      </c>
      <c r="D46" s="26">
        <f t="shared" ref="D46:D67" si="4">+C46/125</f>
        <v>2028.2239999999999</v>
      </c>
      <c r="E46" s="24">
        <v>0.876</v>
      </c>
    </row>
    <row r="47" spans="1:39" ht="15.75">
      <c r="B47" s="26">
        <v>2004</v>
      </c>
      <c r="C47" s="26">
        <v>414125</v>
      </c>
      <c r="D47" s="26">
        <f t="shared" si="4"/>
        <v>3313</v>
      </c>
      <c r="E47" s="24">
        <v>0.89</v>
      </c>
    </row>
    <row r="48" spans="1:39" ht="15.75">
      <c r="B48" s="26">
        <v>2005</v>
      </c>
      <c r="C48" s="26">
        <v>467645</v>
      </c>
      <c r="D48" s="26">
        <f t="shared" si="4"/>
        <v>3741.16</v>
      </c>
      <c r="E48" s="24">
        <v>0.86</v>
      </c>
    </row>
    <row r="49" spans="2:17" ht="15.75">
      <c r="B49" s="26">
        <v>2006</v>
      </c>
      <c r="C49" s="26">
        <v>493795</v>
      </c>
      <c r="D49" s="26">
        <f t="shared" si="4"/>
        <v>3950.36</v>
      </c>
      <c r="E49" s="24">
        <v>0.87</v>
      </c>
    </row>
    <row r="50" spans="2:17" ht="15.75">
      <c r="B50" s="26">
        <v>2007</v>
      </c>
      <c r="C50" s="26">
        <v>490000</v>
      </c>
      <c r="D50" s="26">
        <f t="shared" si="4"/>
        <v>3920</v>
      </c>
      <c r="E50" s="25" t="s">
        <v>77</v>
      </c>
      <c r="P50" s="2"/>
      <c r="Q50" s="2"/>
    </row>
    <row r="51" spans="2:17" ht="15.75">
      <c r="B51" s="26">
        <v>2008</v>
      </c>
      <c r="C51" s="26">
        <v>537000</v>
      </c>
      <c r="D51" s="26">
        <f t="shared" si="4"/>
        <v>4296</v>
      </c>
      <c r="E51" s="25" t="s">
        <v>78</v>
      </c>
    </row>
    <row r="52" spans="2:17" ht="15.75">
      <c r="B52" s="26">
        <v>2009</v>
      </c>
      <c r="C52" s="26">
        <v>660000</v>
      </c>
      <c r="D52" s="26">
        <f t="shared" si="4"/>
        <v>5280</v>
      </c>
      <c r="E52" s="24">
        <v>0.92</v>
      </c>
      <c r="Q52" s="2"/>
    </row>
    <row r="53" spans="2:17" ht="15.75">
      <c r="B53" s="26">
        <v>2010</v>
      </c>
      <c r="C53" s="26">
        <v>817000</v>
      </c>
      <c r="D53" s="26">
        <f t="shared" si="4"/>
        <v>6536</v>
      </c>
      <c r="E53" s="24">
        <v>0.96</v>
      </c>
    </row>
    <row r="54" spans="2:17" ht="15.75">
      <c r="B54" s="26">
        <v>2011</v>
      </c>
      <c r="C54" s="26">
        <v>1077000</v>
      </c>
      <c r="D54" s="26">
        <f t="shared" si="4"/>
        <v>8616</v>
      </c>
      <c r="E54" s="24">
        <v>0.94</v>
      </c>
    </row>
    <row r="55" spans="2:17" ht="15.75">
      <c r="B55" s="26">
        <v>2012</v>
      </c>
      <c r="C55" s="26">
        <v>678000</v>
      </c>
      <c r="D55" s="26">
        <f t="shared" si="4"/>
        <v>5424</v>
      </c>
      <c r="E55" s="25" t="s">
        <v>79</v>
      </c>
    </row>
    <row r="56" spans="2:17" ht="15.75">
      <c r="B56" s="26">
        <v>2013</v>
      </c>
      <c r="C56" s="26">
        <v>458000</v>
      </c>
      <c r="D56" s="26">
        <f t="shared" si="4"/>
        <v>3664</v>
      </c>
      <c r="E56" s="24">
        <v>0.87</v>
      </c>
      <c r="G56" s="2"/>
    </row>
    <row r="57" spans="2:17" ht="15.75">
      <c r="B57" s="26">
        <v>2014</v>
      </c>
      <c r="C57" s="26">
        <v>754260</v>
      </c>
      <c r="D57" s="26">
        <f t="shared" si="4"/>
        <v>6034.08</v>
      </c>
      <c r="E57" s="24">
        <v>0.85</v>
      </c>
    </row>
    <row r="58" spans="2:17" ht="15.75">
      <c r="B58" s="26">
        <v>2015</v>
      </c>
      <c r="C58" s="26">
        <v>764000</v>
      </c>
      <c r="D58" s="26">
        <f t="shared" si="4"/>
        <v>6112</v>
      </c>
      <c r="E58" s="24">
        <v>0.81</v>
      </c>
      <c r="G58" s="18" t="s">
        <v>147</v>
      </c>
      <c r="J58" s="14">
        <f>+(4909.8*(21*21))-(40988*(21))+549171</f>
        <v>1853644.8000000003</v>
      </c>
    </row>
    <row r="59" spans="2:17" ht="15.75">
      <c r="B59" s="26">
        <v>2016</v>
      </c>
      <c r="C59" s="26">
        <v>892658</v>
      </c>
      <c r="D59" s="26">
        <f t="shared" si="4"/>
        <v>7141.2640000000001</v>
      </c>
      <c r="E59" s="24">
        <v>0.81</v>
      </c>
      <c r="I59" s="14"/>
    </row>
    <row r="60" spans="2:17" ht="15.75">
      <c r="B60" s="26">
        <v>2017</v>
      </c>
      <c r="C60" s="26">
        <v>906875</v>
      </c>
      <c r="D60" s="26">
        <f t="shared" si="4"/>
        <v>7255</v>
      </c>
      <c r="E60" s="24">
        <v>0.85</v>
      </c>
    </row>
    <row r="61" spans="2:17" ht="15.75">
      <c r="B61" s="26">
        <v>2018</v>
      </c>
      <c r="C61" s="26">
        <v>859740</v>
      </c>
      <c r="D61" s="26">
        <f t="shared" si="4"/>
        <v>6877.92</v>
      </c>
      <c r="E61" s="24">
        <v>0.91900000000000004</v>
      </c>
    </row>
    <row r="62" spans="2:17" ht="15.75">
      <c r="B62" s="26">
        <v>2019</v>
      </c>
      <c r="C62" s="26">
        <v>856387</v>
      </c>
      <c r="D62" s="26">
        <f t="shared" si="4"/>
        <v>6851.0959999999995</v>
      </c>
      <c r="E62" s="24">
        <v>0.8</v>
      </c>
    </row>
    <row r="63" spans="2:17" ht="15.75">
      <c r="B63" s="26">
        <v>2020</v>
      </c>
      <c r="C63" s="26">
        <v>1079099</v>
      </c>
      <c r="D63" s="26">
        <f t="shared" si="4"/>
        <v>8632.7919999999995</v>
      </c>
      <c r="E63" s="24">
        <v>0.8</v>
      </c>
    </row>
    <row r="64" spans="2:17" ht="15.75">
      <c r="B64" s="26">
        <v>2021</v>
      </c>
      <c r="C64" s="26">
        <v>1568154</v>
      </c>
      <c r="D64" s="26">
        <f t="shared" si="4"/>
        <v>12545.232</v>
      </c>
      <c r="E64" s="24">
        <v>0.7</v>
      </c>
    </row>
    <row r="65" spans="1:16" ht="15.75">
      <c r="B65" s="26">
        <v>2022</v>
      </c>
      <c r="C65" s="26">
        <v>2440000</v>
      </c>
      <c r="D65" s="26">
        <f t="shared" si="4"/>
        <v>19520</v>
      </c>
      <c r="E65" s="4"/>
    </row>
    <row r="66" spans="1:16" ht="15.75">
      <c r="B66" s="107">
        <v>2023</v>
      </c>
      <c r="C66" s="107">
        <v>1626688.7022408575</v>
      </c>
      <c r="D66" s="107">
        <f t="shared" si="4"/>
        <v>13013.50961792686</v>
      </c>
      <c r="E66" s="3"/>
    </row>
    <row r="67" spans="1:16" ht="15.75">
      <c r="B67" s="26">
        <v>2024</v>
      </c>
      <c r="C67" s="107">
        <v>1236000.0616846525</v>
      </c>
      <c r="D67" s="107">
        <f t="shared" si="4"/>
        <v>9888.0004934772205</v>
      </c>
      <c r="E67" s="3"/>
    </row>
    <row r="68" spans="1:16" ht="15.75">
      <c r="B68" s="106"/>
      <c r="C68" s="106"/>
      <c r="D68" s="106"/>
    </row>
    <row r="69" spans="1:16" ht="15.75">
      <c r="B69" s="106"/>
      <c r="C69" s="106"/>
      <c r="D69" s="106"/>
    </row>
    <row r="72" spans="1:16">
      <c r="B72" t="s">
        <v>81</v>
      </c>
    </row>
    <row r="73" spans="1:16" ht="15.75">
      <c r="A73" s="20" t="s">
        <v>144</v>
      </c>
      <c r="B73" s="20" t="s">
        <v>73</v>
      </c>
      <c r="C73" s="20" t="s">
        <v>80</v>
      </c>
    </row>
    <row r="74" spans="1:16">
      <c r="A74" s="104">
        <v>1</v>
      </c>
      <c r="B74" s="103">
        <v>44927</v>
      </c>
      <c r="C74" s="104">
        <v>1838032</v>
      </c>
    </row>
    <row r="75" spans="1:16">
      <c r="A75" s="104">
        <v>2</v>
      </c>
      <c r="B75" s="103">
        <v>44958</v>
      </c>
      <c r="C75" s="104">
        <v>2075285.7142857143</v>
      </c>
      <c r="M75" s="14">
        <v>5122699050</v>
      </c>
      <c r="O75">
        <f>3000/100</f>
        <v>30</v>
      </c>
    </row>
    <row r="76" spans="1:16">
      <c r="A76" s="104">
        <v>3</v>
      </c>
      <c r="B76" s="103">
        <v>44986</v>
      </c>
      <c r="C76" s="104">
        <v>1993129.0322580645</v>
      </c>
      <c r="O76">
        <f>+O75*6</f>
        <v>180</v>
      </c>
      <c r="P76" s="14">
        <f>+M75/O76</f>
        <v>28459439.166666668</v>
      </c>
    </row>
    <row r="77" spans="1:16">
      <c r="A77" s="104">
        <v>4</v>
      </c>
      <c r="B77" s="103">
        <v>45017</v>
      </c>
      <c r="C77" s="104">
        <v>1978900</v>
      </c>
      <c r="P77" s="14">
        <f>+P76/2</f>
        <v>14229719.583333334</v>
      </c>
    </row>
    <row r="78" spans="1:16">
      <c r="A78" s="104">
        <v>5</v>
      </c>
      <c r="B78" s="103">
        <v>45047</v>
      </c>
      <c r="C78" s="104">
        <v>1895967.7419354839</v>
      </c>
      <c r="J78" s="46"/>
    </row>
    <row r="79" spans="1:16">
      <c r="A79" s="104">
        <v>6</v>
      </c>
      <c r="B79" s="103">
        <v>45078</v>
      </c>
      <c r="C79" s="104">
        <v>1577900</v>
      </c>
    </row>
    <row r="80" spans="1:16">
      <c r="A80" s="104">
        <v>7</v>
      </c>
      <c r="B80" s="103">
        <v>45108</v>
      </c>
      <c r="C80" s="104">
        <v>1318774.1935483871</v>
      </c>
    </row>
    <row r="81" spans="1:6">
      <c r="A81" s="104">
        <v>8</v>
      </c>
      <c r="B81" s="103">
        <v>45139</v>
      </c>
      <c r="C81" s="104">
        <v>1319096.7741935484</v>
      </c>
    </row>
    <row r="82" spans="1:6">
      <c r="A82" s="104">
        <v>9</v>
      </c>
      <c r="B82" s="103">
        <v>45170</v>
      </c>
      <c r="C82" s="104">
        <v>1285967</v>
      </c>
    </row>
    <row r="83" spans="1:6">
      <c r="A83" s="104">
        <v>10</v>
      </c>
      <c r="B83" s="103">
        <v>45200</v>
      </c>
      <c r="C83" s="104">
        <v>1475000</v>
      </c>
    </row>
    <row r="84" spans="1:6">
      <c r="A84" s="104">
        <v>11</v>
      </c>
      <c r="B84" s="103">
        <v>45231</v>
      </c>
      <c r="C84" s="104">
        <f>(-316554.26*LN(A84))+2153941.86</f>
        <v>1394877.8963618134</v>
      </c>
    </row>
    <row r="85" spans="1:6">
      <c r="A85" s="104">
        <v>12</v>
      </c>
      <c r="B85" s="103">
        <v>45261</v>
      </c>
      <c r="C85" s="104">
        <f t="shared" ref="C85:C97" si="5">(-316554.26*LN(A85))+2153941.86</f>
        <v>1367334.0743072801</v>
      </c>
    </row>
    <row r="86" spans="1:6">
      <c r="A86" s="104">
        <v>13</v>
      </c>
      <c r="B86" s="103">
        <v>45292</v>
      </c>
      <c r="C86" s="104">
        <f t="shared" si="5"/>
        <v>1341996.2142112874</v>
      </c>
    </row>
    <row r="87" spans="1:6">
      <c r="A87" s="104">
        <v>14</v>
      </c>
      <c r="B87" s="103">
        <v>45323</v>
      </c>
      <c r="C87" s="104">
        <f t="shared" si="5"/>
        <v>1318537.0199260656</v>
      </c>
    </row>
    <row r="88" spans="1:6">
      <c r="A88" s="104">
        <v>15</v>
      </c>
      <c r="B88" s="103">
        <v>45352</v>
      </c>
      <c r="C88" s="104">
        <f t="shared" si="5"/>
        <v>1296697.0325472385</v>
      </c>
    </row>
    <row r="89" spans="1:6">
      <c r="A89" s="104">
        <v>16</v>
      </c>
      <c r="B89" s="103">
        <v>45383</v>
      </c>
      <c r="C89" s="104">
        <f t="shared" si="5"/>
        <v>1276267.0887470404</v>
      </c>
    </row>
    <row r="90" spans="1:6">
      <c r="A90" s="104">
        <v>17</v>
      </c>
      <c r="B90" s="103">
        <v>45413</v>
      </c>
      <c r="C90" s="104">
        <f t="shared" si="5"/>
        <v>1257076.1064501591</v>
      </c>
    </row>
    <row r="91" spans="1:6">
      <c r="A91" s="104">
        <v>18</v>
      </c>
      <c r="B91" s="103">
        <v>45444</v>
      </c>
      <c r="C91" s="104">
        <f t="shared" si="5"/>
        <v>1238982.3670542804</v>
      </c>
      <c r="E91" s="46"/>
    </row>
    <row r="92" spans="1:6">
      <c r="A92" s="104">
        <v>19</v>
      </c>
      <c r="B92" s="103">
        <v>45474</v>
      </c>
      <c r="C92" s="104">
        <f t="shared" si="5"/>
        <v>1221867.1578348121</v>
      </c>
      <c r="E92" s="18" t="s">
        <v>145</v>
      </c>
      <c r="F92" s="105">
        <f>+AVERAGE(C74:C85)</f>
        <v>1626688.7022408575</v>
      </c>
    </row>
    <row r="93" spans="1:6">
      <c r="A93" s="104">
        <v>20</v>
      </c>
      <c r="B93" s="103">
        <v>45505</v>
      </c>
      <c r="C93" s="104">
        <f t="shared" si="5"/>
        <v>1205630.0469869985</v>
      </c>
      <c r="E93" s="18" t="s">
        <v>146</v>
      </c>
      <c r="F93" s="105">
        <f>+AVERAGE(C86:C97)</f>
        <v>1236000.0616846525</v>
      </c>
    </row>
    <row r="94" spans="1:6">
      <c r="A94" s="104">
        <v>21</v>
      </c>
      <c r="B94" s="103">
        <v>45536</v>
      </c>
      <c r="C94" s="104">
        <f t="shared" si="5"/>
        <v>1190185.3126730656</v>
      </c>
    </row>
    <row r="95" spans="1:6">
      <c r="A95" s="104">
        <v>22</v>
      </c>
      <c r="B95" s="103">
        <v>45566</v>
      </c>
      <c r="C95" s="104">
        <f t="shared" si="5"/>
        <v>1175459.2035485734</v>
      </c>
    </row>
    <row r="96" spans="1:6">
      <c r="A96" s="104">
        <v>23</v>
      </c>
      <c r="B96" s="103">
        <v>45597</v>
      </c>
      <c r="C96" s="104">
        <f t="shared" si="5"/>
        <v>1161387.8087422675</v>
      </c>
    </row>
    <row r="97" spans="1:3">
      <c r="A97" s="104">
        <v>24</v>
      </c>
      <c r="B97" s="103">
        <v>45627</v>
      </c>
      <c r="C97" s="104">
        <f t="shared" si="5"/>
        <v>1147915.3814940404</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W314"/>
  <sheetViews>
    <sheetView showGridLines="0" topLeftCell="A22" workbookViewId="0">
      <selection activeCell="K38" sqref="K38"/>
    </sheetView>
  </sheetViews>
  <sheetFormatPr baseColWidth="10" defaultRowHeight="12.75"/>
  <cols>
    <col min="1" max="1" width="8.28515625" customWidth="1"/>
    <col min="2" max="2" width="25.140625" bestFit="1" customWidth="1"/>
    <col min="3" max="3" width="14.42578125" bestFit="1" customWidth="1"/>
    <col min="4" max="8" width="15.85546875" bestFit="1" customWidth="1"/>
    <col min="9" max="12" width="15.85546875" customWidth="1"/>
    <col min="13" max="13" width="15.85546875" bestFit="1" customWidth="1"/>
    <col min="14" max="14" width="6.85546875" customWidth="1"/>
    <col min="15" max="15" width="3.28515625" customWidth="1"/>
    <col min="16" max="16" width="6.5703125" customWidth="1"/>
    <col min="17" max="17" width="26" bestFit="1" customWidth="1"/>
    <col min="18" max="20" width="11.28515625" bestFit="1" customWidth="1"/>
    <col min="21" max="21" width="10.28515625" bestFit="1" customWidth="1"/>
    <col min="22" max="22" width="12.28515625" bestFit="1" customWidth="1"/>
    <col min="23" max="23" width="7" bestFit="1" customWidth="1"/>
  </cols>
  <sheetData>
    <row r="1" spans="2:23" ht="15">
      <c r="O1" s="596"/>
    </row>
    <row r="2" spans="2:23" ht="15">
      <c r="J2" s="46"/>
      <c r="O2" s="596"/>
    </row>
    <row r="3" spans="2:23" ht="15">
      <c r="O3" s="596"/>
    </row>
    <row r="4" spans="2:23" ht="15">
      <c r="O4" s="596"/>
      <c r="Q4" s="895" t="s">
        <v>2857</v>
      </c>
      <c r="R4" s="896"/>
      <c r="S4" s="896"/>
      <c r="T4" s="896"/>
      <c r="U4" s="896"/>
      <c r="V4" s="896"/>
      <c r="W4" s="896"/>
    </row>
    <row r="5" spans="2:23" ht="15">
      <c r="B5" s="897" t="s">
        <v>2858</v>
      </c>
      <c r="C5" s="898"/>
      <c r="D5" s="598">
        <f>+'Flujo de caja detallado'!G3</f>
        <v>15000000</v>
      </c>
      <c r="G5" s="897" t="s">
        <v>2859</v>
      </c>
      <c r="H5" s="898"/>
      <c r="I5" s="598">
        <v>1500000</v>
      </c>
      <c r="O5" s="596"/>
    </row>
    <row r="6" spans="2:23" ht="15">
      <c r="B6" s="51"/>
      <c r="C6" s="51"/>
      <c r="O6" s="596"/>
      <c r="Q6" s="56" t="s">
        <v>118</v>
      </c>
      <c r="R6" s="57">
        <v>2018</v>
      </c>
      <c r="S6" s="57">
        <v>2019</v>
      </c>
      <c r="T6" s="57">
        <v>2020</v>
      </c>
      <c r="U6" s="57">
        <v>2021</v>
      </c>
      <c r="V6" s="57" t="s">
        <v>1</v>
      </c>
      <c r="W6" s="57" t="s">
        <v>2860</v>
      </c>
    </row>
    <row r="7" spans="2:23" ht="15">
      <c r="B7" s="897" t="s">
        <v>3033</v>
      </c>
      <c r="C7" s="898"/>
      <c r="D7" s="599">
        <v>0</v>
      </c>
      <c r="E7" s="742">
        <f>+'IPC - CAFÉ'!E24</f>
        <v>0.06</v>
      </c>
      <c r="F7" s="742">
        <f>+'IPC - CAFÉ'!F24</f>
        <v>4.5975144331782153E-2</v>
      </c>
      <c r="G7" s="742">
        <f>+'IPC - CAFÉ'!G24</f>
        <v>4.7225144331782154E-2</v>
      </c>
      <c r="H7" s="742">
        <f>+'IPC - CAFÉ'!H24</f>
        <v>4.8475144331782155E-2</v>
      </c>
      <c r="I7" s="742">
        <f>+'IPC - CAFÉ'!I24</f>
        <v>4.9725144331782156E-2</v>
      </c>
      <c r="J7" s="742">
        <f>+'IPC - CAFÉ'!J24</f>
        <v>5.0975144331782157E-2</v>
      </c>
      <c r="K7" s="742">
        <f>+'IPC - CAFÉ'!K24</f>
        <v>5.2225144331782158E-2</v>
      </c>
      <c r="L7" s="742">
        <f>+'IPC - CAFÉ'!L24</f>
        <v>5.347514433178216E-2</v>
      </c>
      <c r="M7" s="742">
        <f>+'IPC - CAFÉ'!M24</f>
        <v>5.4725144331782161E-2</v>
      </c>
      <c r="O7" s="596"/>
      <c r="Q7" s="600" t="s">
        <v>120</v>
      </c>
      <c r="R7" s="601">
        <v>4788670.2</v>
      </c>
      <c r="S7" s="601">
        <v>5828306.2999999998</v>
      </c>
      <c r="T7" s="601">
        <v>5143562.5</v>
      </c>
      <c r="U7" s="601">
        <v>1626292.7</v>
      </c>
      <c r="V7" s="17">
        <f>SUM(R7:U7)</f>
        <v>17386831.699999999</v>
      </c>
      <c r="W7" s="21">
        <f>+V7/$V$26</f>
        <v>0.15845759346855662</v>
      </c>
    </row>
    <row r="8" spans="2:23" ht="15">
      <c r="B8" s="51"/>
      <c r="C8" s="51"/>
      <c r="O8" s="596"/>
      <c r="Q8" s="600" t="s">
        <v>121</v>
      </c>
      <c r="R8" s="601">
        <v>2937113.5</v>
      </c>
      <c r="S8" s="601">
        <v>2629595.9</v>
      </c>
      <c r="T8" s="601">
        <v>1791695.4</v>
      </c>
      <c r="U8" s="601">
        <v>651765.5</v>
      </c>
      <c r="V8" s="17">
        <f t="shared" ref="V8:V26" si="0">SUM(R8:U8)</f>
        <v>8010170.3000000007</v>
      </c>
      <c r="W8" s="21">
        <f>+V8/$V$26</f>
        <v>7.3001932204319109E-2</v>
      </c>
    </row>
    <row r="9" spans="2:23" ht="15">
      <c r="B9" s="897" t="s">
        <v>2862</v>
      </c>
      <c r="C9" s="898"/>
      <c r="D9" s="16">
        <v>50000</v>
      </c>
      <c r="E9" s="16">
        <f>+D9*(1+E7)</f>
        <v>53000</v>
      </c>
      <c r="F9" s="16">
        <f>+E9*(1+F7)</f>
        <v>55436.682649584458</v>
      </c>
      <c r="G9" s="16">
        <f t="shared" ref="G9:H9" si="1">+F9*(1+G7)</f>
        <v>58054.68798898629</v>
      </c>
      <c r="H9" s="16">
        <f t="shared" si="1"/>
        <v>60868.897368388978</v>
      </c>
      <c r="I9" s="16">
        <f t="shared" ref="I9" si="2">+H9*(1+I7)</f>
        <v>63895.612075348552</v>
      </c>
      <c r="J9" s="16">
        <f t="shared" ref="J9" si="3">+I9*(1+J7)</f>
        <v>67152.700123057002</v>
      </c>
      <c r="K9" s="16">
        <f t="shared" ref="K9" si="4">+J9*(1+K7)</f>
        <v>70659.759579252539</v>
      </c>
      <c r="L9" s="16">
        <f t="shared" ref="L9" si="5">+K9*(1+L7)</f>
        <v>74438.300421202104</v>
      </c>
      <c r="M9" s="16">
        <f>+L9*(1+M7)</f>
        <v>78511.947155564951</v>
      </c>
      <c r="O9" s="596"/>
      <c r="Q9" s="600" t="s">
        <v>122</v>
      </c>
      <c r="R9" s="601">
        <v>846736.6</v>
      </c>
      <c r="S9" s="601">
        <v>772543.9</v>
      </c>
      <c r="T9" s="601">
        <v>767696.1</v>
      </c>
      <c r="U9" s="601">
        <v>304666.90000000002</v>
      </c>
      <c r="V9" s="17">
        <f t="shared" si="0"/>
        <v>2691643.5</v>
      </c>
      <c r="W9" s="21">
        <f>+V9/$V$26</f>
        <v>2.453071145131536E-2</v>
      </c>
    </row>
    <row r="10" spans="2:23" ht="15">
      <c r="O10" s="596"/>
      <c r="Q10" s="600" t="s">
        <v>123</v>
      </c>
      <c r="R10" s="601">
        <v>1476521.6</v>
      </c>
      <c r="S10" s="601">
        <v>1949463</v>
      </c>
      <c r="T10" s="601">
        <v>2065515.3</v>
      </c>
      <c r="U10" s="601">
        <v>1405790.4</v>
      </c>
      <c r="V10" s="17">
        <f t="shared" si="0"/>
        <v>6897290.3000000007</v>
      </c>
      <c r="W10" s="21">
        <f>+V10/$V$26</f>
        <v>6.2859527327915596E-2</v>
      </c>
    </row>
    <row r="11" spans="2:23" ht="15">
      <c r="B11" s="901" t="s">
        <v>3030</v>
      </c>
      <c r="C11" s="901"/>
      <c r="D11" s="16">
        <f>+D31*0.005</f>
        <v>75000</v>
      </c>
      <c r="E11" s="16">
        <f t="shared" ref="E11:M11" si="6">+E31*0.005</f>
        <v>78750</v>
      </c>
      <c r="F11" s="16">
        <f t="shared" si="6"/>
        <v>82687.5</v>
      </c>
      <c r="G11" s="16">
        <f t="shared" si="6"/>
        <v>86821.875</v>
      </c>
      <c r="H11" s="16">
        <f t="shared" si="6"/>
        <v>91162.96875</v>
      </c>
      <c r="I11" s="16">
        <f t="shared" si="6"/>
        <v>92074.598437499997</v>
      </c>
      <c r="J11" s="16">
        <f t="shared" si="6"/>
        <v>92995.344421874994</v>
      </c>
      <c r="K11" s="16">
        <f t="shared" si="6"/>
        <v>93925.297866093737</v>
      </c>
      <c r="L11" s="16">
        <f t="shared" si="6"/>
        <v>94864.550844754674</v>
      </c>
      <c r="M11" s="16">
        <f t="shared" si="6"/>
        <v>95813.19635320222</v>
      </c>
      <c r="O11" s="596"/>
      <c r="Q11" s="600"/>
      <c r="R11" s="601"/>
      <c r="S11" s="601"/>
      <c r="T11" s="601"/>
      <c r="U11" s="601"/>
      <c r="V11" s="17"/>
      <c r="W11" s="21"/>
    </row>
    <row r="12" spans="2:23" ht="15">
      <c r="D12" s="648"/>
      <c r="E12" s="648"/>
      <c r="F12" s="648"/>
      <c r="G12" s="648"/>
      <c r="H12" s="648"/>
      <c r="I12" s="648"/>
      <c r="J12" s="648"/>
      <c r="K12" s="648"/>
      <c r="L12" s="648"/>
      <c r="M12" s="648"/>
      <c r="O12" s="596"/>
      <c r="Q12" s="600" t="s">
        <v>124</v>
      </c>
      <c r="R12" s="601">
        <v>394375.3</v>
      </c>
      <c r="S12" s="601">
        <v>635680.4</v>
      </c>
      <c r="T12" s="601">
        <v>601028.9</v>
      </c>
      <c r="U12" s="601">
        <v>352377.9</v>
      </c>
      <c r="V12" s="17">
        <f t="shared" si="0"/>
        <v>1983462.5</v>
      </c>
      <c r="W12" s="21">
        <f t="shared" ref="W12:W26" si="7">+V12/$V$26</f>
        <v>1.8076593821583203E-2</v>
      </c>
    </row>
    <row r="13" spans="2:23" ht="15">
      <c r="B13" s="901" t="s">
        <v>3031</v>
      </c>
      <c r="C13" s="901"/>
      <c r="D13" s="16">
        <f t="shared" ref="D13:M13" si="8">+D11/125*D54</f>
        <v>900000000</v>
      </c>
      <c r="E13" s="16">
        <f t="shared" si="8"/>
        <v>1001700000</v>
      </c>
      <c r="F13" s="16">
        <f t="shared" si="8"/>
        <v>1100140967.1810036</v>
      </c>
      <c r="G13" s="16">
        <f t="shared" si="8"/>
        <v>1209700047.2985046</v>
      </c>
      <c r="H13" s="16">
        <f t="shared" si="8"/>
        <v>1331757453.2739363</v>
      </c>
      <c r="I13" s="16">
        <f t="shared" si="8"/>
        <v>1411959077.7014384</v>
      </c>
      <c r="J13" s="16">
        <f t="shared" si="8"/>
        <v>1498773234.4326174</v>
      </c>
      <c r="K13" s="16">
        <f t="shared" si="8"/>
        <v>1592817351.7506876</v>
      </c>
      <c r="L13" s="16">
        <f t="shared" si="8"/>
        <v>1694773424.4250197</v>
      </c>
      <c r="M13" s="16">
        <f t="shared" si="8"/>
        <v>1805395346.1332114</v>
      </c>
      <c r="O13" s="596"/>
      <c r="Q13" s="600" t="s">
        <v>125</v>
      </c>
      <c r="R13" s="601">
        <v>3716510.8</v>
      </c>
      <c r="S13" s="601">
        <v>3763437.9</v>
      </c>
      <c r="T13" s="601">
        <v>2358426.4</v>
      </c>
      <c r="U13" s="601">
        <v>1298452</v>
      </c>
      <c r="V13" s="17">
        <f t="shared" si="0"/>
        <v>11136827.1</v>
      </c>
      <c r="W13" s="21">
        <f t="shared" si="7"/>
        <v>0.10149720498769217</v>
      </c>
    </row>
    <row r="14" spans="2:23" ht="15">
      <c r="O14" s="596"/>
      <c r="Q14" s="600" t="s">
        <v>126</v>
      </c>
      <c r="R14" s="601">
        <v>1015168.8</v>
      </c>
      <c r="S14" s="601">
        <v>1239651.8999999999</v>
      </c>
      <c r="T14" s="601">
        <v>1058326.6000000001</v>
      </c>
      <c r="U14" s="601">
        <v>545256.30000000005</v>
      </c>
      <c r="V14" s="17">
        <f t="shared" si="0"/>
        <v>3858403.6000000006</v>
      </c>
      <c r="W14" s="21">
        <f t="shared" si="7"/>
        <v>3.5164160994692065E-2</v>
      </c>
    </row>
    <row r="15" spans="2:23" ht="15">
      <c r="B15" s="895" t="s">
        <v>3032</v>
      </c>
      <c r="C15" s="896"/>
      <c r="D15" s="896"/>
      <c r="E15" s="896"/>
      <c r="F15" s="896"/>
      <c r="G15" s="896"/>
      <c r="H15" s="896"/>
      <c r="I15" s="896"/>
      <c r="J15" s="896"/>
      <c r="K15" s="896"/>
      <c r="L15" s="896"/>
      <c r="M15" s="896"/>
      <c r="O15" s="596"/>
      <c r="Q15" s="600" t="s">
        <v>127</v>
      </c>
      <c r="R15" s="601">
        <v>417750</v>
      </c>
      <c r="S15" s="601">
        <v>670001.80000000005</v>
      </c>
      <c r="T15" s="601">
        <v>700448.2</v>
      </c>
      <c r="U15" s="601">
        <v>336340.5</v>
      </c>
      <c r="V15" s="17">
        <f t="shared" si="0"/>
        <v>2124540.5</v>
      </c>
      <c r="W15" s="21">
        <f t="shared" si="7"/>
        <v>1.9362330105057841E-2</v>
      </c>
    </row>
    <row r="16" spans="2:23" ht="15">
      <c r="O16" s="596"/>
      <c r="Q16" s="600" t="s">
        <v>128</v>
      </c>
      <c r="R16" s="601">
        <v>1415682.5</v>
      </c>
      <c r="S16" s="601">
        <v>1274265.5</v>
      </c>
      <c r="T16" s="601">
        <v>1113512.3999999999</v>
      </c>
      <c r="U16" s="601">
        <v>355984.5</v>
      </c>
      <c r="V16" s="17">
        <f t="shared" si="0"/>
        <v>4159444.9</v>
      </c>
      <c r="W16" s="21">
        <f t="shared" si="7"/>
        <v>3.790774767889777E-2</v>
      </c>
    </row>
    <row r="17" spans="2:23" ht="15">
      <c r="B17" s="56" t="s">
        <v>118</v>
      </c>
      <c r="C17" s="56" t="s">
        <v>111</v>
      </c>
      <c r="D17" s="56" t="s">
        <v>226</v>
      </c>
      <c r="E17" s="56" t="s">
        <v>227</v>
      </c>
      <c r="F17" s="56" t="s">
        <v>228</v>
      </c>
      <c r="G17" s="596" t="s">
        <v>229</v>
      </c>
      <c r="H17" s="596" t="s">
        <v>230</v>
      </c>
      <c r="I17" s="596" t="s">
        <v>231</v>
      </c>
      <c r="J17" s="596" t="s">
        <v>232</v>
      </c>
      <c r="K17" s="596" t="s">
        <v>233</v>
      </c>
      <c r="L17" s="596" t="s">
        <v>3010</v>
      </c>
      <c r="M17" s="596" t="s">
        <v>3011</v>
      </c>
      <c r="O17" s="596"/>
      <c r="Q17" s="600" t="s">
        <v>129</v>
      </c>
      <c r="R17" s="601">
        <v>413817.1</v>
      </c>
      <c r="S17" s="601">
        <v>576616.5</v>
      </c>
      <c r="T17" s="601">
        <v>404590.1</v>
      </c>
      <c r="U17" s="601">
        <v>141679.29999999999</v>
      </c>
      <c r="V17" s="17">
        <f t="shared" si="0"/>
        <v>1536703</v>
      </c>
      <c r="W17" s="21">
        <f t="shared" si="7"/>
        <v>1.4004981669887066E-2</v>
      </c>
    </row>
    <row r="18" spans="2:23" ht="15">
      <c r="B18" s="600" t="s">
        <v>120</v>
      </c>
      <c r="C18" s="602">
        <v>0.23615465357965776</v>
      </c>
      <c r="D18" s="601">
        <f t="shared" ref="D18:M18" si="9">+(D$31*(1+$D$7)*$C18)</f>
        <v>3542319.8036948666</v>
      </c>
      <c r="E18" s="601">
        <f t="shared" si="9"/>
        <v>3719435.7938796096</v>
      </c>
      <c r="F18" s="601">
        <f t="shared" si="9"/>
        <v>3905407.58357359</v>
      </c>
      <c r="G18" s="601">
        <f t="shared" si="9"/>
        <v>4100677.9627522696</v>
      </c>
      <c r="H18" s="601">
        <f t="shared" si="9"/>
        <v>4305711.8608898828</v>
      </c>
      <c r="I18" s="601">
        <f t="shared" si="9"/>
        <v>4348768.9794987822</v>
      </c>
      <c r="J18" s="601">
        <f t="shared" si="9"/>
        <v>4392256.6692937696</v>
      </c>
      <c r="K18" s="601">
        <f t="shared" si="9"/>
        <v>4436179.2359867068</v>
      </c>
      <c r="L18" s="601">
        <f t="shared" si="9"/>
        <v>4480541.0283465739</v>
      </c>
      <c r="M18" s="601">
        <f t="shared" si="9"/>
        <v>4525346.4386300398</v>
      </c>
      <c r="O18" s="596"/>
      <c r="Q18" s="603" t="s">
        <v>130</v>
      </c>
      <c r="R18" s="604">
        <v>45624.6</v>
      </c>
      <c r="S18" s="604">
        <v>55169.3</v>
      </c>
      <c r="T18" s="604">
        <v>65214.2</v>
      </c>
      <c r="U18" s="604">
        <v>58350.6</v>
      </c>
      <c r="V18" s="17">
        <f t="shared" si="0"/>
        <v>224358.69999999998</v>
      </c>
      <c r="W18" s="21">
        <f t="shared" si="7"/>
        <v>2.0447278888501494E-3</v>
      </c>
    </row>
    <row r="19" spans="2:23" ht="15">
      <c r="B19" s="600" t="s">
        <v>121</v>
      </c>
      <c r="C19" s="602">
        <v>0.10879722222827772</v>
      </c>
      <c r="D19" s="601">
        <f t="shared" ref="D19:M30" si="10">+(D$31*(1+$D$7)*$C19)</f>
        <v>1631958.3334241656</v>
      </c>
      <c r="E19" s="601">
        <f t="shared" si="10"/>
        <v>1713556.250095374</v>
      </c>
      <c r="F19" s="601">
        <f t="shared" si="10"/>
        <v>1799234.0626001428</v>
      </c>
      <c r="G19" s="601">
        <f t="shared" si="10"/>
        <v>1889195.7657301498</v>
      </c>
      <c r="H19" s="601">
        <f t="shared" si="10"/>
        <v>1983655.5540166574</v>
      </c>
      <c r="I19" s="601">
        <f t="shared" si="10"/>
        <v>2003492.109556824</v>
      </c>
      <c r="J19" s="601">
        <f t="shared" si="10"/>
        <v>2023527.030652392</v>
      </c>
      <c r="K19" s="601">
        <f t="shared" si="10"/>
        <v>2043762.3009589158</v>
      </c>
      <c r="L19" s="601">
        <f t="shared" si="10"/>
        <v>2064199.9239685049</v>
      </c>
      <c r="M19" s="601">
        <f t="shared" si="10"/>
        <v>2084841.9232081899</v>
      </c>
      <c r="O19" s="596"/>
      <c r="Q19" s="600" t="s">
        <v>131</v>
      </c>
      <c r="R19" s="601">
        <v>281261.7</v>
      </c>
      <c r="S19" s="601">
        <v>378256.2</v>
      </c>
      <c r="T19" s="601">
        <v>363961.59999999998</v>
      </c>
      <c r="U19" s="601">
        <v>177573.3</v>
      </c>
      <c r="V19" s="17">
        <f t="shared" si="0"/>
        <v>1201052.8</v>
      </c>
      <c r="W19" s="21">
        <f t="shared" si="7"/>
        <v>1.0945981395602492E-2</v>
      </c>
    </row>
    <row r="20" spans="2:23" ht="15">
      <c r="B20" s="600" t="s">
        <v>122</v>
      </c>
      <c r="C20" s="602">
        <v>3.6558940080062864E-2</v>
      </c>
      <c r="D20" s="601">
        <f t="shared" si="10"/>
        <v>548384.101200943</v>
      </c>
      <c r="E20" s="601">
        <f t="shared" si="10"/>
        <v>575803.3062609901</v>
      </c>
      <c r="F20" s="601">
        <f t="shared" si="10"/>
        <v>604593.47157403966</v>
      </c>
      <c r="G20" s="601">
        <f t="shared" si="10"/>
        <v>634823.14515274158</v>
      </c>
      <c r="H20" s="601">
        <f t="shared" si="10"/>
        <v>666564.3024103787</v>
      </c>
      <c r="I20" s="601">
        <f t="shared" si="10"/>
        <v>673229.94543448242</v>
      </c>
      <c r="J20" s="601">
        <f t="shared" si="10"/>
        <v>679962.2448888272</v>
      </c>
      <c r="K20" s="601">
        <f t="shared" si="10"/>
        <v>686761.86733771546</v>
      </c>
      <c r="L20" s="601">
        <f t="shared" si="10"/>
        <v>693629.48601109255</v>
      </c>
      <c r="M20" s="601">
        <f t="shared" si="10"/>
        <v>700565.78087120352</v>
      </c>
      <c r="O20" s="596"/>
      <c r="Q20" s="600" t="s">
        <v>132</v>
      </c>
      <c r="R20" s="601">
        <v>407110.5</v>
      </c>
      <c r="S20" s="601">
        <v>832340.6</v>
      </c>
      <c r="T20" s="601">
        <v>939269.8</v>
      </c>
      <c r="U20" s="601">
        <v>669164.1</v>
      </c>
      <c r="V20" s="17">
        <f t="shared" si="0"/>
        <v>2847885.0000000005</v>
      </c>
      <c r="W20" s="21">
        <f t="shared" si="7"/>
        <v>2.5954642649195281E-2</v>
      </c>
    </row>
    <row r="21" spans="2:23" ht="15">
      <c r="B21" s="600" t="s">
        <v>123</v>
      </c>
      <c r="C21" s="602">
        <v>9.3681656873393096E-2</v>
      </c>
      <c r="D21" s="601">
        <f t="shared" si="10"/>
        <v>1405224.8531008963</v>
      </c>
      <c r="E21" s="601">
        <f t="shared" si="10"/>
        <v>1475486.0957559412</v>
      </c>
      <c r="F21" s="601">
        <f t="shared" si="10"/>
        <v>1549260.4005437384</v>
      </c>
      <c r="G21" s="601">
        <f t="shared" si="10"/>
        <v>1626723.4205709253</v>
      </c>
      <c r="H21" s="601">
        <f t="shared" si="10"/>
        <v>1708059.5915994714</v>
      </c>
      <c r="I21" s="601">
        <f t="shared" si="10"/>
        <v>1725140.1875154662</v>
      </c>
      <c r="J21" s="601">
        <f t="shared" si="10"/>
        <v>1742391.5893906208</v>
      </c>
      <c r="K21" s="601">
        <f t="shared" si="10"/>
        <v>1759815.5052845269</v>
      </c>
      <c r="L21" s="601">
        <f t="shared" si="10"/>
        <v>1777413.660337372</v>
      </c>
      <c r="M21" s="601">
        <f t="shared" si="10"/>
        <v>1795187.7969407458</v>
      </c>
      <c r="O21" s="596"/>
      <c r="Q21" s="600" t="s">
        <v>133</v>
      </c>
      <c r="R21" s="601">
        <v>2996393</v>
      </c>
      <c r="S21" s="601">
        <v>3292923.4</v>
      </c>
      <c r="T21" s="601">
        <v>2747043</v>
      </c>
      <c r="U21" s="601">
        <v>754153.9</v>
      </c>
      <c r="V21" s="17">
        <f t="shared" si="0"/>
        <v>9790513.3000000007</v>
      </c>
      <c r="W21" s="21">
        <f t="shared" si="7"/>
        <v>8.9227364887870683E-2</v>
      </c>
    </row>
    <row r="22" spans="2:23" ht="15">
      <c r="B22" s="600" t="s">
        <v>124</v>
      </c>
      <c r="C22" s="602">
        <v>2.6940152619970546E-2</v>
      </c>
      <c r="D22" s="601">
        <f t="shared" si="10"/>
        <v>404102.28929955821</v>
      </c>
      <c r="E22" s="601">
        <f t="shared" si="10"/>
        <v>424307.40376453608</v>
      </c>
      <c r="F22" s="601">
        <f t="shared" si="10"/>
        <v>445522.77395276289</v>
      </c>
      <c r="G22" s="601">
        <f t="shared" si="10"/>
        <v>467798.91265040106</v>
      </c>
      <c r="H22" s="601">
        <f t="shared" si="10"/>
        <v>491188.85828292108</v>
      </c>
      <c r="I22" s="601">
        <f t="shared" si="10"/>
        <v>496100.74686575029</v>
      </c>
      <c r="J22" s="601">
        <f t="shared" si="10"/>
        <v>501061.75433440774</v>
      </c>
      <c r="K22" s="601">
        <f t="shared" si="10"/>
        <v>506072.37187775184</v>
      </c>
      <c r="L22" s="601">
        <f t="shared" si="10"/>
        <v>511133.09559652931</v>
      </c>
      <c r="M22" s="601">
        <f t="shared" si="10"/>
        <v>516244.42655249464</v>
      </c>
      <c r="O22" s="596"/>
      <c r="Q22" s="600" t="s">
        <v>134</v>
      </c>
      <c r="R22" s="601">
        <v>2082780.2</v>
      </c>
      <c r="S22" s="601">
        <v>2470073.9</v>
      </c>
      <c r="T22" s="601">
        <v>2126061.4</v>
      </c>
      <c r="U22" s="601">
        <v>704631.4</v>
      </c>
      <c r="V22" s="17">
        <f t="shared" si="0"/>
        <v>7383546.9000000004</v>
      </c>
      <c r="W22" s="21">
        <f t="shared" si="7"/>
        <v>6.7291102440257794E-2</v>
      </c>
    </row>
    <row r="23" spans="2:23" ht="15">
      <c r="B23" s="600" t="s">
        <v>125</v>
      </c>
      <c r="C23" s="602">
        <v>0.15126468071678895</v>
      </c>
      <c r="D23" s="601">
        <f t="shared" si="10"/>
        <v>2268970.2107518343</v>
      </c>
      <c r="E23" s="601">
        <f t="shared" si="10"/>
        <v>2382418.7212894261</v>
      </c>
      <c r="F23" s="601">
        <f t="shared" si="10"/>
        <v>2501539.6573538971</v>
      </c>
      <c r="G23" s="601">
        <f t="shared" si="10"/>
        <v>2626616.640221592</v>
      </c>
      <c r="H23" s="601">
        <f t="shared" si="10"/>
        <v>2757947.4722326715</v>
      </c>
      <c r="I23" s="601">
        <f t="shared" si="10"/>
        <v>2785526.9469549982</v>
      </c>
      <c r="J23" s="601">
        <f t="shared" si="10"/>
        <v>2813382.2164245481</v>
      </c>
      <c r="K23" s="601">
        <f t="shared" si="10"/>
        <v>2841516.0385887935</v>
      </c>
      <c r="L23" s="601">
        <f t="shared" si="10"/>
        <v>2869931.1989746811</v>
      </c>
      <c r="M23" s="601">
        <f t="shared" si="10"/>
        <v>2898630.5109644281</v>
      </c>
      <c r="O23" s="596"/>
      <c r="Q23" s="600" t="s">
        <v>135</v>
      </c>
      <c r="R23" s="601">
        <v>635210.30000000005</v>
      </c>
      <c r="S23" s="601">
        <v>1039243.1</v>
      </c>
      <c r="T23" s="601">
        <v>0</v>
      </c>
      <c r="U23" s="601"/>
      <c r="V23" s="17">
        <f t="shared" si="0"/>
        <v>1674453.4</v>
      </c>
      <c r="W23" s="21">
        <f t="shared" si="7"/>
        <v>1.5260391353488653E-2</v>
      </c>
    </row>
    <row r="24" spans="2:23" ht="15">
      <c r="B24" s="600" t="s">
        <v>126</v>
      </c>
      <c r="C24" s="602">
        <v>5.2406325732623535E-2</v>
      </c>
      <c r="D24" s="601">
        <f t="shared" si="10"/>
        <v>786094.88598935306</v>
      </c>
      <c r="E24" s="601">
        <f t="shared" si="10"/>
        <v>825399.63028882071</v>
      </c>
      <c r="F24" s="601">
        <f t="shared" si="10"/>
        <v>866669.61180326168</v>
      </c>
      <c r="G24" s="601">
        <f t="shared" si="10"/>
        <v>910003.09239342483</v>
      </c>
      <c r="H24" s="601">
        <f t="shared" si="10"/>
        <v>955503.247013096</v>
      </c>
      <c r="I24" s="601">
        <f t="shared" si="10"/>
        <v>965058.27948322694</v>
      </c>
      <c r="J24" s="601">
        <f t="shared" si="10"/>
        <v>974708.86227805924</v>
      </c>
      <c r="K24" s="601">
        <f t="shared" si="10"/>
        <v>984455.95090083976</v>
      </c>
      <c r="L24" s="601">
        <f t="shared" si="10"/>
        <v>994300.51040984807</v>
      </c>
      <c r="M24" s="601">
        <f t="shared" si="10"/>
        <v>1004243.5155139465</v>
      </c>
      <c r="N24" s="15"/>
      <c r="O24" s="596"/>
      <c r="Q24" s="600" t="s">
        <v>136</v>
      </c>
      <c r="R24" s="601">
        <v>331511.5</v>
      </c>
      <c r="S24" s="601">
        <v>566697.5</v>
      </c>
      <c r="T24" s="601">
        <v>0</v>
      </c>
      <c r="U24" s="601"/>
      <c r="V24" s="17">
        <f t="shared" si="0"/>
        <v>898209</v>
      </c>
      <c r="W24" s="21">
        <f t="shared" si="7"/>
        <v>8.1859673474494361E-3</v>
      </c>
    </row>
    <row r="25" spans="2:23" ht="15">
      <c r="B25" s="600" t="s">
        <v>127</v>
      </c>
      <c r="C25" s="602">
        <v>2.8856328424312804E-2</v>
      </c>
      <c r="D25" s="601">
        <f t="shared" si="10"/>
        <v>432844.92636469204</v>
      </c>
      <c r="E25" s="601">
        <f t="shared" si="10"/>
        <v>454487.17268292664</v>
      </c>
      <c r="F25" s="601">
        <f t="shared" si="10"/>
        <v>477211.53131707298</v>
      </c>
      <c r="G25" s="601">
        <f t="shared" si="10"/>
        <v>501072.10788292665</v>
      </c>
      <c r="H25" s="601">
        <f t="shared" si="10"/>
        <v>526125.71327707299</v>
      </c>
      <c r="I25" s="601">
        <f t="shared" si="10"/>
        <v>531386.97040984372</v>
      </c>
      <c r="J25" s="601">
        <f t="shared" si="10"/>
        <v>536700.84011394216</v>
      </c>
      <c r="K25" s="601">
        <f t="shared" si="10"/>
        <v>542067.84851508157</v>
      </c>
      <c r="L25" s="601">
        <f t="shared" si="10"/>
        <v>547488.52700023225</v>
      </c>
      <c r="M25" s="601">
        <f t="shared" si="10"/>
        <v>552963.41227023466</v>
      </c>
      <c r="O25" s="596"/>
      <c r="Q25" s="600" t="s">
        <v>137</v>
      </c>
      <c r="R25" s="601">
        <v>15559573.5</v>
      </c>
      <c r="S25" s="601">
        <v>7848534</v>
      </c>
      <c r="T25" s="601">
        <v>1981875.5</v>
      </c>
      <c r="U25" s="601">
        <v>530136.5</v>
      </c>
      <c r="V25" s="17">
        <f t="shared" si="0"/>
        <v>25920119.5</v>
      </c>
      <c r="W25" s="21">
        <f t="shared" si="7"/>
        <v>0.2362270383273686</v>
      </c>
    </row>
    <row r="26" spans="2:23" ht="15">
      <c r="B26" s="600" t="s">
        <v>128</v>
      </c>
      <c r="C26" s="602">
        <v>5.6495184769239717E-2</v>
      </c>
      <c r="D26" s="601">
        <f t="shared" si="10"/>
        <v>847427.77153859579</v>
      </c>
      <c r="E26" s="601">
        <f t="shared" si="10"/>
        <v>889799.16011552559</v>
      </c>
      <c r="F26" s="601">
        <f t="shared" si="10"/>
        <v>934289.11812130187</v>
      </c>
      <c r="G26" s="601">
        <f t="shared" si="10"/>
        <v>981003.57402736694</v>
      </c>
      <c r="H26" s="601">
        <f t="shared" si="10"/>
        <v>1030053.7527287352</v>
      </c>
      <c r="I26" s="601">
        <f t="shared" si="10"/>
        <v>1040354.2902560226</v>
      </c>
      <c r="J26" s="601">
        <f t="shared" si="10"/>
        <v>1050757.8331585827</v>
      </c>
      <c r="K26" s="601">
        <f t="shared" si="10"/>
        <v>1061265.4114901687</v>
      </c>
      <c r="L26" s="601">
        <f t="shared" si="10"/>
        <v>1071878.0656050702</v>
      </c>
      <c r="M26" s="601">
        <f t="shared" si="10"/>
        <v>1082596.8462611209</v>
      </c>
      <c r="O26" s="596"/>
      <c r="Q26" s="111" t="s">
        <v>1</v>
      </c>
      <c r="R26" s="605">
        <v>39761811.700000003</v>
      </c>
      <c r="S26" s="605">
        <v>35822801.100000001</v>
      </c>
      <c r="T26" s="605">
        <v>24228227.399999999</v>
      </c>
      <c r="U26" s="605">
        <v>9912615.7999999989</v>
      </c>
      <c r="V26" s="113">
        <f t="shared" si="0"/>
        <v>109725456.00000001</v>
      </c>
      <c r="W26" s="606">
        <f t="shared" si="7"/>
        <v>1</v>
      </c>
    </row>
    <row r="27" spans="2:23" ht="15">
      <c r="B27" s="600" t="s">
        <v>129</v>
      </c>
      <c r="C27" s="602">
        <v>2.0872092793065965E-2</v>
      </c>
      <c r="D27" s="601">
        <f t="shared" si="10"/>
        <v>313081.39189598948</v>
      </c>
      <c r="E27" s="601">
        <f t="shared" si="10"/>
        <v>328735.46149078896</v>
      </c>
      <c r="F27" s="601">
        <f t="shared" si="10"/>
        <v>345172.2345653284</v>
      </c>
      <c r="G27" s="601">
        <f t="shared" si="10"/>
        <v>362430.8462935948</v>
      </c>
      <c r="H27" s="601">
        <f t="shared" si="10"/>
        <v>380552.38860827457</v>
      </c>
      <c r="I27" s="601">
        <f t="shared" si="10"/>
        <v>384357.91249435733</v>
      </c>
      <c r="J27" s="601">
        <f t="shared" si="10"/>
        <v>388201.49161930085</v>
      </c>
      <c r="K27" s="601">
        <f t="shared" si="10"/>
        <v>392083.50653549383</v>
      </c>
      <c r="L27" s="601">
        <f t="shared" si="10"/>
        <v>396004.34160084877</v>
      </c>
      <c r="M27" s="601">
        <f t="shared" si="10"/>
        <v>399964.38501685724</v>
      </c>
      <c r="O27" s="596"/>
      <c r="Q27" s="110"/>
      <c r="R27" s="607"/>
      <c r="S27" s="607"/>
      <c r="T27" s="607"/>
      <c r="U27" s="607"/>
      <c r="V27" s="608"/>
      <c r="W27" s="609"/>
    </row>
    <row r="28" spans="2:23" ht="15">
      <c r="B28" s="600" t="s">
        <v>131</v>
      </c>
      <c r="C28" s="602">
        <v>1.6313162329332147E-2</v>
      </c>
      <c r="D28" s="601">
        <f t="shared" si="10"/>
        <v>244697.43493998222</v>
      </c>
      <c r="E28" s="601">
        <f t="shared" si="10"/>
        <v>256932.30668698132</v>
      </c>
      <c r="F28" s="601">
        <f t="shared" si="10"/>
        <v>269778.92202133039</v>
      </c>
      <c r="G28" s="601">
        <f t="shared" si="10"/>
        <v>283267.86812239693</v>
      </c>
      <c r="H28" s="601">
        <f t="shared" si="10"/>
        <v>297431.26152851677</v>
      </c>
      <c r="I28" s="601">
        <f t="shared" si="10"/>
        <v>300405.57414380193</v>
      </c>
      <c r="J28" s="601">
        <f t="shared" si="10"/>
        <v>303409.62988523993</v>
      </c>
      <c r="K28" s="601">
        <f t="shared" si="10"/>
        <v>306443.72618409229</v>
      </c>
      <c r="L28" s="601">
        <f t="shared" si="10"/>
        <v>309508.1634459332</v>
      </c>
      <c r="M28" s="601">
        <f t="shared" si="10"/>
        <v>312603.24508039257</v>
      </c>
      <c r="O28" s="596"/>
      <c r="Q28" s="110"/>
      <c r="R28" s="607"/>
      <c r="S28" s="607"/>
      <c r="T28" s="607"/>
      <c r="U28" s="607"/>
      <c r="V28" s="608"/>
      <c r="W28" s="609"/>
    </row>
    <row r="29" spans="2:23" ht="15">
      <c r="B29" s="600" t="s">
        <v>132</v>
      </c>
      <c r="C29" s="602">
        <v>3.8681072389382121E-2</v>
      </c>
      <c r="D29" s="601">
        <f t="shared" si="10"/>
        <v>580216.08584073186</v>
      </c>
      <c r="E29" s="601">
        <f t="shared" si="10"/>
        <v>609226.89013276843</v>
      </c>
      <c r="F29" s="601">
        <f t="shared" si="10"/>
        <v>639688.23463940679</v>
      </c>
      <c r="G29" s="601">
        <f t="shared" si="10"/>
        <v>671672.64637137717</v>
      </c>
      <c r="H29" s="601">
        <f t="shared" si="10"/>
        <v>705256.27868994605</v>
      </c>
      <c r="I29" s="601">
        <f t="shared" si="10"/>
        <v>712308.84147684544</v>
      </c>
      <c r="J29" s="601">
        <f t="shared" si="10"/>
        <v>719431.92989161389</v>
      </c>
      <c r="K29" s="601">
        <f t="shared" si="10"/>
        <v>726626.24919053004</v>
      </c>
      <c r="L29" s="601">
        <f t="shared" si="10"/>
        <v>733892.51168243529</v>
      </c>
      <c r="M29" s="601">
        <f t="shared" si="10"/>
        <v>741231.43679925962</v>
      </c>
      <c r="O29" s="596"/>
      <c r="Q29" s="895" t="s">
        <v>2864</v>
      </c>
      <c r="R29" s="896"/>
      <c r="S29" s="896"/>
      <c r="T29" s="896"/>
      <c r="U29" s="896"/>
      <c r="V29" s="896"/>
      <c r="W29" s="896"/>
    </row>
    <row r="30" spans="2:23" ht="15">
      <c r="B30" s="600" t="s">
        <v>133</v>
      </c>
      <c r="C30" s="602">
        <v>0.13297852746389283</v>
      </c>
      <c r="D30" s="601">
        <f t="shared" si="10"/>
        <v>1994677.9119583925</v>
      </c>
      <c r="E30" s="601">
        <f t="shared" si="10"/>
        <v>2094411.8075563121</v>
      </c>
      <c r="F30" s="601">
        <f t="shared" si="10"/>
        <v>2199132.3979341276</v>
      </c>
      <c r="G30" s="601">
        <f t="shared" si="10"/>
        <v>2309089.0178308338</v>
      </c>
      <c r="H30" s="601">
        <f t="shared" si="10"/>
        <v>2424543.4687223756</v>
      </c>
      <c r="I30" s="601">
        <f t="shared" si="10"/>
        <v>2448788.9034095993</v>
      </c>
      <c r="J30" s="601">
        <f t="shared" si="10"/>
        <v>2473276.792443695</v>
      </c>
      <c r="K30" s="601">
        <f t="shared" si="10"/>
        <v>2498009.5603681323</v>
      </c>
      <c r="L30" s="601">
        <f t="shared" si="10"/>
        <v>2522989.6559718135</v>
      </c>
      <c r="M30" s="601">
        <f t="shared" si="10"/>
        <v>2548219.5525315315</v>
      </c>
      <c r="O30" s="596"/>
    </row>
    <row r="31" spans="2:23" ht="15">
      <c r="B31" s="111" t="s">
        <v>1</v>
      </c>
      <c r="C31" s="610">
        <f>SUM(C18:C30)</f>
        <v>1</v>
      </c>
      <c r="D31" s="611">
        <f>+D5</f>
        <v>15000000</v>
      </c>
      <c r="E31" s="611">
        <f>+D31*(1.05)</f>
        <v>15750000</v>
      </c>
      <c r="F31" s="611">
        <f t="shared" ref="F31:H31" si="11">+E31*(1.05)</f>
        <v>16537500</v>
      </c>
      <c r="G31" s="611">
        <f t="shared" si="11"/>
        <v>17364375</v>
      </c>
      <c r="H31" s="611">
        <f t="shared" si="11"/>
        <v>18232593.75</v>
      </c>
      <c r="I31" s="611">
        <f>+H31*1.01</f>
        <v>18414919.6875</v>
      </c>
      <c r="J31" s="611">
        <f t="shared" ref="J31:M31" si="12">+I31*1.01</f>
        <v>18599068.884374999</v>
      </c>
      <c r="K31" s="611">
        <f t="shared" si="12"/>
        <v>18785059.573218748</v>
      </c>
      <c r="L31" s="611">
        <f t="shared" si="12"/>
        <v>18972910.168950934</v>
      </c>
      <c r="M31" s="611">
        <f t="shared" si="12"/>
        <v>19162639.270640444</v>
      </c>
      <c r="O31" s="596"/>
      <c r="Q31" s="56" t="s">
        <v>118</v>
      </c>
      <c r="R31" s="57">
        <v>2018</v>
      </c>
      <c r="S31" s="57">
        <v>2019</v>
      </c>
      <c r="T31" s="57">
        <v>2020</v>
      </c>
      <c r="U31" s="57">
        <v>2021</v>
      </c>
      <c r="V31" s="57" t="s">
        <v>1</v>
      </c>
      <c r="W31" s="57" t="s">
        <v>2860</v>
      </c>
    </row>
    <row r="32" spans="2:23" ht="15">
      <c r="B32" s="110"/>
      <c r="C32" s="789"/>
      <c r="D32" s="790"/>
      <c r="E32" s="790"/>
      <c r="F32" s="790"/>
      <c r="G32" s="790"/>
      <c r="H32" s="790"/>
      <c r="I32" s="790"/>
      <c r="J32" s="790"/>
      <c r="K32" s="790"/>
      <c r="L32" s="790"/>
      <c r="M32" s="790"/>
      <c r="O32" s="596"/>
      <c r="Q32" s="600" t="s">
        <v>120</v>
      </c>
      <c r="R32" s="601">
        <v>4788670.2</v>
      </c>
      <c r="S32" s="601">
        <v>5828306.2999999998</v>
      </c>
      <c r="T32" s="601">
        <v>5143562.5</v>
      </c>
      <c r="U32" s="601">
        <v>1626292.7</v>
      </c>
      <c r="V32" s="601">
        <f>SUM(R32:U32)</f>
        <v>17386831.699999999</v>
      </c>
      <c r="W32" s="612">
        <f>+V32/$V$45</f>
        <v>0.23615465357965776</v>
      </c>
    </row>
    <row r="33" spans="2:23" ht="15">
      <c r="B33" s="895" t="s">
        <v>2863</v>
      </c>
      <c r="C33" s="896"/>
      <c r="D33" s="896"/>
      <c r="E33" s="896"/>
      <c r="F33" s="896"/>
      <c r="G33" s="896"/>
      <c r="H33" s="896"/>
      <c r="I33" s="896"/>
      <c r="J33" s="896"/>
      <c r="K33" s="896"/>
      <c r="L33" s="896"/>
      <c r="M33" s="896"/>
      <c r="O33" s="596"/>
      <c r="Q33" s="600" t="s">
        <v>121</v>
      </c>
      <c r="R33" s="601">
        <v>2937113.5</v>
      </c>
      <c r="S33" s="601">
        <v>2629595.9</v>
      </c>
      <c r="T33" s="601">
        <v>1791695.4</v>
      </c>
      <c r="U33" s="601">
        <v>651765.5</v>
      </c>
      <c r="V33" s="601">
        <f t="shared" ref="V33:V43" si="13">SUM(R33:U33)</f>
        <v>8010170.3000000007</v>
      </c>
      <c r="W33" s="612">
        <f t="shared" ref="W33:W45" si="14">+V33/$V$45</f>
        <v>0.10879722222827772</v>
      </c>
    </row>
    <row r="34" spans="2:23" ht="15">
      <c r="B34" s="110"/>
      <c r="C34" s="789"/>
      <c r="D34" s="790"/>
      <c r="E34" s="790"/>
      <c r="F34" s="790"/>
      <c r="G34" s="790"/>
      <c r="H34" s="790"/>
      <c r="I34" s="790"/>
      <c r="J34" s="790"/>
      <c r="K34" s="790"/>
      <c r="L34" s="790"/>
      <c r="M34" s="790"/>
      <c r="O34" s="596"/>
      <c r="Q34" s="600" t="s">
        <v>122</v>
      </c>
      <c r="R34" s="601">
        <v>846736.6</v>
      </c>
      <c r="S34" s="601">
        <v>772543.9</v>
      </c>
      <c r="T34" s="601">
        <v>767696.1</v>
      </c>
      <c r="U34" s="601">
        <v>304666.90000000002</v>
      </c>
      <c r="V34" s="601">
        <f t="shared" si="13"/>
        <v>2691643.5</v>
      </c>
      <c r="W34" s="612">
        <f t="shared" si="14"/>
        <v>3.6558940080062864E-2</v>
      </c>
    </row>
    <row r="35" spans="2:23" ht="15">
      <c r="B35" s="56" t="s">
        <v>118</v>
      </c>
      <c r="C35" s="56" t="s">
        <v>111</v>
      </c>
      <c r="D35" s="56" t="s">
        <v>226</v>
      </c>
      <c r="E35" s="56" t="s">
        <v>227</v>
      </c>
      <c r="F35" s="56" t="s">
        <v>228</v>
      </c>
      <c r="G35" s="596" t="s">
        <v>229</v>
      </c>
      <c r="H35" s="596" t="s">
        <v>230</v>
      </c>
      <c r="I35" s="596" t="s">
        <v>231</v>
      </c>
      <c r="J35" s="596" t="s">
        <v>232</v>
      </c>
      <c r="K35" s="596" t="s">
        <v>233</v>
      </c>
      <c r="L35" s="596" t="s">
        <v>3010</v>
      </c>
      <c r="M35" s="596" t="s">
        <v>3011</v>
      </c>
      <c r="O35" s="596"/>
      <c r="Q35" s="600" t="s">
        <v>123</v>
      </c>
      <c r="R35" s="601">
        <v>1476521.6</v>
      </c>
      <c r="S35" s="601">
        <v>1949463</v>
      </c>
      <c r="T35" s="601">
        <v>2065515.3</v>
      </c>
      <c r="U35" s="601">
        <v>1405790.4</v>
      </c>
      <c r="V35" s="601">
        <f t="shared" si="13"/>
        <v>6897290.3000000007</v>
      </c>
      <c r="W35" s="612">
        <f t="shared" si="14"/>
        <v>9.3681656873393096E-2</v>
      </c>
    </row>
    <row r="36" spans="2:23" ht="15">
      <c r="B36" s="600" t="s">
        <v>120</v>
      </c>
      <c r="C36" s="602">
        <v>0.23615465357965776</v>
      </c>
      <c r="D36" s="601">
        <f>+(D$49*$C36)</f>
        <v>3524608.204676392</v>
      </c>
      <c r="E36" s="601">
        <f t="shared" ref="E36:M36" si="15">+(E$49*$C36)</f>
        <v>3718550.213928686</v>
      </c>
      <c r="F36" s="601">
        <f t="shared" si="15"/>
        <v>3904477.7246251204</v>
      </c>
      <c r="G36" s="601">
        <f t="shared" si="15"/>
        <v>4099701.6108563761</v>
      </c>
      <c r="H36" s="601">
        <f t="shared" si="15"/>
        <v>4304686.6913991952</v>
      </c>
      <c r="I36" s="601">
        <f t="shared" si="15"/>
        <v>4348553.6939057373</v>
      </c>
      <c r="J36" s="601">
        <f t="shared" si="15"/>
        <v>4392039.2308447948</v>
      </c>
      <c r="K36" s="601">
        <f t="shared" si="15"/>
        <v>4435959.6231532423</v>
      </c>
      <c r="L36" s="601">
        <f t="shared" si="15"/>
        <v>4480319.2193847746</v>
      </c>
      <c r="M36" s="601">
        <f t="shared" si="15"/>
        <v>4525122.4115786226</v>
      </c>
      <c r="O36" s="596"/>
      <c r="Q36" s="600" t="s">
        <v>124</v>
      </c>
      <c r="R36" s="601">
        <v>394375.3</v>
      </c>
      <c r="S36" s="601">
        <v>635680.4</v>
      </c>
      <c r="T36" s="601">
        <v>601028.9</v>
      </c>
      <c r="U36" s="601">
        <v>352377.9</v>
      </c>
      <c r="V36" s="601">
        <f t="shared" si="13"/>
        <v>1983462.5</v>
      </c>
      <c r="W36" s="612">
        <f t="shared" si="14"/>
        <v>2.6940152619970546E-2</v>
      </c>
    </row>
    <row r="37" spans="2:23" ht="15">
      <c r="B37" s="600" t="s">
        <v>121</v>
      </c>
      <c r="C37" s="602">
        <v>0.10879722222827772</v>
      </c>
      <c r="D37" s="601">
        <f t="shared" ref="D37:M48" si="16">+(D$49*$C37)</f>
        <v>1623798.5417570448</v>
      </c>
      <c r="E37" s="601">
        <f t="shared" si="16"/>
        <v>1713148.2605120179</v>
      </c>
      <c r="F37" s="601">
        <f t="shared" si="16"/>
        <v>1798805.6735376189</v>
      </c>
      <c r="G37" s="601">
        <f t="shared" si="16"/>
        <v>1888745.9572144998</v>
      </c>
      <c r="H37" s="601">
        <f t="shared" si="16"/>
        <v>1983183.2550752249</v>
      </c>
      <c r="I37" s="601">
        <f t="shared" si="16"/>
        <v>2003392.9267791233</v>
      </c>
      <c r="J37" s="601">
        <f t="shared" si="16"/>
        <v>2023426.8560469141</v>
      </c>
      <c r="K37" s="601">
        <f t="shared" si="16"/>
        <v>2043661.124607383</v>
      </c>
      <c r="L37" s="601">
        <f t="shared" si="16"/>
        <v>2064097.7358534569</v>
      </c>
      <c r="M37" s="601">
        <f t="shared" si="16"/>
        <v>2084738.7132119918</v>
      </c>
      <c r="O37" s="596"/>
      <c r="Q37" s="600" t="s">
        <v>125</v>
      </c>
      <c r="R37" s="601">
        <v>3716510.8</v>
      </c>
      <c r="S37" s="601">
        <v>3763437.9</v>
      </c>
      <c r="T37" s="601">
        <v>2358426.4</v>
      </c>
      <c r="U37" s="601">
        <v>1298452</v>
      </c>
      <c r="V37" s="601">
        <f t="shared" si="13"/>
        <v>11136827.1</v>
      </c>
      <c r="W37" s="612">
        <f t="shared" si="14"/>
        <v>0.15126468071678895</v>
      </c>
    </row>
    <row r="38" spans="2:23" ht="15">
      <c r="B38" s="600" t="s">
        <v>122</v>
      </c>
      <c r="C38" s="602">
        <v>3.6558940080062864E-2</v>
      </c>
      <c r="D38" s="601">
        <f t="shared" si="16"/>
        <v>545642.18069493829</v>
      </c>
      <c r="E38" s="601">
        <f t="shared" si="16"/>
        <v>575666.21023568988</v>
      </c>
      <c r="F38" s="601">
        <f t="shared" si="16"/>
        <v>604449.52074747439</v>
      </c>
      <c r="G38" s="601">
        <f t="shared" si="16"/>
        <v>634671.99678484804</v>
      </c>
      <c r="H38" s="601">
        <f t="shared" si="16"/>
        <v>666405.59662409045</v>
      </c>
      <c r="I38" s="601">
        <f t="shared" si="16"/>
        <v>673196.61721936194</v>
      </c>
      <c r="J38" s="601">
        <f t="shared" si="16"/>
        <v>679928.58339155547</v>
      </c>
      <c r="K38" s="601">
        <f t="shared" si="16"/>
        <v>686727.86922547105</v>
      </c>
      <c r="L38" s="601">
        <f t="shared" si="16"/>
        <v>693595.14791772573</v>
      </c>
      <c r="M38" s="601">
        <f t="shared" si="16"/>
        <v>700531.09939690307</v>
      </c>
      <c r="O38" s="596"/>
      <c r="Q38" s="600" t="s">
        <v>126</v>
      </c>
      <c r="R38" s="601">
        <v>1015168.8</v>
      </c>
      <c r="S38" s="601">
        <v>1239651.8999999999</v>
      </c>
      <c r="T38" s="601">
        <v>1058326.6000000001</v>
      </c>
      <c r="U38" s="601">
        <v>545256.30000000005</v>
      </c>
      <c r="V38" s="601">
        <f t="shared" si="13"/>
        <v>3858403.6000000006</v>
      </c>
      <c r="W38" s="612">
        <f t="shared" si="14"/>
        <v>5.2406325732623535E-2</v>
      </c>
    </row>
    <row r="39" spans="2:23" ht="15">
      <c r="B39" s="600" t="s">
        <v>123</v>
      </c>
      <c r="C39" s="602">
        <v>9.3681656873393096E-2</v>
      </c>
      <c r="D39" s="601">
        <f t="shared" si="16"/>
        <v>1398198.728835392</v>
      </c>
      <c r="E39" s="601">
        <f t="shared" si="16"/>
        <v>1475134.7895426659</v>
      </c>
      <c r="F39" s="601">
        <f t="shared" si="16"/>
        <v>1548891.5290197993</v>
      </c>
      <c r="G39" s="601">
        <f t="shared" si="16"/>
        <v>1626336.1054707894</v>
      </c>
      <c r="H39" s="601">
        <f t="shared" si="16"/>
        <v>1707652.9107443288</v>
      </c>
      <c r="I39" s="601">
        <f t="shared" si="16"/>
        <v>1725054.7845358863</v>
      </c>
      <c r="J39" s="601">
        <f t="shared" si="16"/>
        <v>1742305.332381245</v>
      </c>
      <c r="K39" s="601">
        <f t="shared" si="16"/>
        <v>1759728.3857050573</v>
      </c>
      <c r="L39" s="601">
        <f t="shared" si="16"/>
        <v>1777325.6695621079</v>
      </c>
      <c r="M39" s="601">
        <f t="shared" si="16"/>
        <v>1795098.9262577291</v>
      </c>
      <c r="O39" s="596"/>
      <c r="Q39" s="600" t="s">
        <v>127</v>
      </c>
      <c r="R39" s="601">
        <v>417750</v>
      </c>
      <c r="S39" s="601">
        <v>670001.80000000005</v>
      </c>
      <c r="T39" s="601">
        <v>700448.2</v>
      </c>
      <c r="U39" s="601">
        <v>336340.5</v>
      </c>
      <c r="V39" s="601">
        <f t="shared" si="13"/>
        <v>2124540.5</v>
      </c>
      <c r="W39" s="612">
        <f t="shared" si="14"/>
        <v>2.8856328424312804E-2</v>
      </c>
    </row>
    <row r="40" spans="2:23" ht="15">
      <c r="B40" s="600" t="s">
        <v>124</v>
      </c>
      <c r="C40" s="602">
        <v>2.6940152619970546E-2</v>
      </c>
      <c r="D40" s="601">
        <f t="shared" si="16"/>
        <v>402081.7778530604</v>
      </c>
      <c r="E40" s="601">
        <f t="shared" si="16"/>
        <v>424206.37819221121</v>
      </c>
      <c r="F40" s="601">
        <f t="shared" si="16"/>
        <v>445416.69710182177</v>
      </c>
      <c r="G40" s="601">
        <f t="shared" si="16"/>
        <v>467687.53195691283</v>
      </c>
      <c r="H40" s="601">
        <f t="shared" si="16"/>
        <v>491071.90855475847</v>
      </c>
      <c r="I40" s="601">
        <f t="shared" si="16"/>
        <v>496076.1874228362</v>
      </c>
      <c r="J40" s="601">
        <f t="shared" si="16"/>
        <v>501036.94929706445</v>
      </c>
      <c r="K40" s="601">
        <f t="shared" si="16"/>
        <v>506047.31879003509</v>
      </c>
      <c r="L40" s="601">
        <f t="shared" si="16"/>
        <v>511107.79197793547</v>
      </c>
      <c r="M40" s="601">
        <f t="shared" si="16"/>
        <v>516218.86989771482</v>
      </c>
      <c r="O40" s="596"/>
      <c r="Q40" s="600" t="s">
        <v>128</v>
      </c>
      <c r="R40" s="601">
        <v>1415682.5</v>
      </c>
      <c r="S40" s="601">
        <v>1274265.5</v>
      </c>
      <c r="T40" s="601">
        <v>1113512.3999999999</v>
      </c>
      <c r="U40" s="601">
        <v>355984.5</v>
      </c>
      <c r="V40" s="601">
        <f t="shared" si="13"/>
        <v>4159444.9</v>
      </c>
      <c r="W40" s="612">
        <f t="shared" si="14"/>
        <v>5.6495184769239717E-2</v>
      </c>
    </row>
    <row r="41" spans="2:23" ht="15">
      <c r="B41" s="600" t="s">
        <v>125</v>
      </c>
      <c r="C41" s="602">
        <v>0.15126468071678895</v>
      </c>
      <c r="D41" s="601">
        <f t="shared" si="16"/>
        <v>2257625.3596980749</v>
      </c>
      <c r="E41" s="601">
        <f t="shared" si="16"/>
        <v>2381851.4787367377</v>
      </c>
      <c r="F41" s="601">
        <f t="shared" si="16"/>
        <v>2500944.052673575</v>
      </c>
      <c r="G41" s="601">
        <f t="shared" si="16"/>
        <v>2625991.2553072535</v>
      </c>
      <c r="H41" s="601">
        <f t="shared" si="16"/>
        <v>2757290.8180726161</v>
      </c>
      <c r="I41" s="601">
        <f t="shared" si="16"/>
        <v>2785389.0495813871</v>
      </c>
      <c r="J41" s="601">
        <f t="shared" si="16"/>
        <v>2813242.9400772005</v>
      </c>
      <c r="K41" s="601">
        <f t="shared" si="16"/>
        <v>2841375.3694779719</v>
      </c>
      <c r="L41" s="601">
        <f t="shared" si="16"/>
        <v>2869789.1231727521</v>
      </c>
      <c r="M41" s="601">
        <f t="shared" si="16"/>
        <v>2898487.0144044799</v>
      </c>
      <c r="O41" s="596"/>
      <c r="Q41" s="600" t="s">
        <v>129</v>
      </c>
      <c r="R41" s="601">
        <v>413817.1</v>
      </c>
      <c r="S41" s="601">
        <v>576616.5</v>
      </c>
      <c r="T41" s="601">
        <v>404590.1</v>
      </c>
      <c r="U41" s="601">
        <v>141679.29999999999</v>
      </c>
      <c r="V41" s="601">
        <f>SUM(R41:U41)</f>
        <v>1536703</v>
      </c>
      <c r="W41" s="612">
        <f t="shared" si="14"/>
        <v>2.0872092793065965E-2</v>
      </c>
    </row>
    <row r="42" spans="2:23" ht="15">
      <c r="B42" s="600" t="s">
        <v>126</v>
      </c>
      <c r="C42" s="602">
        <v>5.2406325732623535E-2</v>
      </c>
      <c r="D42" s="601">
        <f t="shared" si="16"/>
        <v>782164.4115594062</v>
      </c>
      <c r="E42" s="601">
        <f t="shared" si="16"/>
        <v>825203.10656732332</v>
      </c>
      <c r="F42" s="601">
        <f t="shared" si="16"/>
        <v>866463.26189568953</v>
      </c>
      <c r="G42" s="601">
        <f t="shared" si="16"/>
        <v>909786.42499047401</v>
      </c>
      <c r="H42" s="601">
        <f t="shared" si="16"/>
        <v>955275.74623999768</v>
      </c>
      <c r="I42" s="601">
        <f t="shared" si="16"/>
        <v>965010.50432087632</v>
      </c>
      <c r="J42" s="601">
        <f t="shared" si="16"/>
        <v>974660.60936408502</v>
      </c>
      <c r="K42" s="601">
        <f t="shared" si="16"/>
        <v>984407.2154577258</v>
      </c>
      <c r="L42" s="601">
        <f t="shared" si="16"/>
        <v>994251.28761230304</v>
      </c>
      <c r="M42" s="601">
        <f t="shared" si="16"/>
        <v>1004193.8004884262</v>
      </c>
      <c r="O42" s="596"/>
      <c r="Q42" s="600" t="s">
        <v>131</v>
      </c>
      <c r="R42" s="601">
        <v>281261.7</v>
      </c>
      <c r="S42" s="601">
        <v>378256.2</v>
      </c>
      <c r="T42" s="601">
        <v>363961.59999999998</v>
      </c>
      <c r="U42" s="601">
        <v>177573.3</v>
      </c>
      <c r="V42" s="601">
        <f t="shared" si="13"/>
        <v>1201052.8</v>
      </c>
      <c r="W42" s="612">
        <f t="shared" si="14"/>
        <v>1.6313162329332147E-2</v>
      </c>
    </row>
    <row r="43" spans="2:23" ht="15">
      <c r="B43" s="600" t="s">
        <v>127</v>
      </c>
      <c r="C43" s="602">
        <v>2.8856328424312804E-2</v>
      </c>
      <c r="D43" s="601">
        <f t="shared" si="16"/>
        <v>430680.70173286862</v>
      </c>
      <c r="E43" s="601">
        <f t="shared" si="16"/>
        <v>454378.96145133552</v>
      </c>
      <c r="F43" s="601">
        <f t="shared" si="16"/>
        <v>477097.90952390229</v>
      </c>
      <c r="G43" s="601">
        <f t="shared" si="16"/>
        <v>500952.80500009737</v>
      </c>
      <c r="H43" s="601">
        <f t="shared" si="16"/>
        <v>526000.4452501022</v>
      </c>
      <c r="I43" s="601">
        <f t="shared" si="16"/>
        <v>531360.66412417986</v>
      </c>
      <c r="J43" s="601">
        <f t="shared" si="16"/>
        <v>536674.27076542156</v>
      </c>
      <c r="K43" s="601">
        <f t="shared" si="16"/>
        <v>542041.01347307581</v>
      </c>
      <c r="L43" s="601">
        <f t="shared" si="16"/>
        <v>547461.42360780656</v>
      </c>
      <c r="M43" s="601">
        <f t="shared" si="16"/>
        <v>552936.03784388467</v>
      </c>
      <c r="O43" s="596"/>
      <c r="Q43" s="600" t="s">
        <v>132</v>
      </c>
      <c r="R43" s="601">
        <v>407110.5</v>
      </c>
      <c r="S43" s="601">
        <v>832340.6</v>
      </c>
      <c r="T43" s="601">
        <v>939269.8</v>
      </c>
      <c r="U43" s="601">
        <v>669164.1</v>
      </c>
      <c r="V43" s="601">
        <f t="shared" si="13"/>
        <v>2847885.0000000005</v>
      </c>
      <c r="W43" s="612">
        <f t="shared" si="14"/>
        <v>3.8681072389382121E-2</v>
      </c>
    </row>
    <row r="44" spans="2:23" ht="15">
      <c r="B44" s="600" t="s">
        <v>128</v>
      </c>
      <c r="C44" s="602">
        <v>5.6495184769239717E-2</v>
      </c>
      <c r="D44" s="601">
        <f t="shared" si="16"/>
        <v>843190.63268090284</v>
      </c>
      <c r="E44" s="601">
        <f t="shared" si="16"/>
        <v>889587.30317264085</v>
      </c>
      <c r="F44" s="601">
        <f t="shared" si="16"/>
        <v>934066.6683312729</v>
      </c>
      <c r="G44" s="601">
        <f t="shared" si="16"/>
        <v>980770.00174783659</v>
      </c>
      <c r="H44" s="601">
        <f t="shared" si="16"/>
        <v>1029808.5018352284</v>
      </c>
      <c r="I44" s="601">
        <f t="shared" si="16"/>
        <v>1040302.7875683862</v>
      </c>
      <c r="J44" s="601">
        <f t="shared" si="16"/>
        <v>1050705.8154440699</v>
      </c>
      <c r="K44" s="601">
        <f t="shared" si="16"/>
        <v>1061212.8735985106</v>
      </c>
      <c r="L44" s="601">
        <f t="shared" si="16"/>
        <v>1071825.0023344958</v>
      </c>
      <c r="M44" s="601">
        <f t="shared" si="16"/>
        <v>1082543.2523578408</v>
      </c>
      <c r="O44" s="596"/>
      <c r="Q44" s="600" t="s">
        <v>133</v>
      </c>
      <c r="R44" s="601">
        <v>2996393</v>
      </c>
      <c r="S44" s="601">
        <v>3292923.4</v>
      </c>
      <c r="T44" s="601">
        <v>2747043</v>
      </c>
      <c r="U44" s="601">
        <v>754153.9</v>
      </c>
      <c r="V44" s="601">
        <f>SUM(R44:U44)</f>
        <v>9790513.3000000007</v>
      </c>
      <c r="W44" s="612">
        <f t="shared" si="14"/>
        <v>0.13297852746389283</v>
      </c>
    </row>
    <row r="45" spans="2:23" ht="15">
      <c r="B45" s="600" t="s">
        <v>129</v>
      </c>
      <c r="C45" s="602">
        <v>2.0872092793065965E-2</v>
      </c>
      <c r="D45" s="601">
        <f t="shared" si="16"/>
        <v>311515.98493650951</v>
      </c>
      <c r="E45" s="601">
        <f t="shared" si="16"/>
        <v>328657.19114281493</v>
      </c>
      <c r="F45" s="601">
        <f t="shared" si="16"/>
        <v>345090.05069995573</v>
      </c>
      <c r="G45" s="601">
        <f t="shared" si="16"/>
        <v>362344.55323495349</v>
      </c>
      <c r="H45" s="601">
        <f t="shared" si="16"/>
        <v>380461.78089670115</v>
      </c>
      <c r="I45" s="601">
        <f t="shared" si="16"/>
        <v>384338.88487492694</v>
      </c>
      <c r="J45" s="601">
        <f t="shared" si="16"/>
        <v>388182.2737236761</v>
      </c>
      <c r="K45" s="601">
        <f t="shared" si="16"/>
        <v>392064.09646091284</v>
      </c>
      <c r="L45" s="601">
        <f t="shared" si="16"/>
        <v>395984.73742552201</v>
      </c>
      <c r="M45" s="601">
        <f t="shared" si="16"/>
        <v>399944.58479977725</v>
      </c>
      <c r="O45" s="596"/>
      <c r="Q45" s="111" t="s">
        <v>1</v>
      </c>
      <c r="R45" s="605">
        <f>SUM(R31:R44)</f>
        <v>21109129.600000001</v>
      </c>
      <c r="S45" s="605">
        <f t="shared" ref="S45:U45" si="17">SUM(S31:S44)</f>
        <v>23845102.300000001</v>
      </c>
      <c r="T45" s="605">
        <f t="shared" si="17"/>
        <v>20057096.300000001</v>
      </c>
      <c r="U45" s="605">
        <f t="shared" si="17"/>
        <v>8621518.2999999989</v>
      </c>
      <c r="V45" s="605">
        <f>SUM(V32:V44)</f>
        <v>73624768.5</v>
      </c>
      <c r="W45" s="616">
        <f t="shared" si="14"/>
        <v>1</v>
      </c>
    </row>
    <row r="46" spans="2:23" ht="15">
      <c r="B46" s="600" t="s">
        <v>131</v>
      </c>
      <c r="C46" s="602">
        <v>1.6313162329332147E-2</v>
      </c>
      <c r="D46" s="601">
        <f t="shared" si="16"/>
        <v>243473.9477652823</v>
      </c>
      <c r="E46" s="601">
        <f t="shared" si="16"/>
        <v>256871.13232824631</v>
      </c>
      <c r="F46" s="601">
        <f t="shared" si="16"/>
        <v>269714.68894465867</v>
      </c>
      <c r="G46" s="601">
        <f t="shared" si="16"/>
        <v>283200.42339189159</v>
      </c>
      <c r="H46" s="601">
        <f t="shared" si="16"/>
        <v>297360.44456148613</v>
      </c>
      <c r="I46" s="601">
        <f t="shared" si="16"/>
        <v>300390.70258072548</v>
      </c>
      <c r="J46" s="601">
        <f t="shared" si="16"/>
        <v>303394.60960653273</v>
      </c>
      <c r="K46" s="601">
        <f t="shared" si="16"/>
        <v>306428.55570259801</v>
      </c>
      <c r="L46" s="601">
        <f t="shared" si="16"/>
        <v>309492.84125962399</v>
      </c>
      <c r="M46" s="601">
        <f t="shared" si="16"/>
        <v>312587.76967222028</v>
      </c>
      <c r="O46" s="596"/>
    </row>
    <row r="47" spans="2:23" ht="15">
      <c r="B47" s="600" t="s">
        <v>132</v>
      </c>
      <c r="C47" s="602">
        <v>3.8681072389382121E-2</v>
      </c>
      <c r="D47" s="601">
        <f t="shared" si="16"/>
        <v>577315.00541152817</v>
      </c>
      <c r="E47" s="601">
        <f t="shared" si="16"/>
        <v>609081.83611130819</v>
      </c>
      <c r="F47" s="601">
        <f t="shared" si="16"/>
        <v>639535.9279168736</v>
      </c>
      <c r="G47" s="601">
        <f t="shared" si="16"/>
        <v>671512.72431271733</v>
      </c>
      <c r="H47" s="601">
        <f t="shared" si="16"/>
        <v>705088.36052835314</v>
      </c>
      <c r="I47" s="601">
        <f t="shared" si="16"/>
        <v>712273.57866291096</v>
      </c>
      <c r="J47" s="601">
        <f t="shared" si="16"/>
        <v>719396.31444953999</v>
      </c>
      <c r="K47" s="601">
        <f t="shared" si="16"/>
        <v>726590.27759403537</v>
      </c>
      <c r="L47" s="601">
        <f t="shared" si="16"/>
        <v>733856.18036997574</v>
      </c>
      <c r="M47" s="601">
        <f t="shared" si="16"/>
        <v>741194.74217367556</v>
      </c>
      <c r="O47" s="596"/>
    </row>
    <row r="48" spans="2:23" ht="15">
      <c r="B48" s="600" t="s">
        <v>133</v>
      </c>
      <c r="C48" s="602">
        <v>0.13297852746389283</v>
      </c>
      <c r="D48" s="601">
        <f t="shared" si="16"/>
        <v>1984704.5223986004</v>
      </c>
      <c r="E48" s="601">
        <f t="shared" si="16"/>
        <v>2093913.1380783224</v>
      </c>
      <c r="F48" s="601">
        <f t="shared" si="16"/>
        <v>2198608.7949822387</v>
      </c>
      <c r="G48" s="601">
        <f t="shared" si="16"/>
        <v>2308539.2347313506</v>
      </c>
      <c r="H48" s="601">
        <f t="shared" si="16"/>
        <v>2423966.1964679179</v>
      </c>
      <c r="I48" s="601">
        <f t="shared" si="16"/>
        <v>2448667.6762361634</v>
      </c>
      <c r="J48" s="601">
        <f t="shared" si="16"/>
        <v>2473154.3529985249</v>
      </c>
      <c r="K48" s="601">
        <f t="shared" si="16"/>
        <v>2497885.8965285099</v>
      </c>
      <c r="L48" s="601">
        <f t="shared" si="16"/>
        <v>2522864.755493795</v>
      </c>
      <c r="M48" s="601">
        <f t="shared" si="16"/>
        <v>2548093.4030487332</v>
      </c>
      <c r="O48" s="596"/>
    </row>
    <row r="49" spans="2:15" ht="15">
      <c r="B49" s="111" t="s">
        <v>1</v>
      </c>
      <c r="C49" s="610">
        <f>SUM(C36:C48)</f>
        <v>1</v>
      </c>
      <c r="D49" s="611">
        <f>+D31-D11</f>
        <v>14925000</v>
      </c>
      <c r="E49" s="611">
        <f>+E31-E11+D11</f>
        <v>15746250</v>
      </c>
      <c r="F49" s="611">
        <f t="shared" ref="F49:M49" si="18">+F31-F11+E11</f>
        <v>16533562.5</v>
      </c>
      <c r="G49" s="611">
        <f t="shared" si="18"/>
        <v>17360240.625</v>
      </c>
      <c r="H49" s="611">
        <f t="shared" si="18"/>
        <v>18228252.65625</v>
      </c>
      <c r="I49" s="611">
        <f t="shared" si="18"/>
        <v>18414008.057812501</v>
      </c>
      <c r="J49" s="611">
        <f t="shared" si="18"/>
        <v>18598148.138390623</v>
      </c>
      <c r="K49" s="611">
        <f t="shared" si="18"/>
        <v>18784129.619774528</v>
      </c>
      <c r="L49" s="611">
        <f t="shared" si="18"/>
        <v>18971970.915972274</v>
      </c>
      <c r="M49" s="611">
        <f t="shared" si="18"/>
        <v>19161690.625131998</v>
      </c>
      <c r="O49" s="596"/>
    </row>
    <row r="50" spans="2:15" ht="15">
      <c r="B50" s="110"/>
      <c r="C50" s="789"/>
      <c r="D50" s="791"/>
      <c r="E50" s="791"/>
      <c r="F50" s="791"/>
      <c r="G50" s="791"/>
      <c r="H50" s="791"/>
      <c r="I50" s="791"/>
      <c r="J50" s="791"/>
      <c r="K50" s="791"/>
      <c r="L50" s="791"/>
      <c r="M50" s="791"/>
      <c r="O50" s="596"/>
    </row>
    <row r="51" spans="2:15" ht="15">
      <c r="B51" s="895" t="s">
        <v>2865</v>
      </c>
      <c r="C51" s="896"/>
      <c r="D51" s="896"/>
      <c r="E51" s="896"/>
      <c r="F51" s="896"/>
      <c r="G51" s="896"/>
      <c r="H51" s="896"/>
      <c r="I51" s="896"/>
      <c r="J51" s="896"/>
      <c r="K51" s="896"/>
      <c r="L51" s="896"/>
      <c r="M51" s="896"/>
      <c r="O51" s="596"/>
    </row>
    <row r="52" spans="2:15" ht="15">
      <c r="O52" s="596"/>
    </row>
    <row r="53" spans="2:15" ht="15">
      <c r="B53" s="899" t="s">
        <v>505</v>
      </c>
      <c r="C53" s="899"/>
      <c r="D53" s="56" t="s">
        <v>226</v>
      </c>
      <c r="E53" s="56" t="s">
        <v>227</v>
      </c>
      <c r="F53" s="56" t="s">
        <v>228</v>
      </c>
      <c r="G53" s="56" t="s">
        <v>229</v>
      </c>
      <c r="H53" s="56" t="s">
        <v>230</v>
      </c>
      <c r="I53" s="56" t="s">
        <v>231</v>
      </c>
      <c r="J53" s="56" t="s">
        <v>232</v>
      </c>
      <c r="K53" s="56" t="s">
        <v>233</v>
      </c>
      <c r="L53" s="56" t="s">
        <v>3010</v>
      </c>
      <c r="M53" s="56" t="s">
        <v>3011</v>
      </c>
      <c r="O53" s="596"/>
    </row>
    <row r="54" spans="2:15" ht="15">
      <c r="B54" s="900" t="s">
        <v>2866</v>
      </c>
      <c r="C54" s="900"/>
      <c r="D54" s="16">
        <f>+I5</f>
        <v>1500000</v>
      </c>
      <c r="E54" s="614">
        <f t="shared" ref="E54:M54" si="19">+D54*(1+E7)</f>
        <v>1590000</v>
      </c>
      <c r="F54" s="614">
        <f t="shared" si="19"/>
        <v>1663100.4794875337</v>
      </c>
      <c r="G54" s="614">
        <f t="shared" si="19"/>
        <v>1741640.6396695885</v>
      </c>
      <c r="H54" s="614">
        <f t="shared" si="19"/>
        <v>1826066.9210516692</v>
      </c>
      <c r="I54" s="614">
        <f t="shared" si="19"/>
        <v>1916868.3622604564</v>
      </c>
      <c r="J54" s="614">
        <f t="shared" si="19"/>
        <v>2014581.0036917098</v>
      </c>
      <c r="K54" s="614">
        <f t="shared" si="19"/>
        <v>2119792.7873775759</v>
      </c>
      <c r="L54" s="614">
        <f t="shared" si="19"/>
        <v>2233149.0126360627</v>
      </c>
      <c r="M54" s="614">
        <f t="shared" si="19"/>
        <v>2355358.4146669484</v>
      </c>
      <c r="O54" s="596"/>
    </row>
    <row r="55" spans="2:15" ht="15">
      <c r="O55" s="596"/>
    </row>
    <row r="56" spans="2:15" ht="15">
      <c r="B56" s="893" t="s">
        <v>118</v>
      </c>
      <c r="C56" s="894"/>
      <c r="D56" s="56" t="s">
        <v>226</v>
      </c>
      <c r="E56" s="56" t="s">
        <v>227</v>
      </c>
      <c r="F56" s="56" t="s">
        <v>228</v>
      </c>
      <c r="G56" s="596" t="s">
        <v>229</v>
      </c>
      <c r="H56" s="596" t="s">
        <v>230</v>
      </c>
      <c r="I56" s="596" t="s">
        <v>231</v>
      </c>
      <c r="J56" s="596" t="s">
        <v>232</v>
      </c>
      <c r="K56" s="596" t="s">
        <v>233</v>
      </c>
      <c r="L56" s="596" t="s">
        <v>3010</v>
      </c>
      <c r="M56" s="596" t="s">
        <v>3011</v>
      </c>
      <c r="O56" s="596"/>
    </row>
    <row r="57" spans="2:15" ht="15">
      <c r="B57" s="889" t="s">
        <v>120</v>
      </c>
      <c r="C57" s="890"/>
      <c r="D57" s="601">
        <f>+(D36/125)*(D$54+D$9)</f>
        <v>43705141737.987267</v>
      </c>
      <c r="E57" s="601">
        <f>+(E36/125)*(E$54+E$9)</f>
        <v>48876624011.878647</v>
      </c>
      <c r="F57" s="601">
        <f t="shared" ref="F57:M57" si="20">+(F36/125)*(F$54+F$9)</f>
        <v>53679920548.03878</v>
      </c>
      <c r="G57" s="601">
        <f t="shared" si="20"/>
        <v>59025710670.820419</v>
      </c>
      <c r="H57" s="601">
        <f t="shared" si="20"/>
        <v>64981340040.618179</v>
      </c>
      <c r="I57" s="601">
        <f t="shared" si="20"/>
        <v>68907667978.826996</v>
      </c>
      <c r="J57" s="601">
        <f t="shared" si="20"/>
        <v>73144448762.610352</v>
      </c>
      <c r="K57" s="601">
        <f t="shared" si="20"/>
        <v>77734072437.86937</v>
      </c>
      <c r="L57" s="601">
        <f t="shared" si="20"/>
        <v>82709822312.791473</v>
      </c>
      <c r="M57" s="601">
        <f t="shared" si="20"/>
        <v>88108490569.280212</v>
      </c>
      <c r="O57" s="596"/>
    </row>
    <row r="58" spans="2:15" ht="15">
      <c r="B58" s="889" t="s">
        <v>121</v>
      </c>
      <c r="C58" s="890"/>
      <c r="D58" s="601">
        <f t="shared" ref="D58:E69" si="21">+(D37/125)*(D$54+D$9)</f>
        <v>20135101917.787357</v>
      </c>
      <c r="E58" s="601">
        <f t="shared" si="21"/>
        <v>22517620736.169964</v>
      </c>
      <c r="F58" s="601">
        <f t="shared" ref="F58:M58" si="22">+(F37/125)*(F$54+F$9)</f>
        <v>24730515179.499897</v>
      </c>
      <c r="G58" s="601">
        <f t="shared" si="22"/>
        <v>27193338194.663662</v>
      </c>
      <c r="H58" s="601">
        <f t="shared" si="22"/>
        <v>29937116147.938595</v>
      </c>
      <c r="I58" s="601">
        <f t="shared" si="22"/>
        <v>31745988286.426052</v>
      </c>
      <c r="J58" s="601">
        <f t="shared" si="22"/>
        <v>33697887067.494492</v>
      </c>
      <c r="K58" s="601">
        <f t="shared" si="22"/>
        <v>35812341724.103188</v>
      </c>
      <c r="L58" s="601">
        <f t="shared" si="22"/>
        <v>38104685985.325302</v>
      </c>
      <c r="M58" s="601">
        <f t="shared" si="22"/>
        <v>40591870129.845375</v>
      </c>
      <c r="O58" s="596"/>
    </row>
    <row r="59" spans="2:15" ht="15">
      <c r="B59" s="889" t="s">
        <v>122</v>
      </c>
      <c r="C59" s="890"/>
      <c r="D59" s="601">
        <f t="shared" si="21"/>
        <v>6765963040.6172342</v>
      </c>
      <c r="E59" s="601">
        <f t="shared" si="21"/>
        <v>7566556667.3379078</v>
      </c>
      <c r="F59" s="601">
        <f t="shared" ref="F59:M59" si="23">+(F38/125)*(F$54+F$9)</f>
        <v>8310151712.3240461</v>
      </c>
      <c r="G59" s="601">
        <f t="shared" si="23"/>
        <v>9137729817.6754322</v>
      </c>
      <c r="H59" s="601">
        <f t="shared" si="23"/>
        <v>10059716718.924681</v>
      </c>
      <c r="I59" s="601">
        <f t="shared" si="23"/>
        <v>10667548856.262745</v>
      </c>
      <c r="J59" s="601">
        <f t="shared" si="23"/>
        <v>11323441985.865843</v>
      </c>
      <c r="K59" s="601">
        <f t="shared" si="23"/>
        <v>12033958481.68935</v>
      </c>
      <c r="L59" s="601">
        <f t="shared" si="23"/>
        <v>12804250909.864166</v>
      </c>
      <c r="M59" s="601">
        <f t="shared" si="23"/>
        <v>13640015042.856508</v>
      </c>
      <c r="O59" s="596"/>
    </row>
    <row r="60" spans="2:15" ht="15">
      <c r="B60" s="889" t="s">
        <v>123</v>
      </c>
      <c r="C60" s="890"/>
      <c r="D60" s="601">
        <f t="shared" si="21"/>
        <v>17337664237.558861</v>
      </c>
      <c r="E60" s="601">
        <f t="shared" si="21"/>
        <v>19389171673.748802</v>
      </c>
      <c r="F60" s="601">
        <f t="shared" ref="F60:M60" si="24">+(F39/125)*(F$54+F$9)</f>
        <v>21294621221.919262</v>
      </c>
      <c r="G60" s="601">
        <f t="shared" si="24"/>
        <v>23415275921.745781</v>
      </c>
      <c r="H60" s="601">
        <f t="shared" si="24"/>
        <v>25777851541.701954</v>
      </c>
      <c r="I60" s="601">
        <f t="shared" si="24"/>
        <v>27335410967.714382</v>
      </c>
      <c r="J60" s="601">
        <f t="shared" si="24"/>
        <v>29016125862.033821</v>
      </c>
      <c r="K60" s="601">
        <f t="shared" si="24"/>
        <v>30836812195.358963</v>
      </c>
      <c r="L60" s="601">
        <f t="shared" si="24"/>
        <v>32810673330.020226</v>
      </c>
      <c r="M60" s="601">
        <f t="shared" si="24"/>
        <v>34952304585.264832</v>
      </c>
      <c r="O60" s="596"/>
    </row>
    <row r="61" spans="2:15" ht="15">
      <c r="B61" s="889" t="s">
        <v>124</v>
      </c>
      <c r="C61" s="890"/>
      <c r="D61" s="601">
        <f t="shared" si="21"/>
        <v>4985814045.3779488</v>
      </c>
      <c r="E61" s="601">
        <f t="shared" si="21"/>
        <v>5575768634.9584246</v>
      </c>
      <c r="F61" s="601">
        <f t="shared" ref="F61:M61" si="25">+(F40/125)*(F$54+F$9)</f>
        <v>6123721172.8468256</v>
      </c>
      <c r="G61" s="601">
        <f t="shared" si="25"/>
        <v>6733560528.536211</v>
      </c>
      <c r="H61" s="601">
        <f t="shared" si="25"/>
        <v>7412969389.3749847</v>
      </c>
      <c r="I61" s="601">
        <f t="shared" si="25"/>
        <v>7860878724.5840855</v>
      </c>
      <c r="J61" s="601">
        <f t="shared" si="25"/>
        <v>8344204033.6658363</v>
      </c>
      <c r="K61" s="601">
        <f t="shared" si="25"/>
        <v>8867781106.5944519</v>
      </c>
      <c r="L61" s="601">
        <f t="shared" si="25"/>
        <v>9435406850.983963</v>
      </c>
      <c r="M61" s="601">
        <f t="shared" si="25"/>
        <v>10051278461.260481</v>
      </c>
      <c r="O61" s="596"/>
    </row>
    <row r="62" spans="2:15" ht="15">
      <c r="B62" s="889" t="s">
        <v>125</v>
      </c>
      <c r="C62" s="890"/>
      <c r="D62" s="601">
        <f t="shared" si="21"/>
        <v>27994554460.25613</v>
      </c>
      <c r="E62" s="601">
        <f t="shared" si="21"/>
        <v>31307055836.515678</v>
      </c>
      <c r="F62" s="601">
        <f t="shared" ref="F62:M62" si="26">+(F41/125)*(F$54+F$9)</f>
        <v>34383722359.56279</v>
      </c>
      <c r="G62" s="601">
        <f t="shared" si="26"/>
        <v>37807873541.189919</v>
      </c>
      <c r="H62" s="601">
        <f t="shared" si="26"/>
        <v>41622646451.37571</v>
      </c>
      <c r="I62" s="601">
        <f t="shared" si="26"/>
        <v>44137586271.362076</v>
      </c>
      <c r="J62" s="601">
        <f t="shared" si="26"/>
        <v>46851381163.02124</v>
      </c>
      <c r="K62" s="601">
        <f t="shared" si="26"/>
        <v>49791183319.467384</v>
      </c>
      <c r="L62" s="601">
        <f t="shared" si="26"/>
        <v>52978311774.265404</v>
      </c>
      <c r="M62" s="601">
        <f t="shared" si="26"/>
        <v>56436333107.891907</v>
      </c>
      <c r="O62" s="596"/>
    </row>
    <row r="63" spans="2:15" ht="15">
      <c r="B63" s="889" t="s">
        <v>126</v>
      </c>
      <c r="C63" s="890"/>
      <c r="D63" s="601">
        <f t="shared" si="21"/>
        <v>9698838703.3366375</v>
      </c>
      <c r="E63" s="601">
        <f t="shared" si="21"/>
        <v>10846469632.720898</v>
      </c>
      <c r="F63" s="601">
        <f t="shared" ref="F63:M63" si="27">+(F42/125)*(F$54+F$9)</f>
        <v>11912394521.554312</v>
      </c>
      <c r="G63" s="601">
        <f t="shared" si="27"/>
        <v>13098707025.780436</v>
      </c>
      <c r="H63" s="601">
        <f t="shared" si="27"/>
        <v>14420352176.385614</v>
      </c>
      <c r="I63" s="601">
        <f t="shared" si="27"/>
        <v>15291664334.515348</v>
      </c>
      <c r="J63" s="601">
        <f t="shared" si="27"/>
        <v>16231870722.350834</v>
      </c>
      <c r="K63" s="601">
        <f t="shared" si="27"/>
        <v>17250378338.736439</v>
      </c>
      <c r="L63" s="601">
        <f t="shared" si="27"/>
        <v>18354573258.280003</v>
      </c>
      <c r="M63" s="601">
        <f t="shared" si="27"/>
        <v>19552620228.277527</v>
      </c>
      <c r="O63" s="596"/>
    </row>
    <row r="64" spans="2:15" ht="15">
      <c r="B64" s="889" t="s">
        <v>127</v>
      </c>
      <c r="C64" s="890"/>
      <c r="D64" s="601">
        <f t="shared" si="21"/>
        <v>5340440701.4875708</v>
      </c>
      <c r="E64" s="601">
        <f t="shared" si="21"/>
        <v>5972357069.3163538</v>
      </c>
      <c r="F64" s="601">
        <f t="shared" ref="F64:M64" si="28">+(F43/125)*(F$54+F$9)</f>
        <v>6559283899.9580688</v>
      </c>
      <c r="G64" s="601">
        <f t="shared" si="28"/>
        <v>7212499380.2890587</v>
      </c>
      <c r="H64" s="601">
        <f t="shared" si="28"/>
        <v>7940232645.1785326</v>
      </c>
      <c r="I64" s="601">
        <f t="shared" si="28"/>
        <v>8420000487.0105858</v>
      </c>
      <c r="J64" s="601">
        <f t="shared" si="28"/>
        <v>8937703339.3807201</v>
      </c>
      <c r="K64" s="601">
        <f t="shared" si="28"/>
        <v>9498520948.1372757</v>
      </c>
      <c r="L64" s="601">
        <f t="shared" si="28"/>
        <v>10106520284.045147</v>
      </c>
      <c r="M64" s="601">
        <f t="shared" si="28"/>
        <v>10766197075.934422</v>
      </c>
      <c r="O64" s="596"/>
    </row>
    <row r="65" spans="2:15" ht="15">
      <c r="B65" s="889" t="s">
        <v>128</v>
      </c>
      <c r="C65" s="890"/>
      <c r="D65" s="601">
        <f t="shared" si="21"/>
        <v>10455563845.243195</v>
      </c>
      <c r="E65" s="601">
        <f t="shared" si="21"/>
        <v>11692735512.901192</v>
      </c>
      <c r="F65" s="601">
        <f t="shared" ref="F65:M65" si="29">+(F44/125)*(F$54+F$9)</f>
        <v>12841826251.527189</v>
      </c>
      <c r="G65" s="601">
        <f t="shared" si="29"/>
        <v>14120697517.226189</v>
      </c>
      <c r="H65" s="601">
        <f t="shared" si="29"/>
        <v>15545460385.811123</v>
      </c>
      <c r="I65" s="601">
        <f t="shared" si="29"/>
        <v>16484754272.132586</v>
      </c>
      <c r="J65" s="601">
        <f t="shared" si="29"/>
        <v>17498317670.432789</v>
      </c>
      <c r="K65" s="601">
        <f t="shared" si="29"/>
        <v>18596291534.697861</v>
      </c>
      <c r="L65" s="601">
        <f t="shared" si="29"/>
        <v>19786638217.637245</v>
      </c>
      <c r="M65" s="601">
        <f t="shared" si="29"/>
        <v>21078159498.437588</v>
      </c>
      <c r="O65" s="596"/>
    </row>
    <row r="66" spans="2:15" ht="15">
      <c r="B66" s="889" t="s">
        <v>129</v>
      </c>
      <c r="C66" s="890"/>
      <c r="D66" s="601">
        <f t="shared" si="21"/>
        <v>3862798213.2127185</v>
      </c>
      <c r="E66" s="601">
        <f t="shared" si="21"/>
        <v>4319870120.3811598</v>
      </c>
      <c r="F66" s="601">
        <f t="shared" ref="F66:M66" si="30">+(F45/125)*(F$54+F$9)</f>
        <v>4744400611.2932491</v>
      </c>
      <c r="G66" s="601">
        <f t="shared" si="30"/>
        <v>5216878395.6758356</v>
      </c>
      <c r="H66" s="601">
        <f t="shared" si="30"/>
        <v>5743255695.310957</v>
      </c>
      <c r="I66" s="601">
        <f t="shared" si="30"/>
        <v>6090276936.7732134</v>
      </c>
      <c r="J66" s="601">
        <f t="shared" si="30"/>
        <v>6464736979.4722071</v>
      </c>
      <c r="K66" s="601">
        <f t="shared" si="30"/>
        <v>6870382389.3050728</v>
      </c>
      <c r="L66" s="601">
        <f t="shared" si="30"/>
        <v>7310154849.9795742</v>
      </c>
      <c r="M66" s="601">
        <f t="shared" si="30"/>
        <v>7787306170.5247107</v>
      </c>
      <c r="O66" s="596"/>
    </row>
    <row r="67" spans="2:15" ht="15">
      <c r="B67" s="889" t="s">
        <v>131</v>
      </c>
      <c r="C67" s="890"/>
      <c r="D67" s="601">
        <f t="shared" si="21"/>
        <v>3019076952.2895007</v>
      </c>
      <c r="E67" s="601">
        <f t="shared" si="21"/>
        <v>3376314163.3224692</v>
      </c>
      <c r="F67" s="601">
        <f t="shared" ref="F67:M67" si="31">+(F46/125)*(F$54+F$9)</f>
        <v>3708117729.0051947</v>
      </c>
      <c r="G67" s="601">
        <f t="shared" si="31"/>
        <v>4077395830.1545396</v>
      </c>
      <c r="H67" s="601">
        <f t="shared" si="31"/>
        <v>4488800590.5950413</v>
      </c>
      <c r="I67" s="601">
        <f t="shared" si="31"/>
        <v>4760024655.1785803</v>
      </c>
      <c r="J67" s="601">
        <f t="shared" si="31"/>
        <v>5052694274.9891415</v>
      </c>
      <c r="K67" s="601">
        <f t="shared" si="31"/>
        <v>5369737682.3924656</v>
      </c>
      <c r="L67" s="601">
        <f t="shared" si="31"/>
        <v>5713454031.7820349</v>
      </c>
      <c r="M67" s="601">
        <f t="shared" si="31"/>
        <v>6086384864.5873547</v>
      </c>
      <c r="O67" s="596"/>
    </row>
    <row r="68" spans="2:15" ht="15">
      <c r="B68" s="889" t="s">
        <v>132</v>
      </c>
      <c r="C68" s="890"/>
      <c r="D68" s="601">
        <f t="shared" si="21"/>
        <v>7158706067.1029501</v>
      </c>
      <c r="E68" s="601">
        <f t="shared" si="21"/>
        <v>8005771653.8470354</v>
      </c>
      <c r="F68" s="601">
        <f t="shared" ref="F68:M68" si="32">+(F47/125)*(F$54+F$9)</f>
        <v>8792530069.1759396</v>
      </c>
      <c r="G68" s="601">
        <f t="shared" si="32"/>
        <v>9668146499.2710228</v>
      </c>
      <c r="H68" s="601">
        <f t="shared" si="32"/>
        <v>10643651861.0562</v>
      </c>
      <c r="I68" s="601">
        <f t="shared" si="32"/>
        <v>11286766755.893873</v>
      </c>
      <c r="J68" s="601">
        <f t="shared" si="32"/>
        <v>11980732433.517868</v>
      </c>
      <c r="K68" s="601">
        <f t="shared" si="32"/>
        <v>12732492193.199389</v>
      </c>
      <c r="L68" s="601">
        <f t="shared" si="32"/>
        <v>13547497691.443357</v>
      </c>
      <c r="M68" s="601">
        <f t="shared" si="32"/>
        <v>14431775322.521505</v>
      </c>
      <c r="O68" s="596"/>
    </row>
    <row r="69" spans="2:15" ht="15">
      <c r="B69" s="889" t="s">
        <v>133</v>
      </c>
      <c r="C69" s="890"/>
      <c r="D69" s="601">
        <f t="shared" si="21"/>
        <v>24610336077.742645</v>
      </c>
      <c r="E69" s="601">
        <f t="shared" si="21"/>
        <v>27522394286.90147</v>
      </c>
      <c r="F69" s="601">
        <f t="shared" ref="F69:M69" si="33">+(F48/125)*(F$54+F$9)</f>
        <v>30227127353.427883</v>
      </c>
      <c r="G69" s="601">
        <f t="shared" si="33"/>
        <v>33237338195.700108</v>
      </c>
      <c r="H69" s="601">
        <f t="shared" si="33"/>
        <v>36590949110.037971</v>
      </c>
      <c r="I69" s="601">
        <f t="shared" si="33"/>
        <v>38801861745.673309</v>
      </c>
      <c r="J69" s="601">
        <f t="shared" si="33"/>
        <v>41187590170.985855</v>
      </c>
      <c r="K69" s="601">
        <f t="shared" si="33"/>
        <v>43772004192.467323</v>
      </c>
      <c r="L69" s="601">
        <f t="shared" si="33"/>
        <v>46573845618.694405</v>
      </c>
      <c r="M69" s="601">
        <f t="shared" si="33"/>
        <v>49613832102.686241</v>
      </c>
      <c r="O69" s="596"/>
    </row>
    <row r="70" spans="2:15" ht="15">
      <c r="B70" s="891" t="s">
        <v>88</v>
      </c>
      <c r="C70" s="892"/>
      <c r="D70" s="611">
        <f>SUM(D57:D69)</f>
        <v>185069999999.99997</v>
      </c>
      <c r="E70" s="611">
        <f t="shared" ref="E70:H70" si="34">SUM(E57:E69)</f>
        <v>206968709999.99997</v>
      </c>
      <c r="F70" s="611">
        <f t="shared" si="34"/>
        <v>227308332630.13345</v>
      </c>
      <c r="G70" s="611">
        <f t="shared" si="34"/>
        <v>249945151518.72864</v>
      </c>
      <c r="H70" s="611">
        <f t="shared" si="34"/>
        <v>275164342754.30957</v>
      </c>
      <c r="I70" s="611">
        <f t="shared" ref="I70:M70" si="35">SUM(I57:I69)</f>
        <v>291790430272.35388</v>
      </c>
      <c r="J70" s="611">
        <f t="shared" si="35"/>
        <v>309731134465.82098</v>
      </c>
      <c r="K70" s="611">
        <f t="shared" si="35"/>
        <v>329165956544.01855</v>
      </c>
      <c r="L70" s="611">
        <f t="shared" si="35"/>
        <v>350235835115.11224</v>
      </c>
      <c r="M70" s="611">
        <f t="shared" si="35"/>
        <v>373096567159.36859</v>
      </c>
      <c r="O70" s="596"/>
    </row>
    <row r="71" spans="2:15" ht="15">
      <c r="O71" s="596"/>
    </row>
    <row r="72" spans="2:15" ht="15">
      <c r="O72" s="596"/>
    </row>
    <row r="73" spans="2:15" ht="15">
      <c r="B73" s="895" t="s">
        <v>2867</v>
      </c>
      <c r="C73" s="896"/>
      <c r="D73" s="896"/>
      <c r="E73" s="896"/>
      <c r="F73" s="896"/>
      <c r="G73" s="896"/>
      <c r="H73" s="896"/>
      <c r="I73" s="896"/>
      <c r="J73" s="896"/>
      <c r="K73" s="896"/>
      <c r="L73" s="896"/>
      <c r="M73" s="896"/>
      <c r="O73" s="596"/>
    </row>
    <row r="74" spans="2:15" ht="15">
      <c r="O74" s="596"/>
    </row>
    <row r="75" spans="2:15" ht="15">
      <c r="B75" s="893" t="s">
        <v>118</v>
      </c>
      <c r="C75" s="894"/>
      <c r="D75" s="56" t="s">
        <v>226</v>
      </c>
      <c r="E75" s="56" t="s">
        <v>227</v>
      </c>
      <c r="F75" s="56" t="s">
        <v>228</v>
      </c>
      <c r="G75" s="596" t="s">
        <v>229</v>
      </c>
      <c r="H75" s="596" t="s">
        <v>230</v>
      </c>
      <c r="I75" s="596" t="s">
        <v>231</v>
      </c>
      <c r="J75" s="596" t="s">
        <v>232</v>
      </c>
      <c r="K75" s="596" t="s">
        <v>233</v>
      </c>
      <c r="L75" s="596" t="s">
        <v>3010</v>
      </c>
      <c r="M75" s="596" t="s">
        <v>3011</v>
      </c>
      <c r="O75" s="596"/>
    </row>
    <row r="76" spans="2:15" ht="15">
      <c r="B76" s="889" t="s">
        <v>120</v>
      </c>
      <c r="C76" s="890"/>
      <c r="D76" s="601">
        <f t="shared" ref="D76:M76" si="36">+(D18/125)*D$54</f>
        <v>42507837644.338402</v>
      </c>
      <c r="E76" s="601">
        <f t="shared" si="36"/>
        <v>47311223298.148636</v>
      </c>
      <c r="F76" s="601">
        <f t="shared" si="36"/>
        <v>51960681798.683899</v>
      </c>
      <c r="G76" s="601">
        <f t="shared" si="36"/>
        <v>57135259121.014778</v>
      </c>
      <c r="H76" s="601">
        <f t="shared" si="36"/>
        <v>62900144006.006729</v>
      </c>
      <c r="I76" s="601">
        <f t="shared" si="36"/>
        <v>66688141372.647247</v>
      </c>
      <c r="J76" s="601">
        <f t="shared" si="36"/>
        <v>70788454794.379593</v>
      </c>
      <c r="K76" s="601">
        <f t="shared" si="36"/>
        <v>75230245983.670288</v>
      </c>
      <c r="L76" s="601">
        <f t="shared" si="36"/>
        <v>80045726188.220154</v>
      </c>
      <c r="M76" s="601">
        <f t="shared" si="36"/>
        <v>85270502508.082977</v>
      </c>
      <c r="O76" s="596"/>
    </row>
    <row r="77" spans="2:15" ht="15">
      <c r="B77" s="889" t="s">
        <v>121</v>
      </c>
      <c r="C77" s="890"/>
      <c r="D77" s="601">
        <f t="shared" ref="D77:M77" si="37">+(D19/125)*D$54</f>
        <v>19583500001.089989</v>
      </c>
      <c r="E77" s="601">
        <f t="shared" si="37"/>
        <v>21796435501.213158</v>
      </c>
      <c r="F77" s="601">
        <f t="shared" si="37"/>
        <v>23938456257.764805</v>
      </c>
      <c r="G77" s="601">
        <f t="shared" si="37"/>
        <v>26322400975.09869</v>
      </c>
      <c r="H77" s="601">
        <f t="shared" si="37"/>
        <v>28978302319.601925</v>
      </c>
      <c r="I77" s="601">
        <f t="shared" si="37"/>
        <v>30723445110.783489</v>
      </c>
      <c r="J77" s="601">
        <f t="shared" si="37"/>
        <v>32612472931.272007</v>
      </c>
      <c r="K77" s="601">
        <f t="shared" si="37"/>
        <v>34658820677.49527</v>
      </c>
      <c r="L77" s="601">
        <f t="shared" si="37"/>
        <v>36877328176.749619</v>
      </c>
      <c r="M77" s="601">
        <f t="shared" si="37"/>
        <v>39284399736.630676</v>
      </c>
      <c r="O77" s="596"/>
    </row>
    <row r="78" spans="2:15" ht="15">
      <c r="B78" s="889" t="s">
        <v>122</v>
      </c>
      <c r="C78" s="890"/>
      <c r="D78" s="601">
        <f t="shared" ref="D78:M78" si="38">+(D20/125)*D$54</f>
        <v>6580609214.411315</v>
      </c>
      <c r="E78" s="601">
        <f t="shared" si="38"/>
        <v>7324218055.6397943</v>
      </c>
      <c r="F78" s="601">
        <f t="shared" si="38"/>
        <v>8043997539.758543</v>
      </c>
      <c r="G78" s="601">
        <f t="shared" si="38"/>
        <v>8845070308.8070488</v>
      </c>
      <c r="H78" s="601">
        <f t="shared" si="38"/>
        <v>9737528187.0837917</v>
      </c>
      <c r="I78" s="601">
        <f t="shared" si="38"/>
        <v>10323945463.437542</v>
      </c>
      <c r="J78" s="601">
        <f t="shared" si="38"/>
        <v>10958712174.244814</v>
      </c>
      <c r="K78" s="601">
        <f t="shared" si="38"/>
        <v>11646342824.227558</v>
      </c>
      <c r="L78" s="601">
        <f t="shared" si="38"/>
        <v>12391824014.567448</v>
      </c>
      <c r="M78" s="601">
        <f t="shared" si="38"/>
        <v>13200668056.021685</v>
      </c>
      <c r="O78" s="596"/>
    </row>
    <row r="79" spans="2:15" ht="15">
      <c r="B79" s="889" t="s">
        <v>123</v>
      </c>
      <c r="C79" s="890"/>
      <c r="D79" s="601">
        <f t="shared" ref="D79:M79" si="39">+(D21/125)*D$54</f>
        <v>16862698237.210756</v>
      </c>
      <c r="E79" s="601">
        <f t="shared" si="39"/>
        <v>18768183138.015572</v>
      </c>
      <c r="F79" s="601">
        <f t="shared" si="39"/>
        <v>20612605719.962719</v>
      </c>
      <c r="G79" s="601">
        <f t="shared" si="39"/>
        <v>22665340950.149181</v>
      </c>
      <c r="H79" s="601">
        <f t="shared" si="39"/>
        <v>24952248955.238544</v>
      </c>
      <c r="I79" s="601">
        <f t="shared" si="39"/>
        <v>26454933167.299747</v>
      </c>
      <c r="J79" s="601">
        <f t="shared" si="39"/>
        <v>28081511975.828403</v>
      </c>
      <c r="K79" s="601">
        <f t="shared" si="39"/>
        <v>29843553721.738914</v>
      </c>
      <c r="L79" s="601">
        <f t="shared" si="39"/>
        <v>31753836485.02602</v>
      </c>
      <c r="M79" s="601">
        <f t="shared" si="39"/>
        <v>33826485467.454453</v>
      </c>
      <c r="O79" s="596"/>
    </row>
    <row r="80" spans="2:15" ht="15">
      <c r="B80" s="889" t="s">
        <v>124</v>
      </c>
      <c r="C80" s="890"/>
      <c r="D80" s="601">
        <f t="shared" ref="D80:M80" si="40">+(D22/125)*D$54</f>
        <v>4849227471.5946989</v>
      </c>
      <c r="E80" s="601">
        <f t="shared" si="40"/>
        <v>5397190175.8848991</v>
      </c>
      <c r="F80" s="601">
        <f t="shared" si="40"/>
        <v>5927593111.8676481</v>
      </c>
      <c r="G80" s="601">
        <f t="shared" si="40"/>
        <v>6517900779.7214594</v>
      </c>
      <c r="H80" s="601">
        <f t="shared" si="40"/>
        <v>7175549808.796627</v>
      </c>
      <c r="I80" s="601">
        <f t="shared" si="40"/>
        <v>7607678609.2859201</v>
      </c>
      <c r="J80" s="601">
        <f t="shared" si="40"/>
        <v>8075435935.6683207</v>
      </c>
      <c r="K80" s="601">
        <f t="shared" si="40"/>
        <v>8582148510.3801661</v>
      </c>
      <c r="L80" s="601">
        <f t="shared" si="40"/>
        <v>9131490942.0560284</v>
      </c>
      <c r="M80" s="601">
        <f t="shared" si="40"/>
        <v>9727525232.8426514</v>
      </c>
      <c r="O80" s="596"/>
    </row>
    <row r="81" spans="2:15" ht="15">
      <c r="B81" s="889" t="s">
        <v>125</v>
      </c>
      <c r="C81" s="890"/>
      <c r="D81" s="601">
        <f t="shared" ref="D81:M81" si="41">+(D23/125)*D$54</f>
        <v>27227642529.022011</v>
      </c>
      <c r="E81" s="601">
        <f t="shared" si="41"/>
        <v>30304366134.801502</v>
      </c>
      <c r="F81" s="601">
        <f t="shared" si="41"/>
        <v>33282494428.818775</v>
      </c>
      <c r="G81" s="601">
        <f t="shared" si="41"/>
        <v>36596978283.538551</v>
      </c>
      <c r="H81" s="601">
        <f t="shared" si="41"/>
        <v>40289573192.337181</v>
      </c>
      <c r="I81" s="601">
        <f t="shared" si="41"/>
        <v>42715907814.73597</v>
      </c>
      <c r="J81" s="601">
        <f t="shared" si="41"/>
        <v>45342290954.663788</v>
      </c>
      <c r="K81" s="601">
        <f t="shared" si="41"/>
        <v>48187401630.545807</v>
      </c>
      <c r="L81" s="601">
        <f t="shared" si="41"/>
        <v>51271872186.589928</v>
      </c>
      <c r="M81" s="601">
        <f t="shared" si="41"/>
        <v>54618510120.083374</v>
      </c>
      <c r="O81" s="596"/>
    </row>
    <row r="82" spans="2:15" ht="15">
      <c r="B82" s="889" t="s">
        <v>126</v>
      </c>
      <c r="C82" s="890"/>
      <c r="D82" s="601">
        <f t="shared" ref="D82:M82" si="42">+(D24/125)*D$54</f>
        <v>9433138631.8722363</v>
      </c>
      <c r="E82" s="601">
        <f t="shared" si="42"/>
        <v>10499083297.2738</v>
      </c>
      <c r="F82" s="601">
        <f t="shared" si="42"/>
        <v>11530869175.578234</v>
      </c>
      <c r="G82" s="601">
        <f t="shared" si="42"/>
        <v>12679186943.499105</v>
      </c>
      <c r="H82" s="601">
        <f t="shared" si="42"/>
        <v>13958502978.624615</v>
      </c>
      <c r="I82" s="601">
        <f t="shared" si="42"/>
        <v>14799117469.431255</v>
      </c>
      <c r="J82" s="601">
        <f t="shared" si="42"/>
        <v>15709039664.602697</v>
      </c>
      <c r="K82" s="601">
        <f t="shared" si="42"/>
        <v>16694740993.684265</v>
      </c>
      <c r="L82" s="601">
        <f t="shared" si="42"/>
        <v>17763369624.682281</v>
      </c>
      <c r="M82" s="601">
        <f t="shared" si="42"/>
        <v>18922827317.12394</v>
      </c>
      <c r="O82" s="596"/>
    </row>
    <row r="83" spans="2:15" ht="15">
      <c r="B83" s="889" t="s">
        <v>127</v>
      </c>
      <c r="C83" s="890"/>
      <c r="D83" s="601">
        <f t="shared" ref="D83:M83" si="43">+(D25/125)*D$54</f>
        <v>5194139116.3763046</v>
      </c>
      <c r="E83" s="601">
        <f t="shared" si="43"/>
        <v>5781076836.5268269</v>
      </c>
      <c r="F83" s="601">
        <f t="shared" si="43"/>
        <v>6349205812.4032335</v>
      </c>
      <c r="G83" s="601">
        <f t="shared" si="43"/>
        <v>6981500371.9504757</v>
      </c>
      <c r="H83" s="601">
        <f t="shared" si="43"/>
        <v>7685926090.6398249</v>
      </c>
      <c r="I83" s="601">
        <f t="shared" si="43"/>
        <v>8148790973.5685015</v>
      </c>
      <c r="J83" s="601">
        <f t="shared" si="43"/>
        <v>8649818537.2714348</v>
      </c>
      <c r="K83" s="601">
        <f t="shared" si="43"/>
        <v>9192572124.4124031</v>
      </c>
      <c r="L83" s="601">
        <f t="shared" si="43"/>
        <v>9780987708.0011272</v>
      </c>
      <c r="M83" s="601">
        <f t="shared" si="43"/>
        <v>10419416208.74917</v>
      </c>
      <c r="O83" s="596"/>
    </row>
    <row r="84" spans="2:15" ht="15">
      <c r="B84" s="889" t="s">
        <v>128</v>
      </c>
      <c r="C84" s="890"/>
      <c r="D84" s="601">
        <f t="shared" ref="D84:M84" si="44">+(D26/125)*D$54</f>
        <v>10169133258.46315</v>
      </c>
      <c r="E84" s="601">
        <f t="shared" si="44"/>
        <v>11318245316.669487</v>
      </c>
      <c r="F84" s="601">
        <f t="shared" si="44"/>
        <v>12430533442.620176</v>
      </c>
      <c r="G84" s="601">
        <f t="shared" si="44"/>
        <v>13668445537.497406</v>
      </c>
      <c r="H84" s="601">
        <f t="shared" si="44"/>
        <v>15047576678.10463</v>
      </c>
      <c r="I84" s="601">
        <f t="shared" si="44"/>
        <v>15953777796.269611</v>
      </c>
      <c r="J84" s="601">
        <f t="shared" si="44"/>
        <v>16934694161.292347</v>
      </c>
      <c r="K84" s="601">
        <f t="shared" si="44"/>
        <v>17997302118.161236</v>
      </c>
      <c r="L84" s="601">
        <f t="shared" si="44"/>
        <v>19149307550.977722</v>
      </c>
      <c r="M84" s="601">
        <f t="shared" si="44"/>
        <v>20399228732.264252</v>
      </c>
      <c r="O84" s="596"/>
    </row>
    <row r="85" spans="2:15" ht="15">
      <c r="B85" s="889" t="s">
        <v>129</v>
      </c>
      <c r="C85" s="890"/>
      <c r="D85" s="601">
        <f t="shared" ref="D85:M85" si="45">+(D27/125)*D$54</f>
        <v>3756976702.751874</v>
      </c>
      <c r="E85" s="601">
        <f t="shared" si="45"/>
        <v>4181515070.1628356</v>
      </c>
      <c r="F85" s="601">
        <f t="shared" si="45"/>
        <v>4592448870.4910488</v>
      </c>
      <c r="G85" s="601">
        <f t="shared" si="45"/>
        <v>5049794327.7981339</v>
      </c>
      <c r="H85" s="601">
        <f t="shared" si="45"/>
        <v>5559313028.5181618</v>
      </c>
      <c r="I85" s="601">
        <f t="shared" si="45"/>
        <v>5894108177.9592524</v>
      </c>
      <c r="J85" s="601">
        <f t="shared" si="45"/>
        <v>6256506804.9682398</v>
      </c>
      <c r="K85" s="601">
        <f t="shared" si="45"/>
        <v>6649086313.6291876</v>
      </c>
      <c r="L85" s="601">
        <f t="shared" si="45"/>
        <v>7074693635.5642357</v>
      </c>
      <c r="M85" s="601">
        <f t="shared" si="45"/>
        <v>7536475838.5323668</v>
      </c>
      <c r="O85" s="596"/>
    </row>
    <row r="86" spans="2:15" ht="15">
      <c r="B86" s="889" t="s">
        <v>131</v>
      </c>
      <c r="C86" s="890"/>
      <c r="D86" s="601">
        <f t="shared" ref="D86:M86" si="46">+(D28/125)*D$54</f>
        <v>2936369219.2797866</v>
      </c>
      <c r="E86" s="601">
        <f t="shared" si="46"/>
        <v>3268178941.0584021</v>
      </c>
      <c r="F86" s="601">
        <f t="shared" si="46"/>
        <v>3589355636.5544362</v>
      </c>
      <c r="G86" s="601">
        <f t="shared" si="46"/>
        <v>3946806648.2762561</v>
      </c>
      <c r="H86" s="601">
        <f t="shared" si="46"/>
        <v>4345035103.7111387</v>
      </c>
      <c r="I86" s="601">
        <f t="shared" si="46"/>
        <v>4606703527.3835335</v>
      </c>
      <c r="J86" s="601">
        <f t="shared" si="46"/>
        <v>4889946213.6314955</v>
      </c>
      <c r="K86" s="601">
        <f t="shared" si="46"/>
        <v>5196777604.0171804</v>
      </c>
      <c r="L86" s="601">
        <f t="shared" si="46"/>
        <v>5529422796.8166943</v>
      </c>
      <c r="M86" s="601">
        <f t="shared" si="46"/>
        <v>5890341470.0183764</v>
      </c>
      <c r="O86" s="596"/>
    </row>
    <row r="87" spans="2:15" ht="15">
      <c r="B87" s="889" t="s">
        <v>132</v>
      </c>
      <c r="C87" s="890"/>
      <c r="D87" s="601">
        <f t="shared" ref="D87:M87" si="47">+(D29/125)*D$54</f>
        <v>6962593030.0887814</v>
      </c>
      <c r="E87" s="601">
        <f t="shared" si="47"/>
        <v>7749366042.4888144</v>
      </c>
      <c r="F87" s="601">
        <f t="shared" si="47"/>
        <v>8510926478.0106516</v>
      </c>
      <c r="G87" s="601">
        <f t="shared" si="47"/>
        <v>9358499019.7984848</v>
      </c>
      <c r="H87" s="601">
        <f t="shared" si="47"/>
        <v>10302761291.037661</v>
      </c>
      <c r="I87" s="601">
        <f t="shared" si="47"/>
        <v>10923218259.082911</v>
      </c>
      <c r="J87" s="601">
        <f t="shared" si="47"/>
        <v>11594831195.27129</v>
      </c>
      <c r="K87" s="601">
        <f t="shared" si="47"/>
        <v>12322376657.226454</v>
      </c>
      <c r="L87" s="601">
        <f t="shared" si="47"/>
        <v>13111130702.757044</v>
      </c>
      <c r="M87" s="601">
        <f t="shared" si="47"/>
        <v>13966925615.046469</v>
      </c>
      <c r="O87" s="596"/>
    </row>
    <row r="88" spans="2:15" ht="15">
      <c r="B88" s="889" t="s">
        <v>133</v>
      </c>
      <c r="C88" s="890"/>
      <c r="D88" s="601">
        <f t="shared" ref="D88:M88" si="48">+(D30/125)*D$54</f>
        <v>23936134943.50071</v>
      </c>
      <c r="E88" s="601">
        <f t="shared" si="48"/>
        <v>26640918192.116287</v>
      </c>
      <c r="F88" s="601">
        <f t="shared" si="48"/>
        <v>29259025163.686543</v>
      </c>
      <c r="G88" s="601">
        <f t="shared" si="48"/>
        <v>32172826192.551319</v>
      </c>
      <c r="H88" s="601">
        <f t="shared" si="48"/>
        <v>35419029015.086418</v>
      </c>
      <c r="I88" s="601">
        <f t="shared" si="48"/>
        <v>37552047798.402702</v>
      </c>
      <c r="J88" s="601">
        <f t="shared" si="48"/>
        <v>39860931543.429054</v>
      </c>
      <c r="K88" s="601">
        <f t="shared" si="48"/>
        <v>42362101190.948769</v>
      </c>
      <c r="L88" s="601">
        <f t="shared" si="48"/>
        <v>45073694872.995644</v>
      </c>
      <c r="M88" s="601">
        <f t="shared" si="48"/>
        <v>48015762923.791908</v>
      </c>
      <c r="O88" s="596"/>
    </row>
    <row r="89" spans="2:15" ht="15">
      <c r="B89" s="891" t="s">
        <v>88</v>
      </c>
      <c r="C89" s="892"/>
      <c r="D89" s="611">
        <f>SUM(D76:D88)</f>
        <v>179999999999.99997</v>
      </c>
      <c r="E89" s="611">
        <f t="shared" ref="E89:H89" si="49">SUM(E76:E88)</f>
        <v>200340000000</v>
      </c>
      <c r="F89" s="611">
        <f t="shared" si="49"/>
        <v>220028193436.20074</v>
      </c>
      <c r="G89" s="611">
        <f t="shared" si="49"/>
        <v>241940009459.7009</v>
      </c>
      <c r="H89" s="611">
        <f t="shared" si="49"/>
        <v>266351490654.78723</v>
      </c>
      <c r="I89" s="611">
        <f t="shared" ref="I89:M89" si="50">SUM(I76:I88)</f>
        <v>282391815540.28772</v>
      </c>
      <c r="J89" s="611">
        <f t="shared" si="50"/>
        <v>299754646886.5235</v>
      </c>
      <c r="K89" s="611">
        <f t="shared" si="50"/>
        <v>318563470350.13751</v>
      </c>
      <c r="L89" s="611">
        <f t="shared" si="50"/>
        <v>338954684885.00397</v>
      </c>
      <c r="M89" s="611">
        <f t="shared" si="50"/>
        <v>361079069226.64227</v>
      </c>
      <c r="O89" s="596"/>
    </row>
    <row r="90" spans="2:15" ht="15">
      <c r="O90" s="596"/>
    </row>
    <row r="91" spans="2:15" ht="15">
      <c r="O91" s="596"/>
    </row>
    <row r="92" spans="2:15" ht="15">
      <c r="B92" s="895" t="s">
        <v>2868</v>
      </c>
      <c r="C92" s="896"/>
      <c r="D92" s="896"/>
      <c r="E92" s="896"/>
      <c r="F92" s="896"/>
      <c r="G92" s="896"/>
      <c r="H92" s="896"/>
      <c r="I92" s="896"/>
      <c r="J92" s="896"/>
      <c r="K92" s="896"/>
      <c r="L92" s="896"/>
      <c r="M92" s="896"/>
      <c r="O92" s="596"/>
    </row>
    <row r="93" spans="2:15" ht="15">
      <c r="O93" s="596"/>
    </row>
    <row r="94" spans="2:15" ht="15">
      <c r="B94" s="893" t="s">
        <v>118</v>
      </c>
      <c r="C94" s="894"/>
      <c r="D94" s="56" t="s">
        <v>226</v>
      </c>
      <c r="E94" s="56" t="s">
        <v>227</v>
      </c>
      <c r="F94" s="56" t="s">
        <v>228</v>
      </c>
      <c r="G94" s="596" t="s">
        <v>229</v>
      </c>
      <c r="H94" s="596" t="s">
        <v>230</v>
      </c>
      <c r="I94" s="596" t="s">
        <v>231</v>
      </c>
      <c r="J94" s="596" t="s">
        <v>232</v>
      </c>
      <c r="K94" s="596" t="s">
        <v>233</v>
      </c>
      <c r="L94" s="596" t="s">
        <v>3010</v>
      </c>
      <c r="M94" s="596" t="s">
        <v>3011</v>
      </c>
      <c r="O94" s="596"/>
    </row>
    <row r="95" spans="2:15" ht="15">
      <c r="B95" s="889" t="s">
        <v>120</v>
      </c>
      <c r="C95" s="890"/>
      <c r="D95" s="601">
        <f>+D57-D76</f>
        <v>1197304093.6488647</v>
      </c>
      <c r="E95" s="601">
        <f t="shared" ref="E95:H95" si="51">+E57-E76</f>
        <v>1565400713.730011</v>
      </c>
      <c r="F95" s="601">
        <f t="shared" si="51"/>
        <v>1719238749.3548813</v>
      </c>
      <c r="G95" s="601">
        <f t="shared" si="51"/>
        <v>1890451549.8056412</v>
      </c>
      <c r="H95" s="601">
        <f t="shared" si="51"/>
        <v>2081196034.6114502</v>
      </c>
      <c r="I95" s="601">
        <f t="shared" ref="I95:M95" si="52">+I57-I76</f>
        <v>2219526606.1797485</v>
      </c>
      <c r="J95" s="601">
        <f t="shared" si="52"/>
        <v>2355993968.2307587</v>
      </c>
      <c r="K95" s="601">
        <f t="shared" si="52"/>
        <v>2503826454.1990814</v>
      </c>
      <c r="L95" s="601">
        <f t="shared" si="52"/>
        <v>2664096124.5713196</v>
      </c>
      <c r="M95" s="601">
        <f t="shared" si="52"/>
        <v>2837988061.1972351</v>
      </c>
      <c r="O95" s="596"/>
    </row>
    <row r="96" spans="2:15" ht="15">
      <c r="B96" s="889" t="s">
        <v>121</v>
      </c>
      <c r="C96" s="890"/>
      <c r="D96" s="601">
        <f t="shared" ref="D96:H107" si="53">+D58-D77</f>
        <v>551601916.69736862</v>
      </c>
      <c r="E96" s="601">
        <f t="shared" si="53"/>
        <v>721185234.95680618</v>
      </c>
      <c r="F96" s="601">
        <f t="shared" si="53"/>
        <v>792058921.73509216</v>
      </c>
      <c r="G96" s="601">
        <f t="shared" si="53"/>
        <v>870937219.56497192</v>
      </c>
      <c r="H96" s="601">
        <f t="shared" si="53"/>
        <v>958813828.33666992</v>
      </c>
      <c r="I96" s="601">
        <f t="shared" ref="I96:M96" si="54">+I58-I77</f>
        <v>1022543175.6425629</v>
      </c>
      <c r="J96" s="601">
        <f t="shared" si="54"/>
        <v>1085414136.2224846</v>
      </c>
      <c r="K96" s="601">
        <f t="shared" si="54"/>
        <v>1153521046.6079178</v>
      </c>
      <c r="L96" s="601">
        <f t="shared" si="54"/>
        <v>1227357808.5756836</v>
      </c>
      <c r="M96" s="601">
        <f t="shared" si="54"/>
        <v>1307470393.2146988</v>
      </c>
      <c r="O96" s="596"/>
    </row>
    <row r="97" spans="2:15" ht="15">
      <c r="B97" s="889" t="s">
        <v>122</v>
      </c>
      <c r="C97" s="890"/>
      <c r="D97" s="601">
        <f t="shared" si="53"/>
        <v>185353826.20591927</v>
      </c>
      <c r="E97" s="601">
        <f t="shared" si="53"/>
        <v>242338611.69811344</v>
      </c>
      <c r="F97" s="601">
        <f t="shared" si="53"/>
        <v>266154172.56550312</v>
      </c>
      <c r="G97" s="601">
        <f t="shared" si="53"/>
        <v>292659508.86838341</v>
      </c>
      <c r="H97" s="601">
        <f t="shared" si="53"/>
        <v>322188531.84088898</v>
      </c>
      <c r="I97" s="601">
        <f t="shared" ref="I97:M97" si="55">+I59-I78</f>
        <v>343603392.82520294</v>
      </c>
      <c r="J97" s="601">
        <f t="shared" si="55"/>
        <v>364729811.6210289</v>
      </c>
      <c r="K97" s="601">
        <f t="shared" si="55"/>
        <v>387615657.46179199</v>
      </c>
      <c r="L97" s="601">
        <f t="shared" si="55"/>
        <v>412426895.2967186</v>
      </c>
      <c r="M97" s="601">
        <f t="shared" si="55"/>
        <v>439346986.83482361</v>
      </c>
      <c r="O97" s="596"/>
    </row>
    <row r="98" spans="2:15" ht="15">
      <c r="B98" s="889" t="s">
        <v>123</v>
      </c>
      <c r="C98" s="890"/>
      <c r="D98" s="601">
        <f t="shared" si="53"/>
        <v>474966000.34810448</v>
      </c>
      <c r="E98" s="601">
        <f t="shared" si="53"/>
        <v>620988535.73323059</v>
      </c>
      <c r="F98" s="601">
        <f t="shared" si="53"/>
        <v>682015501.95654297</v>
      </c>
      <c r="G98" s="601">
        <f t="shared" si="53"/>
        <v>749934971.59659958</v>
      </c>
      <c r="H98" s="601">
        <f t="shared" si="53"/>
        <v>825602586.46340942</v>
      </c>
      <c r="I98" s="601">
        <f t="shared" ref="I98:M98" si="56">+I60-I79</f>
        <v>880477800.4146347</v>
      </c>
      <c r="J98" s="601">
        <f t="shared" si="56"/>
        <v>934613886.20541763</v>
      </c>
      <c r="K98" s="601">
        <f t="shared" si="56"/>
        <v>993258473.62004852</v>
      </c>
      <c r="L98" s="601">
        <f t="shared" si="56"/>
        <v>1056836844.9942055</v>
      </c>
      <c r="M98" s="601">
        <f t="shared" si="56"/>
        <v>1125819117.810379</v>
      </c>
      <c r="O98" s="596"/>
    </row>
    <row r="99" spans="2:15" ht="15">
      <c r="B99" s="889" t="s">
        <v>124</v>
      </c>
      <c r="C99" s="890"/>
      <c r="D99" s="601">
        <f t="shared" si="53"/>
        <v>136586573.78324986</v>
      </c>
      <c r="E99" s="601">
        <f t="shared" si="53"/>
        <v>178578459.07352543</v>
      </c>
      <c r="F99" s="601">
        <f t="shared" si="53"/>
        <v>196128060.97917747</v>
      </c>
      <c r="G99" s="601">
        <f t="shared" si="53"/>
        <v>215659748.81475163</v>
      </c>
      <c r="H99" s="601">
        <f t="shared" si="53"/>
        <v>237419580.5783577</v>
      </c>
      <c r="I99" s="601">
        <f t="shared" ref="I99:M99" si="57">+I61-I80</f>
        <v>253200115.29816532</v>
      </c>
      <c r="J99" s="601">
        <f t="shared" si="57"/>
        <v>268768097.99751568</v>
      </c>
      <c r="K99" s="601">
        <f t="shared" si="57"/>
        <v>285632596.21428585</v>
      </c>
      <c r="L99" s="601">
        <f t="shared" si="57"/>
        <v>303915908.92793465</v>
      </c>
      <c r="M99" s="601">
        <f t="shared" si="57"/>
        <v>323753228.41782951</v>
      </c>
      <c r="O99" s="596"/>
    </row>
    <row r="100" spans="2:15" ht="15">
      <c r="B100" s="889" t="s">
        <v>125</v>
      </c>
      <c r="C100" s="890"/>
      <c r="D100" s="601">
        <f t="shared" si="53"/>
        <v>766911931.23411942</v>
      </c>
      <c r="E100" s="601">
        <f t="shared" si="53"/>
        <v>1002689701.7141762</v>
      </c>
      <c r="F100" s="601">
        <f t="shared" si="53"/>
        <v>1101227930.7440147</v>
      </c>
      <c r="G100" s="601">
        <f t="shared" si="53"/>
        <v>1210895257.6513672</v>
      </c>
      <c r="H100" s="601">
        <f t="shared" si="53"/>
        <v>1333073259.0385284</v>
      </c>
      <c r="I100" s="601">
        <f t="shared" ref="I100:M100" si="58">+I62-I81</f>
        <v>1421678456.6261063</v>
      </c>
      <c r="J100" s="601">
        <f t="shared" si="58"/>
        <v>1509090208.3574524</v>
      </c>
      <c r="K100" s="601">
        <f t="shared" si="58"/>
        <v>1603781688.9215775</v>
      </c>
      <c r="L100" s="601">
        <f t="shared" si="58"/>
        <v>1706439587.6754761</v>
      </c>
      <c r="M100" s="601">
        <f t="shared" si="58"/>
        <v>1817822987.8085327</v>
      </c>
      <c r="O100" s="596"/>
    </row>
    <row r="101" spans="2:15" ht="15">
      <c r="B101" s="889" t="s">
        <v>126</v>
      </c>
      <c r="C101" s="890"/>
      <c r="D101" s="601">
        <f t="shared" si="53"/>
        <v>265700071.46440125</v>
      </c>
      <c r="E101" s="601">
        <f t="shared" si="53"/>
        <v>347386335.44709778</v>
      </c>
      <c r="F101" s="601">
        <f t="shared" si="53"/>
        <v>381525345.97607803</v>
      </c>
      <c r="G101" s="601">
        <f t="shared" si="53"/>
        <v>419520082.28133011</v>
      </c>
      <c r="H101" s="601">
        <f t="shared" si="53"/>
        <v>461849197.76099968</v>
      </c>
      <c r="I101" s="601">
        <f t="shared" ref="I101:M101" si="59">+I63-I82</f>
        <v>492546865.08409309</v>
      </c>
      <c r="J101" s="601">
        <f t="shared" si="59"/>
        <v>522831057.74813652</v>
      </c>
      <c r="K101" s="601">
        <f t="shared" si="59"/>
        <v>555637345.05217361</v>
      </c>
      <c r="L101" s="601">
        <f t="shared" si="59"/>
        <v>591203633.5977211</v>
      </c>
      <c r="M101" s="601">
        <f t="shared" si="59"/>
        <v>629792911.15358734</v>
      </c>
      <c r="O101" s="596"/>
    </row>
    <row r="102" spans="2:15" ht="15">
      <c r="B102" s="889" t="s">
        <v>127</v>
      </c>
      <c r="C102" s="890"/>
      <c r="D102" s="601">
        <f t="shared" si="53"/>
        <v>146301585.11126614</v>
      </c>
      <c r="E102" s="601">
        <f t="shared" si="53"/>
        <v>191280232.78952694</v>
      </c>
      <c r="F102" s="601">
        <f t="shared" si="53"/>
        <v>210078087.55483532</v>
      </c>
      <c r="G102" s="601">
        <f t="shared" si="53"/>
        <v>230999008.33858299</v>
      </c>
      <c r="H102" s="601">
        <f t="shared" si="53"/>
        <v>254306554.53870773</v>
      </c>
      <c r="I102" s="601">
        <f t="shared" ref="I102:M102" si="60">+I64-I83</f>
        <v>271209513.44208431</v>
      </c>
      <c r="J102" s="601">
        <f t="shared" si="60"/>
        <v>287884802.10928535</v>
      </c>
      <c r="K102" s="601">
        <f t="shared" si="60"/>
        <v>305948823.72487259</v>
      </c>
      <c r="L102" s="601">
        <f t="shared" si="60"/>
        <v>325532576.0440197</v>
      </c>
      <c r="M102" s="601">
        <f t="shared" si="60"/>
        <v>346780867.18525124</v>
      </c>
      <c r="O102" s="596"/>
    </row>
    <row r="103" spans="2:15" ht="15">
      <c r="B103" s="889" t="s">
        <v>128</v>
      </c>
      <c r="C103" s="890"/>
      <c r="D103" s="601">
        <f t="shared" si="53"/>
        <v>286430586.78004456</v>
      </c>
      <c r="E103" s="601">
        <f t="shared" si="53"/>
        <v>374490196.23170471</v>
      </c>
      <c r="F103" s="601">
        <f t="shared" si="53"/>
        <v>411292808.90701294</v>
      </c>
      <c r="G103" s="601">
        <f t="shared" si="53"/>
        <v>452251979.72878265</v>
      </c>
      <c r="H103" s="601">
        <f t="shared" si="53"/>
        <v>497883707.70649338</v>
      </c>
      <c r="I103" s="601">
        <f t="shared" ref="I103:M103" si="61">+I65-I84</f>
        <v>530976475.86297417</v>
      </c>
      <c r="J103" s="601">
        <f t="shared" si="61"/>
        <v>563623509.14044189</v>
      </c>
      <c r="K103" s="601">
        <f t="shared" si="61"/>
        <v>598989416.53662491</v>
      </c>
      <c r="L103" s="601">
        <f t="shared" si="61"/>
        <v>637330666.65952301</v>
      </c>
      <c r="M103" s="601">
        <f t="shared" si="61"/>
        <v>678930766.17333603</v>
      </c>
      <c r="O103" s="596"/>
    </row>
    <row r="104" spans="2:15" ht="15">
      <c r="B104" s="889" t="s">
        <v>129</v>
      </c>
      <c r="C104" s="890"/>
      <c r="D104" s="601">
        <f t="shared" si="53"/>
        <v>105821510.46084452</v>
      </c>
      <c r="E104" s="601">
        <f t="shared" si="53"/>
        <v>138355050.21832418</v>
      </c>
      <c r="F104" s="601">
        <f t="shared" si="53"/>
        <v>151951740.80220032</v>
      </c>
      <c r="G104" s="601">
        <f t="shared" si="53"/>
        <v>167084067.87770176</v>
      </c>
      <c r="H104" s="601">
        <f t="shared" si="53"/>
        <v>183942666.79279518</v>
      </c>
      <c r="I104" s="601">
        <f t="shared" ref="I104:M104" si="62">+I66-I85</f>
        <v>196168758.81396103</v>
      </c>
      <c r="J104" s="601">
        <f t="shared" si="62"/>
        <v>208230174.50396729</v>
      </c>
      <c r="K104" s="601">
        <f t="shared" si="62"/>
        <v>221296075.6758852</v>
      </c>
      <c r="L104" s="601">
        <f t="shared" si="62"/>
        <v>235461214.41533852</v>
      </c>
      <c r="M104" s="601">
        <f t="shared" si="62"/>
        <v>250830331.9923439</v>
      </c>
      <c r="O104" s="596"/>
    </row>
    <row r="105" spans="2:15" ht="15">
      <c r="B105" s="889" t="s">
        <v>131</v>
      </c>
      <c r="C105" s="890"/>
      <c r="D105" s="601">
        <f t="shared" si="53"/>
        <v>82707733.009714127</v>
      </c>
      <c r="E105" s="601">
        <f t="shared" si="53"/>
        <v>108135222.26406717</v>
      </c>
      <c r="F105" s="601">
        <f t="shared" si="53"/>
        <v>118762092.45075846</v>
      </c>
      <c r="G105" s="601">
        <f t="shared" si="53"/>
        <v>130589181.8782835</v>
      </c>
      <c r="H105" s="601">
        <f t="shared" si="53"/>
        <v>143765486.88390255</v>
      </c>
      <c r="I105" s="601">
        <f t="shared" ref="I105:M105" si="63">+I67-I86</f>
        <v>153321127.79504681</v>
      </c>
      <c r="J105" s="601">
        <f t="shared" si="63"/>
        <v>162748061.35764599</v>
      </c>
      <c r="K105" s="601">
        <f t="shared" si="63"/>
        <v>172960078.37528515</v>
      </c>
      <c r="L105" s="601">
        <f t="shared" si="63"/>
        <v>184031234.96534061</v>
      </c>
      <c r="M105" s="601">
        <f t="shared" si="63"/>
        <v>196043394.56897831</v>
      </c>
      <c r="O105" s="596"/>
    </row>
    <row r="106" spans="2:15" ht="15">
      <c r="B106" s="889" t="s">
        <v>132</v>
      </c>
      <c r="C106" s="890"/>
      <c r="D106" s="601">
        <f t="shared" si="53"/>
        <v>196113037.01416874</v>
      </c>
      <c r="E106" s="601">
        <f t="shared" si="53"/>
        <v>256405611.35822105</v>
      </c>
      <c r="F106" s="601">
        <f t="shared" si="53"/>
        <v>281603591.16528797</v>
      </c>
      <c r="G106" s="601">
        <f t="shared" si="53"/>
        <v>309647479.47253799</v>
      </c>
      <c r="H106" s="601">
        <f t="shared" si="53"/>
        <v>340890570.01853943</v>
      </c>
      <c r="I106" s="601">
        <f t="shared" ref="I106:M106" si="64">+I68-I87</f>
        <v>363548496.81096268</v>
      </c>
      <c r="J106" s="601">
        <f t="shared" si="64"/>
        <v>385901238.24657822</v>
      </c>
      <c r="K106" s="601">
        <f t="shared" si="64"/>
        <v>410115535.97293472</v>
      </c>
      <c r="L106" s="601">
        <f t="shared" si="64"/>
        <v>436366988.68631363</v>
      </c>
      <c r="M106" s="601">
        <f t="shared" si="64"/>
        <v>464849707.47503662</v>
      </c>
      <c r="O106" s="596"/>
    </row>
    <row r="107" spans="2:15" ht="15">
      <c r="B107" s="889" t="s">
        <v>133</v>
      </c>
      <c r="C107" s="890"/>
      <c r="D107" s="601">
        <f t="shared" si="53"/>
        <v>674201134.24193573</v>
      </c>
      <c r="E107" s="601">
        <f t="shared" si="53"/>
        <v>881476094.78518295</v>
      </c>
      <c r="F107" s="601">
        <f t="shared" si="53"/>
        <v>968102189.74134064</v>
      </c>
      <c r="G107" s="601">
        <f t="shared" si="53"/>
        <v>1064512003.1487885</v>
      </c>
      <c r="H107" s="601">
        <f t="shared" si="53"/>
        <v>1171920094.9515533</v>
      </c>
      <c r="I107" s="601">
        <f t="shared" ref="I107:M107" si="65">+I69-I88</f>
        <v>1249813947.270607</v>
      </c>
      <c r="J107" s="601">
        <f t="shared" si="65"/>
        <v>1326658627.5568008</v>
      </c>
      <c r="K107" s="601">
        <f t="shared" si="65"/>
        <v>1409903001.5185547</v>
      </c>
      <c r="L107" s="601">
        <f t="shared" si="65"/>
        <v>1500150745.698761</v>
      </c>
      <c r="M107" s="601">
        <f t="shared" si="65"/>
        <v>1598069178.8943329</v>
      </c>
      <c r="O107" s="596"/>
    </row>
    <row r="108" spans="2:15" ht="15">
      <c r="B108" s="891" t="s">
        <v>88</v>
      </c>
      <c r="C108" s="892"/>
      <c r="D108" s="611">
        <f>SUM(D95:D107)</f>
        <v>5070000000.0000019</v>
      </c>
      <c r="E108" s="611">
        <f>SUM(E95:E107)</f>
        <v>6628709999.9999866</v>
      </c>
      <c r="F108" s="611">
        <f t="shared" ref="F108:H108" si="66">SUM(F95:F107)</f>
        <v>7280139193.932725</v>
      </c>
      <c r="G108" s="611">
        <f t="shared" si="66"/>
        <v>8005142059.0277224</v>
      </c>
      <c r="H108" s="611">
        <f t="shared" si="66"/>
        <v>8812852099.5222969</v>
      </c>
      <c r="I108" s="611">
        <f t="shared" ref="I108:M108" si="67">SUM(I95:I107)</f>
        <v>9398614732.0661507</v>
      </c>
      <c r="J108" s="611">
        <f t="shared" si="67"/>
        <v>9976487579.297514</v>
      </c>
      <c r="K108" s="611">
        <f t="shared" si="67"/>
        <v>10602486193.881035</v>
      </c>
      <c r="L108" s="611">
        <f t="shared" si="67"/>
        <v>11281150230.108356</v>
      </c>
      <c r="M108" s="611">
        <f t="shared" si="67"/>
        <v>12017497932.726364</v>
      </c>
      <c r="O108" s="596"/>
    </row>
    <row r="109" spans="2:15" ht="15">
      <c r="O109" s="596"/>
    </row>
    <row r="110" spans="2:15" ht="15">
      <c r="O110" s="596"/>
    </row>
    <row r="111" spans="2:15" ht="15">
      <c r="O111" s="596"/>
    </row>
    <row r="112" spans="2:15" ht="15">
      <c r="O112" s="596"/>
    </row>
    <row r="113" spans="15:15" ht="15">
      <c r="O113" s="596"/>
    </row>
    <row r="114" spans="15:15" ht="15">
      <c r="O114" s="596"/>
    </row>
    <row r="115" spans="15:15" ht="15">
      <c r="O115" s="596"/>
    </row>
    <row r="116" spans="15:15" ht="15">
      <c r="O116" s="596"/>
    </row>
    <row r="117" spans="15:15" ht="15">
      <c r="O117" s="596"/>
    </row>
    <row r="118" spans="15:15" ht="15">
      <c r="O118" s="596"/>
    </row>
    <row r="119" spans="15:15" ht="15">
      <c r="O119" s="596"/>
    </row>
    <row r="120" spans="15:15" ht="15">
      <c r="O120" s="596"/>
    </row>
    <row r="121" spans="15:15" ht="15">
      <c r="O121" s="596"/>
    </row>
    <row r="122" spans="15:15" ht="15">
      <c r="O122" s="596"/>
    </row>
    <row r="123" spans="15:15" ht="15">
      <c r="O123" s="596"/>
    </row>
    <row r="124" spans="15:15" ht="15">
      <c r="O124" s="596"/>
    </row>
    <row r="125" spans="15:15" ht="15">
      <c r="O125" s="596"/>
    </row>
    <row r="126" spans="15:15" ht="15">
      <c r="O126" s="596"/>
    </row>
    <row r="127" spans="15:15" ht="15">
      <c r="O127" s="596"/>
    </row>
    <row r="128" spans="15:15" ht="15">
      <c r="O128" s="596"/>
    </row>
    <row r="129" spans="15:15" ht="15">
      <c r="O129" s="596"/>
    </row>
    <row r="130" spans="15:15" ht="15">
      <c r="O130" s="596"/>
    </row>
    <row r="131" spans="15:15" ht="15">
      <c r="O131" s="596"/>
    </row>
    <row r="132" spans="15:15" ht="15">
      <c r="O132" s="596"/>
    </row>
    <row r="133" spans="15:15" ht="15">
      <c r="O133" s="596"/>
    </row>
    <row r="134" spans="15:15" ht="15">
      <c r="O134" s="596"/>
    </row>
    <row r="135" spans="15:15" ht="15">
      <c r="O135" s="596"/>
    </row>
    <row r="136" spans="15:15" ht="15">
      <c r="O136" s="596"/>
    </row>
    <row r="137" spans="15:15" ht="15">
      <c r="O137" s="596"/>
    </row>
    <row r="138" spans="15:15" ht="15">
      <c r="O138" s="596"/>
    </row>
    <row r="139" spans="15:15" ht="15">
      <c r="O139" s="596"/>
    </row>
    <row r="140" spans="15:15" ht="15">
      <c r="O140" s="596"/>
    </row>
    <row r="141" spans="15:15" ht="15">
      <c r="O141" s="596"/>
    </row>
    <row r="142" spans="15:15" ht="15">
      <c r="O142" s="596"/>
    </row>
    <row r="143" spans="15:15" ht="15">
      <c r="O143" s="596"/>
    </row>
    <row r="144" spans="15:15" ht="15">
      <c r="O144" s="596"/>
    </row>
    <row r="145" spans="15:15" ht="15">
      <c r="O145" s="596"/>
    </row>
    <row r="146" spans="15:15" ht="15">
      <c r="O146" s="596"/>
    </row>
    <row r="147" spans="15:15" ht="15">
      <c r="O147" s="596"/>
    </row>
    <row r="148" spans="15:15" ht="15">
      <c r="O148" s="596"/>
    </row>
    <row r="149" spans="15:15" ht="15">
      <c r="O149" s="596"/>
    </row>
    <row r="150" spans="15:15" ht="15">
      <c r="O150" s="596"/>
    </row>
    <row r="151" spans="15:15" ht="15">
      <c r="O151" s="596"/>
    </row>
    <row r="152" spans="15:15" ht="15">
      <c r="O152" s="596"/>
    </row>
    <row r="153" spans="15:15" ht="15">
      <c r="O153" s="596"/>
    </row>
    <row r="154" spans="15:15" ht="15">
      <c r="O154" s="596"/>
    </row>
    <row r="155" spans="15:15" ht="15">
      <c r="O155" s="596"/>
    </row>
    <row r="156" spans="15:15" ht="15">
      <c r="O156" s="596"/>
    </row>
    <row r="157" spans="15:15" ht="15">
      <c r="O157" s="596"/>
    </row>
    <row r="158" spans="15:15" ht="15">
      <c r="O158" s="596"/>
    </row>
    <row r="159" spans="15:15" ht="15">
      <c r="O159" s="596"/>
    </row>
    <row r="160" spans="15:15" ht="15">
      <c r="O160" s="596"/>
    </row>
    <row r="161" spans="15:15" ht="15">
      <c r="O161" s="596"/>
    </row>
    <row r="162" spans="15:15" ht="15">
      <c r="O162" s="596"/>
    </row>
    <row r="163" spans="15:15" ht="15">
      <c r="O163" s="596"/>
    </row>
    <row r="164" spans="15:15" ht="15">
      <c r="O164" s="596"/>
    </row>
    <row r="165" spans="15:15" ht="15">
      <c r="O165" s="596"/>
    </row>
    <row r="166" spans="15:15" ht="15">
      <c r="O166" s="596"/>
    </row>
    <row r="167" spans="15:15" ht="15">
      <c r="O167" s="596"/>
    </row>
    <row r="168" spans="15:15" ht="15">
      <c r="O168" s="596"/>
    </row>
    <row r="169" spans="15:15" ht="15">
      <c r="O169" s="596"/>
    </row>
    <row r="170" spans="15:15" ht="15">
      <c r="O170" s="596"/>
    </row>
    <row r="171" spans="15:15" ht="15">
      <c r="O171" s="596"/>
    </row>
    <row r="172" spans="15:15" ht="15">
      <c r="O172" s="596"/>
    </row>
    <row r="173" spans="15:15" ht="15">
      <c r="O173" s="596"/>
    </row>
    <row r="174" spans="15:15" ht="15">
      <c r="O174" s="596"/>
    </row>
    <row r="175" spans="15:15" ht="15">
      <c r="O175" s="596"/>
    </row>
    <row r="176" spans="15:15" ht="15">
      <c r="O176" s="596"/>
    </row>
    <row r="177" spans="15:15" ht="15">
      <c r="O177" s="596"/>
    </row>
    <row r="178" spans="15:15" ht="15">
      <c r="O178" s="596"/>
    </row>
    <row r="179" spans="15:15" ht="15">
      <c r="O179" s="596"/>
    </row>
    <row r="180" spans="15:15" ht="15">
      <c r="O180" s="596"/>
    </row>
    <row r="181" spans="15:15" ht="15">
      <c r="O181" s="596"/>
    </row>
    <row r="182" spans="15:15" ht="15">
      <c r="O182" s="596"/>
    </row>
    <row r="183" spans="15:15" ht="15">
      <c r="O183" s="596"/>
    </row>
    <row r="184" spans="15:15" ht="15">
      <c r="O184" s="596"/>
    </row>
    <row r="185" spans="15:15" ht="15">
      <c r="O185" s="596"/>
    </row>
    <row r="186" spans="15:15" ht="15">
      <c r="O186" s="596"/>
    </row>
    <row r="187" spans="15:15" ht="15">
      <c r="O187" s="596"/>
    </row>
    <row r="188" spans="15:15" ht="15">
      <c r="O188" s="596"/>
    </row>
    <row r="189" spans="15:15" ht="15">
      <c r="O189" s="596"/>
    </row>
    <row r="190" spans="15:15" ht="15">
      <c r="O190" s="596"/>
    </row>
    <row r="191" spans="15:15" ht="15">
      <c r="O191" s="596"/>
    </row>
    <row r="192" spans="15:15" ht="15">
      <c r="O192" s="596"/>
    </row>
    <row r="193" spans="15:15" ht="15">
      <c r="O193" s="596"/>
    </row>
    <row r="194" spans="15:15" ht="15">
      <c r="O194" s="596"/>
    </row>
    <row r="195" spans="15:15" ht="15">
      <c r="O195" s="596"/>
    </row>
    <row r="196" spans="15:15" ht="15">
      <c r="O196" s="596"/>
    </row>
    <row r="197" spans="15:15" ht="15">
      <c r="O197" s="596"/>
    </row>
    <row r="198" spans="15:15" ht="15">
      <c r="O198" s="596"/>
    </row>
    <row r="199" spans="15:15" ht="15">
      <c r="O199" s="596"/>
    </row>
    <row r="200" spans="15:15" ht="15">
      <c r="O200" s="596"/>
    </row>
    <row r="201" spans="15:15" ht="15">
      <c r="O201" s="596"/>
    </row>
    <row r="202" spans="15:15" ht="15">
      <c r="O202" s="596"/>
    </row>
    <row r="203" spans="15:15" ht="15">
      <c r="O203" s="596"/>
    </row>
    <row r="204" spans="15:15" ht="15">
      <c r="O204" s="596"/>
    </row>
    <row r="205" spans="15:15" ht="15">
      <c r="O205" s="596"/>
    </row>
    <row r="206" spans="15:15" ht="15">
      <c r="O206" s="596"/>
    </row>
    <row r="207" spans="15:15" ht="15">
      <c r="O207" s="596"/>
    </row>
    <row r="208" spans="15:15" ht="15">
      <c r="O208" s="596"/>
    </row>
    <row r="209" spans="15:15" ht="15">
      <c r="O209" s="596"/>
    </row>
    <row r="210" spans="15:15" ht="15">
      <c r="O210" s="596"/>
    </row>
    <row r="211" spans="15:15" ht="15">
      <c r="O211" s="596"/>
    </row>
    <row r="212" spans="15:15" ht="15">
      <c r="O212" s="596"/>
    </row>
    <row r="213" spans="15:15" ht="15">
      <c r="O213" s="596"/>
    </row>
    <row r="214" spans="15:15" ht="15">
      <c r="O214" s="596"/>
    </row>
    <row r="215" spans="15:15" ht="15">
      <c r="O215" s="596"/>
    </row>
    <row r="216" spans="15:15" ht="15">
      <c r="O216" s="596"/>
    </row>
    <row r="217" spans="15:15" ht="15">
      <c r="O217" s="596"/>
    </row>
    <row r="218" spans="15:15" ht="15">
      <c r="O218" s="596"/>
    </row>
    <row r="219" spans="15:15" ht="15">
      <c r="O219" s="596"/>
    </row>
    <row r="220" spans="15:15" ht="15">
      <c r="O220" s="596"/>
    </row>
    <row r="221" spans="15:15" ht="15">
      <c r="O221" s="596"/>
    </row>
    <row r="222" spans="15:15" ht="15">
      <c r="O222" s="596"/>
    </row>
    <row r="223" spans="15:15" ht="15">
      <c r="O223" s="596"/>
    </row>
    <row r="224" spans="15:15" ht="15">
      <c r="O224" s="596"/>
    </row>
    <row r="225" spans="15:15" ht="15">
      <c r="O225" s="596"/>
    </row>
    <row r="226" spans="15:15" ht="15">
      <c r="O226" s="596"/>
    </row>
    <row r="227" spans="15:15" ht="15">
      <c r="O227" s="596"/>
    </row>
    <row r="228" spans="15:15" ht="15">
      <c r="O228" s="596"/>
    </row>
    <row r="229" spans="15:15" ht="15">
      <c r="O229" s="596"/>
    </row>
    <row r="230" spans="15:15" ht="15">
      <c r="O230" s="596"/>
    </row>
    <row r="231" spans="15:15" ht="15">
      <c r="O231" s="596"/>
    </row>
    <row r="232" spans="15:15" ht="15">
      <c r="O232" s="596"/>
    </row>
    <row r="233" spans="15:15" ht="15">
      <c r="O233" s="596"/>
    </row>
    <row r="234" spans="15:15" ht="15">
      <c r="O234" s="596"/>
    </row>
    <row r="235" spans="15:15" ht="15">
      <c r="O235" s="596"/>
    </row>
    <row r="236" spans="15:15" ht="15">
      <c r="O236" s="596"/>
    </row>
    <row r="237" spans="15:15" ht="15">
      <c r="O237" s="596"/>
    </row>
    <row r="238" spans="15:15" ht="15">
      <c r="O238" s="596"/>
    </row>
    <row r="239" spans="15:15" ht="15">
      <c r="O239" s="596"/>
    </row>
    <row r="240" spans="15:15" ht="15">
      <c r="O240" s="596"/>
    </row>
    <row r="241" spans="15:15" ht="15">
      <c r="O241" s="596"/>
    </row>
    <row r="242" spans="15:15" ht="15">
      <c r="O242" s="596"/>
    </row>
    <row r="243" spans="15:15" ht="15">
      <c r="O243" s="596"/>
    </row>
    <row r="244" spans="15:15" ht="15">
      <c r="O244" s="596"/>
    </row>
    <row r="245" spans="15:15" ht="15">
      <c r="O245" s="596"/>
    </row>
    <row r="246" spans="15:15" ht="15">
      <c r="O246" s="596"/>
    </row>
    <row r="247" spans="15:15" ht="15">
      <c r="O247" s="596"/>
    </row>
    <row r="248" spans="15:15" ht="15">
      <c r="O248" s="596"/>
    </row>
    <row r="249" spans="15:15" ht="15">
      <c r="O249" s="596"/>
    </row>
    <row r="250" spans="15:15" ht="15">
      <c r="O250" s="596"/>
    </row>
    <row r="251" spans="15:15" ht="15">
      <c r="O251" s="596"/>
    </row>
    <row r="252" spans="15:15" ht="15">
      <c r="O252" s="596"/>
    </row>
    <row r="253" spans="15:15" ht="15">
      <c r="O253" s="596"/>
    </row>
    <row r="254" spans="15:15" ht="15">
      <c r="O254" s="596"/>
    </row>
    <row r="255" spans="15:15" ht="15">
      <c r="O255" s="596"/>
    </row>
    <row r="256" spans="15:15" ht="15">
      <c r="O256" s="596"/>
    </row>
    <row r="257" spans="15:15" ht="15">
      <c r="O257" s="596"/>
    </row>
    <row r="258" spans="15:15" ht="15">
      <c r="O258" s="596"/>
    </row>
    <row r="259" spans="15:15" ht="15">
      <c r="O259" s="596"/>
    </row>
    <row r="260" spans="15:15" ht="15">
      <c r="O260" s="596"/>
    </row>
    <row r="261" spans="15:15" ht="15">
      <c r="O261" s="596"/>
    </row>
    <row r="262" spans="15:15" ht="15">
      <c r="O262" s="596"/>
    </row>
    <row r="263" spans="15:15" ht="15">
      <c r="O263" s="596"/>
    </row>
    <row r="264" spans="15:15" ht="15">
      <c r="O264" s="596"/>
    </row>
    <row r="265" spans="15:15" ht="15">
      <c r="O265" s="596"/>
    </row>
    <row r="266" spans="15:15" ht="15">
      <c r="O266" s="596"/>
    </row>
    <row r="267" spans="15:15" ht="15">
      <c r="O267" s="596"/>
    </row>
    <row r="268" spans="15:15" ht="15">
      <c r="O268" s="596"/>
    </row>
    <row r="269" spans="15:15" ht="15">
      <c r="O269" s="596"/>
    </row>
    <row r="270" spans="15:15" ht="15">
      <c r="O270" s="596"/>
    </row>
    <row r="271" spans="15:15" ht="15">
      <c r="O271" s="596"/>
    </row>
    <row r="272" spans="15:15" ht="15">
      <c r="O272" s="596"/>
    </row>
    <row r="273" spans="15:15" ht="15">
      <c r="O273" s="596"/>
    </row>
    <row r="274" spans="15:15" ht="15">
      <c r="O274" s="596"/>
    </row>
    <row r="275" spans="15:15" ht="15">
      <c r="O275" s="596"/>
    </row>
    <row r="276" spans="15:15" ht="15">
      <c r="O276" s="596"/>
    </row>
    <row r="277" spans="15:15" ht="15">
      <c r="O277" s="596"/>
    </row>
    <row r="278" spans="15:15" ht="15">
      <c r="O278" s="596"/>
    </row>
    <row r="279" spans="15:15" ht="15">
      <c r="O279" s="596"/>
    </row>
    <row r="280" spans="15:15" ht="15">
      <c r="O280" s="596"/>
    </row>
    <row r="281" spans="15:15" ht="15">
      <c r="O281" s="596"/>
    </row>
    <row r="282" spans="15:15" ht="15">
      <c r="O282" s="596"/>
    </row>
    <row r="283" spans="15:15" ht="15">
      <c r="O283" s="596"/>
    </row>
    <row r="284" spans="15:15" ht="15">
      <c r="O284" s="596"/>
    </row>
    <row r="285" spans="15:15" ht="15">
      <c r="O285" s="596"/>
    </row>
    <row r="286" spans="15:15" ht="15">
      <c r="O286" s="596"/>
    </row>
    <row r="287" spans="15:15" ht="15">
      <c r="O287" s="596"/>
    </row>
    <row r="288" spans="15:15" ht="15">
      <c r="O288" s="596"/>
    </row>
    <row r="289" spans="15:15" ht="15">
      <c r="O289" s="596"/>
    </row>
    <row r="290" spans="15:15" ht="15">
      <c r="O290" s="596"/>
    </row>
    <row r="291" spans="15:15" ht="15">
      <c r="O291" s="596"/>
    </row>
    <row r="292" spans="15:15" ht="15">
      <c r="O292" s="596"/>
    </row>
    <row r="293" spans="15:15" ht="15">
      <c r="O293" s="596"/>
    </row>
    <row r="294" spans="15:15" ht="15">
      <c r="O294" s="596"/>
    </row>
    <row r="295" spans="15:15" ht="15">
      <c r="O295" s="596"/>
    </row>
    <row r="296" spans="15:15" ht="15">
      <c r="O296" s="596"/>
    </row>
    <row r="297" spans="15:15" ht="15">
      <c r="O297" s="596"/>
    </row>
    <row r="298" spans="15:15" ht="15">
      <c r="O298" s="596"/>
    </row>
    <row r="299" spans="15:15" ht="15">
      <c r="O299" s="596"/>
    </row>
    <row r="300" spans="15:15" ht="15">
      <c r="O300" s="596"/>
    </row>
    <row r="301" spans="15:15" ht="15">
      <c r="O301" s="596"/>
    </row>
    <row r="302" spans="15:15" ht="15">
      <c r="O302" s="596"/>
    </row>
    <row r="303" spans="15:15" ht="15">
      <c r="O303" s="596"/>
    </row>
    <row r="304" spans="15:15" ht="15">
      <c r="O304" s="596"/>
    </row>
    <row r="305" spans="15:15" ht="15">
      <c r="O305" s="596"/>
    </row>
    <row r="306" spans="15:15" ht="15">
      <c r="O306" s="596"/>
    </row>
    <row r="307" spans="15:15" ht="15">
      <c r="O307" s="596"/>
    </row>
    <row r="308" spans="15:15" ht="15">
      <c r="O308" s="596"/>
    </row>
    <row r="309" spans="15:15" ht="15">
      <c r="O309" s="596"/>
    </row>
    <row r="310" spans="15:15" ht="15">
      <c r="O310" s="596"/>
    </row>
    <row r="311" spans="15:15" ht="15">
      <c r="O311" s="596"/>
    </row>
    <row r="312" spans="15:15" ht="15">
      <c r="O312" s="596"/>
    </row>
    <row r="313" spans="15:15" ht="15">
      <c r="O313" s="596"/>
    </row>
    <row r="314" spans="15:15" ht="15">
      <c r="O314" s="596"/>
    </row>
  </sheetData>
  <mergeCells count="60">
    <mergeCell ref="B57:C57"/>
    <mergeCell ref="Q4:W4"/>
    <mergeCell ref="B5:C5"/>
    <mergeCell ref="G5:H5"/>
    <mergeCell ref="B7:C7"/>
    <mergeCell ref="B9:C9"/>
    <mergeCell ref="Q29:W29"/>
    <mergeCell ref="B53:C53"/>
    <mergeCell ref="B54:C54"/>
    <mergeCell ref="B56:C56"/>
    <mergeCell ref="B51:M51"/>
    <mergeCell ref="B15:M15"/>
    <mergeCell ref="B11:C11"/>
    <mergeCell ref="B13:C13"/>
    <mergeCell ref="B33:M33"/>
    <mergeCell ref="B69:C69"/>
    <mergeCell ref="B58:C58"/>
    <mergeCell ref="B59:C59"/>
    <mergeCell ref="B60:C60"/>
    <mergeCell ref="B61:C61"/>
    <mergeCell ref="B62:C62"/>
    <mergeCell ref="B63:C63"/>
    <mergeCell ref="B64:C64"/>
    <mergeCell ref="B65:C65"/>
    <mergeCell ref="B66:C66"/>
    <mergeCell ref="B67:C67"/>
    <mergeCell ref="B68:C68"/>
    <mergeCell ref="B84:C84"/>
    <mergeCell ref="B70:C70"/>
    <mergeCell ref="B75:C75"/>
    <mergeCell ref="B76:C76"/>
    <mergeCell ref="B77:C77"/>
    <mergeCell ref="B78:C78"/>
    <mergeCell ref="B79:C79"/>
    <mergeCell ref="B80:C80"/>
    <mergeCell ref="B81:C81"/>
    <mergeCell ref="B82:C82"/>
    <mergeCell ref="B83:C83"/>
    <mergeCell ref="B73:M73"/>
    <mergeCell ref="B99:C99"/>
    <mergeCell ref="B85:C85"/>
    <mergeCell ref="B86:C86"/>
    <mergeCell ref="B87:C87"/>
    <mergeCell ref="B88:C88"/>
    <mergeCell ref="B89:C89"/>
    <mergeCell ref="B94:C94"/>
    <mergeCell ref="B95:C95"/>
    <mergeCell ref="B96:C96"/>
    <mergeCell ref="B97:C97"/>
    <mergeCell ref="B98:C98"/>
    <mergeCell ref="B92:M92"/>
    <mergeCell ref="B106:C106"/>
    <mergeCell ref="B107:C107"/>
    <mergeCell ref="B108:C108"/>
    <mergeCell ref="B100:C100"/>
    <mergeCell ref="B101:C101"/>
    <mergeCell ref="B102:C102"/>
    <mergeCell ref="B103:C103"/>
    <mergeCell ref="B104:C104"/>
    <mergeCell ref="B105:C105"/>
  </mergeCells>
  <phoneticPr fontId="30"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S321"/>
  <sheetViews>
    <sheetView showGridLines="0" topLeftCell="B29" workbookViewId="0">
      <selection activeCell="I36" sqref="I36"/>
    </sheetView>
  </sheetViews>
  <sheetFormatPr baseColWidth="10" defaultRowHeight="12.75"/>
  <cols>
    <col min="1" max="1" width="8.28515625" customWidth="1"/>
    <col min="2" max="2" width="18.7109375" customWidth="1"/>
    <col min="3" max="3" width="19.28515625" customWidth="1"/>
    <col min="4" max="4" width="15.85546875" bestFit="1" customWidth="1"/>
    <col min="5" max="6" width="16.5703125" bestFit="1" customWidth="1"/>
    <col min="7" max="8" width="15.85546875" bestFit="1" customWidth="1"/>
    <col min="9" max="13" width="15.85546875" customWidth="1"/>
    <col min="14" max="14" width="6.85546875" customWidth="1"/>
    <col min="15" max="15" width="2.42578125" customWidth="1"/>
    <col min="16" max="16" width="6.5703125" customWidth="1"/>
    <col min="17" max="17" width="28.85546875" customWidth="1"/>
    <col min="18" max="18" width="17.5703125" customWidth="1"/>
    <col min="19" max="19" width="14.42578125" customWidth="1"/>
  </cols>
  <sheetData>
    <row r="1" spans="2:19" ht="15">
      <c r="O1" s="595"/>
    </row>
    <row r="2" spans="2:19" ht="15">
      <c r="E2" s="14"/>
      <c r="F2" s="118"/>
      <c r="O2" s="596"/>
    </row>
    <row r="3" spans="2:19" ht="15">
      <c r="E3" s="14"/>
      <c r="F3" s="14"/>
      <c r="O3" s="596"/>
    </row>
    <row r="4" spans="2:19" ht="15">
      <c r="O4" s="596"/>
      <c r="Q4" s="895" t="s">
        <v>2869</v>
      </c>
      <c r="R4" s="896"/>
      <c r="S4" s="896"/>
    </row>
    <row r="5" spans="2:19" ht="15">
      <c r="B5" s="897" t="s">
        <v>2870</v>
      </c>
      <c r="C5" s="898"/>
      <c r="D5" s="598">
        <f>+'Flujo de caja detallado'!G4</f>
        <v>6500000</v>
      </c>
      <c r="F5" s="897" t="s">
        <v>2871</v>
      </c>
      <c r="G5" s="898"/>
      <c r="H5" s="598">
        <v>140000</v>
      </c>
      <c r="I5" s="721"/>
      <c r="J5" s="721"/>
      <c r="K5" s="721"/>
      <c r="L5" s="721"/>
      <c r="M5" s="721"/>
      <c r="O5" s="596"/>
    </row>
    <row r="6" spans="2:19" ht="15">
      <c r="B6" s="51"/>
      <c r="C6" s="51"/>
      <c r="O6" s="596"/>
      <c r="Q6" s="56" t="s">
        <v>28</v>
      </c>
      <c r="R6" s="57">
        <v>2021</v>
      </c>
      <c r="S6" s="57" t="s">
        <v>2860</v>
      </c>
    </row>
    <row r="7" spans="2:19" ht="15">
      <c r="B7" s="897" t="s">
        <v>2872</v>
      </c>
      <c r="C7" s="898"/>
      <c r="D7" s="599">
        <v>0</v>
      </c>
      <c r="E7" s="599">
        <f>+'IPC - CAFÉ'!E24</f>
        <v>0.06</v>
      </c>
      <c r="F7" s="599">
        <f>+'IPC - CAFÉ'!F24</f>
        <v>4.5975144331782153E-2</v>
      </c>
      <c r="G7" s="599">
        <f>+'IPC - CAFÉ'!G24</f>
        <v>4.7225144331782154E-2</v>
      </c>
      <c r="H7" s="599">
        <f>+'IPC - CAFÉ'!H24</f>
        <v>4.8475144331782155E-2</v>
      </c>
      <c r="I7" s="744"/>
      <c r="J7" s="744"/>
      <c r="K7" s="744"/>
      <c r="L7" s="744"/>
      <c r="M7" s="744"/>
      <c r="O7" s="596"/>
      <c r="Q7" s="600" t="s">
        <v>29</v>
      </c>
      <c r="R7" s="601">
        <v>67541</v>
      </c>
      <c r="S7" s="21">
        <f>+R7/$R$12</f>
        <v>0.48323304881626111</v>
      </c>
    </row>
    <row r="8" spans="2:19" ht="15">
      <c r="B8" s="51"/>
      <c r="C8" s="51"/>
      <c r="O8" s="596"/>
      <c r="Q8" s="600" t="s">
        <v>45</v>
      </c>
      <c r="R8" s="601">
        <v>19217</v>
      </c>
      <c r="S8" s="21">
        <f t="shared" ref="S8:S12" si="0">+R8/$R$12</f>
        <v>0.13749114610535956</v>
      </c>
    </row>
    <row r="9" spans="2:19" ht="15">
      <c r="O9" s="596"/>
      <c r="Q9" s="600" t="s">
        <v>2873</v>
      </c>
      <c r="R9" s="601">
        <v>30430</v>
      </c>
      <c r="S9" s="21">
        <f t="shared" si="0"/>
        <v>0.21771637487568773</v>
      </c>
    </row>
    <row r="10" spans="2:19" ht="15">
      <c r="B10" s="895" t="s">
        <v>2863</v>
      </c>
      <c r="C10" s="896"/>
      <c r="D10" s="896"/>
      <c r="E10" s="896"/>
      <c r="F10" s="896"/>
      <c r="G10" s="896"/>
      <c r="H10" s="896"/>
      <c r="I10" s="896"/>
      <c r="J10" s="896"/>
      <c r="K10" s="896"/>
      <c r="L10" s="896"/>
      <c r="M10" s="896"/>
      <c r="O10" s="596"/>
      <c r="Q10" s="600" t="s">
        <v>152</v>
      </c>
      <c r="R10" s="601">
        <v>16614</v>
      </c>
      <c r="S10" s="21">
        <f t="shared" si="0"/>
        <v>0.11886756004550365</v>
      </c>
    </row>
    <row r="11" spans="2:19" ht="15">
      <c r="O11" s="596"/>
      <c r="Q11" s="600" t="s">
        <v>48</v>
      </c>
      <c r="R11" s="601">
        <v>5967</v>
      </c>
      <c r="S11" s="21">
        <f t="shared" si="0"/>
        <v>4.2691870157187929E-2</v>
      </c>
    </row>
    <row r="12" spans="2:19" ht="15">
      <c r="B12" s="56" t="s">
        <v>28</v>
      </c>
      <c r="C12" s="56" t="s">
        <v>111</v>
      </c>
      <c r="D12" s="56" t="s">
        <v>226</v>
      </c>
      <c r="E12" s="56" t="s">
        <v>227</v>
      </c>
      <c r="F12" s="56" t="s">
        <v>228</v>
      </c>
      <c r="G12" s="596" t="s">
        <v>229</v>
      </c>
      <c r="H12" s="596" t="s">
        <v>230</v>
      </c>
      <c r="I12" s="56" t="s">
        <v>231</v>
      </c>
      <c r="J12" s="56" t="s">
        <v>232</v>
      </c>
      <c r="K12" s="56" t="s">
        <v>233</v>
      </c>
      <c r="L12" s="596" t="s">
        <v>3010</v>
      </c>
      <c r="M12" s="596" t="s">
        <v>3011</v>
      </c>
      <c r="O12" s="596"/>
      <c r="Q12" s="111" t="s">
        <v>2874</v>
      </c>
      <c r="R12" s="605">
        <f>SUM(R7:R11)</f>
        <v>139769</v>
      </c>
      <c r="S12" s="606">
        <f t="shared" si="0"/>
        <v>1</v>
      </c>
    </row>
    <row r="13" spans="2:19" ht="15">
      <c r="B13" s="600" t="s">
        <v>29</v>
      </c>
      <c r="C13" s="612">
        <v>0.48323304881626111</v>
      </c>
      <c r="D13" s="601">
        <f>+($D$5*(1+$D$7)*C13)</f>
        <v>3141014.8173056971</v>
      </c>
      <c r="E13" s="601">
        <f>+D13*1.05</f>
        <v>3298065.5581709822</v>
      </c>
      <c r="F13" s="601">
        <f t="shared" ref="F13:H13" si="1">+E13*1.05</f>
        <v>3462968.8360795313</v>
      </c>
      <c r="G13" s="601">
        <f t="shared" si="1"/>
        <v>3636117.2778835082</v>
      </c>
      <c r="H13" s="601">
        <f t="shared" si="1"/>
        <v>3817923.141777684</v>
      </c>
      <c r="I13" s="601">
        <f>+H13*1.01</f>
        <v>3856102.373195461</v>
      </c>
      <c r="J13" s="601">
        <f t="shared" ref="J13:M13" si="2">+I13*1.01</f>
        <v>3894663.3969274159</v>
      </c>
      <c r="K13" s="601">
        <f t="shared" si="2"/>
        <v>3933610.0308966902</v>
      </c>
      <c r="L13" s="601">
        <f t="shared" si="2"/>
        <v>3972946.131205657</v>
      </c>
      <c r="M13" s="601">
        <f t="shared" si="2"/>
        <v>4012675.5925177136</v>
      </c>
      <c r="O13" s="596"/>
      <c r="Q13" s="110"/>
      <c r="R13" s="607"/>
      <c r="S13" s="607"/>
    </row>
    <row r="14" spans="2:19" ht="15">
      <c r="B14" s="600" t="s">
        <v>45</v>
      </c>
      <c r="C14" s="612">
        <v>0.13749114610535956</v>
      </c>
      <c r="D14" s="601">
        <f t="shared" ref="D14:D17" si="3">+($D$5*(1+$D$7)*C14)</f>
        <v>893692.44968483713</v>
      </c>
      <c r="E14" s="601">
        <f t="shared" ref="E14:H17" si="4">+D14*1.05</f>
        <v>938377.07216907898</v>
      </c>
      <c r="F14" s="601">
        <f t="shared" si="4"/>
        <v>985295.92577753298</v>
      </c>
      <c r="G14" s="601">
        <f t="shared" si="4"/>
        <v>1034560.7220664097</v>
      </c>
      <c r="H14" s="601">
        <f t="shared" si="4"/>
        <v>1086288.7581697302</v>
      </c>
      <c r="I14" s="601">
        <f t="shared" ref="I14:M17" si="5">+H14*1.01</f>
        <v>1097151.6457514274</v>
      </c>
      <c r="J14" s="601">
        <f t="shared" si="5"/>
        <v>1108123.1622089418</v>
      </c>
      <c r="K14" s="601">
        <f t="shared" si="5"/>
        <v>1119204.3938310312</v>
      </c>
      <c r="L14" s="601">
        <f t="shared" si="5"/>
        <v>1130396.4377693415</v>
      </c>
      <c r="M14" s="601">
        <f t="shared" si="5"/>
        <v>1141700.4021470349</v>
      </c>
      <c r="O14" s="596"/>
      <c r="Q14" s="895" t="s">
        <v>2875</v>
      </c>
      <c r="R14" s="904"/>
      <c r="S14" s="598">
        <f>+R12*50</f>
        <v>6988450</v>
      </c>
    </row>
    <row r="15" spans="2:19" ht="15">
      <c r="B15" s="600" t="s">
        <v>2873</v>
      </c>
      <c r="C15" s="612">
        <v>0.21771637487568773</v>
      </c>
      <c r="D15" s="601">
        <f t="shared" si="3"/>
        <v>1415156.4366919703</v>
      </c>
      <c r="E15" s="601">
        <f t="shared" si="4"/>
        <v>1485914.258526569</v>
      </c>
      <c r="F15" s="601">
        <f t="shared" si="4"/>
        <v>1560209.9714528974</v>
      </c>
      <c r="G15" s="601">
        <f t="shared" si="4"/>
        <v>1638220.4700255424</v>
      </c>
      <c r="H15" s="601">
        <f t="shared" si="4"/>
        <v>1720131.4935268196</v>
      </c>
      <c r="I15" s="601">
        <f t="shared" si="5"/>
        <v>1737332.8084620878</v>
      </c>
      <c r="J15" s="601">
        <f t="shared" si="5"/>
        <v>1754706.1365467086</v>
      </c>
      <c r="K15" s="601">
        <f t="shared" si="5"/>
        <v>1772253.1979121757</v>
      </c>
      <c r="L15" s="601">
        <f t="shared" si="5"/>
        <v>1789975.7298912974</v>
      </c>
      <c r="M15" s="601">
        <f t="shared" si="5"/>
        <v>1807875.4871902105</v>
      </c>
      <c r="O15" s="596"/>
    </row>
    <row r="16" spans="2:19" ht="15">
      <c r="B16" s="600" t="s">
        <v>152</v>
      </c>
      <c r="C16" s="612">
        <v>0.11886756004550365</v>
      </c>
      <c r="D16" s="601">
        <f t="shared" si="3"/>
        <v>772639.14029577374</v>
      </c>
      <c r="E16" s="601">
        <f t="shared" si="4"/>
        <v>811271.0973105625</v>
      </c>
      <c r="F16" s="601">
        <f t="shared" si="4"/>
        <v>851834.65217609063</v>
      </c>
      <c r="G16" s="601">
        <f t="shared" si="4"/>
        <v>894426.38478489523</v>
      </c>
      <c r="H16" s="601">
        <f t="shared" si="4"/>
        <v>939147.70402414002</v>
      </c>
      <c r="I16" s="601">
        <f t="shared" si="5"/>
        <v>948539.18106438138</v>
      </c>
      <c r="J16" s="601">
        <f t="shared" si="5"/>
        <v>958024.57287502522</v>
      </c>
      <c r="K16" s="601">
        <f t="shared" si="5"/>
        <v>967604.81860377546</v>
      </c>
      <c r="L16" s="601">
        <f t="shared" si="5"/>
        <v>977280.86678981327</v>
      </c>
      <c r="M16" s="601">
        <f t="shared" si="5"/>
        <v>987053.67545771145</v>
      </c>
      <c r="O16" s="596"/>
    </row>
    <row r="17" spans="2:18" ht="15">
      <c r="B17" s="600" t="s">
        <v>48</v>
      </c>
      <c r="C17" s="612">
        <v>4.2691870157187929E-2</v>
      </c>
      <c r="D17" s="601">
        <f t="shared" si="3"/>
        <v>277497.15602172154</v>
      </c>
      <c r="E17" s="601">
        <f t="shared" si="4"/>
        <v>291372.01382280764</v>
      </c>
      <c r="F17" s="601">
        <f t="shared" si="4"/>
        <v>305940.61451394804</v>
      </c>
      <c r="G17" s="601">
        <f t="shared" si="4"/>
        <v>321237.64523964544</v>
      </c>
      <c r="H17" s="601">
        <f t="shared" si="4"/>
        <v>337299.52750162774</v>
      </c>
      <c r="I17" s="601">
        <f t="shared" si="5"/>
        <v>340672.52277664404</v>
      </c>
      <c r="J17" s="601">
        <f t="shared" si="5"/>
        <v>344079.24800441047</v>
      </c>
      <c r="K17" s="601">
        <f t="shared" si="5"/>
        <v>347520.0404844546</v>
      </c>
      <c r="L17" s="601">
        <f t="shared" si="5"/>
        <v>350995.24088929914</v>
      </c>
      <c r="M17" s="601">
        <f t="shared" si="5"/>
        <v>354505.19329819211</v>
      </c>
      <c r="O17" s="596"/>
    </row>
    <row r="18" spans="2:18" ht="15">
      <c r="B18" s="111" t="s">
        <v>1</v>
      </c>
      <c r="C18" s="617">
        <f>SUM(C13:C17)</f>
        <v>1</v>
      </c>
      <c r="D18" s="611">
        <f>SUM(D13:D17)</f>
        <v>6500000</v>
      </c>
      <c r="E18" s="611">
        <f t="shared" ref="E18:H18" si="6">SUM(E13:E17)</f>
        <v>6825000.0000000009</v>
      </c>
      <c r="F18" s="611">
        <f t="shared" si="6"/>
        <v>7166250</v>
      </c>
      <c r="G18" s="611">
        <f t="shared" si="6"/>
        <v>7524562.5000000009</v>
      </c>
      <c r="H18" s="611">
        <f t="shared" si="6"/>
        <v>7900790.6250000019</v>
      </c>
      <c r="I18" s="611">
        <f t="shared" ref="I18:M18" si="7">SUM(I13:I17)</f>
        <v>7979798.5312500009</v>
      </c>
      <c r="J18" s="611">
        <f t="shared" si="7"/>
        <v>8059596.516562501</v>
      </c>
      <c r="K18" s="611">
        <f t="shared" si="7"/>
        <v>8140192.4817281263</v>
      </c>
      <c r="L18" s="611">
        <f t="shared" si="7"/>
        <v>8221594.4065454081</v>
      </c>
      <c r="M18" s="611">
        <f t="shared" si="7"/>
        <v>8303810.3506108616</v>
      </c>
      <c r="O18" s="596"/>
    </row>
    <row r="19" spans="2:18" ht="15">
      <c r="O19" s="596"/>
      <c r="R19" s="14"/>
    </row>
    <row r="20" spans="2:18" ht="15">
      <c r="O20" s="596"/>
    </row>
    <row r="21" spans="2:18" ht="15">
      <c r="B21" s="895" t="s">
        <v>2865</v>
      </c>
      <c r="C21" s="896"/>
      <c r="D21" s="896"/>
      <c r="E21" s="896"/>
      <c r="F21" s="896"/>
      <c r="G21" s="896"/>
      <c r="H21" s="896"/>
      <c r="I21" s="896"/>
      <c r="J21" s="896"/>
      <c r="K21" s="896"/>
      <c r="L21" s="896"/>
      <c r="M21" s="896"/>
      <c r="O21" s="596"/>
    </row>
    <row r="22" spans="2:18" ht="15">
      <c r="O22" s="596"/>
    </row>
    <row r="23" spans="2:18" ht="15">
      <c r="B23" s="899" t="s">
        <v>505</v>
      </c>
      <c r="C23" s="899"/>
      <c r="D23" s="56" t="s">
        <v>226</v>
      </c>
      <c r="E23" s="56" t="s">
        <v>227</v>
      </c>
      <c r="F23" s="56" t="s">
        <v>228</v>
      </c>
      <c r="G23" s="56" t="s">
        <v>229</v>
      </c>
      <c r="H23" s="56" t="s">
        <v>230</v>
      </c>
      <c r="I23" s="56" t="s">
        <v>231</v>
      </c>
      <c r="J23" s="56" t="s">
        <v>232</v>
      </c>
      <c r="K23" s="56" t="s">
        <v>233</v>
      </c>
      <c r="L23" s="56" t="s">
        <v>3010</v>
      </c>
      <c r="M23" s="56" t="s">
        <v>3011</v>
      </c>
      <c r="O23" s="596"/>
    </row>
    <row r="24" spans="2:18" ht="15">
      <c r="B24" s="900" t="s">
        <v>2876</v>
      </c>
      <c r="C24" s="900"/>
      <c r="D24" s="16">
        <f>+H5*20</f>
        <v>2800000</v>
      </c>
      <c r="E24" s="16">
        <f>+D24*(1+E7)</f>
        <v>2968000</v>
      </c>
      <c r="F24" s="16">
        <f>+E24*(1+F7)</f>
        <v>3104454.2283767294</v>
      </c>
      <c r="G24" s="16">
        <f>+F24*(1+G7)</f>
        <v>3251062.527383232</v>
      </c>
      <c r="H24" s="16">
        <f>+G24*(1+H7)</f>
        <v>3408658.2526297825</v>
      </c>
      <c r="I24" s="16">
        <f t="shared" ref="I24:M24" si="8">+H24*(1+I7)</f>
        <v>3408658.2526297825</v>
      </c>
      <c r="J24" s="16">
        <f t="shared" si="8"/>
        <v>3408658.2526297825</v>
      </c>
      <c r="K24" s="16">
        <f t="shared" si="8"/>
        <v>3408658.2526297825</v>
      </c>
      <c r="L24" s="16">
        <f t="shared" si="8"/>
        <v>3408658.2526297825</v>
      </c>
      <c r="M24" s="16">
        <f t="shared" si="8"/>
        <v>3408658.2526297825</v>
      </c>
      <c r="O24" s="596"/>
    </row>
    <row r="25" spans="2:18" ht="15">
      <c r="N25" s="15"/>
      <c r="O25" s="596"/>
    </row>
    <row r="26" spans="2:18" ht="15">
      <c r="B26" s="893" t="s">
        <v>28</v>
      </c>
      <c r="C26" s="894"/>
      <c r="D26" s="56" t="s">
        <v>226</v>
      </c>
      <c r="E26" s="56" t="s">
        <v>227</v>
      </c>
      <c r="F26" s="56" t="s">
        <v>228</v>
      </c>
      <c r="G26" s="596" t="s">
        <v>229</v>
      </c>
      <c r="H26" s="596" t="s">
        <v>230</v>
      </c>
      <c r="I26" s="56" t="s">
        <v>231</v>
      </c>
      <c r="J26" s="596" t="s">
        <v>232</v>
      </c>
      <c r="K26" s="596" t="s">
        <v>233</v>
      </c>
      <c r="L26" s="56" t="s">
        <v>3010</v>
      </c>
      <c r="M26" s="596" t="s">
        <v>3011</v>
      </c>
      <c r="O26" s="596"/>
    </row>
    <row r="27" spans="2:18" ht="15">
      <c r="B27" s="902" t="s">
        <v>29</v>
      </c>
      <c r="C27" s="903"/>
      <c r="D27" s="601">
        <f>+(D$24/1000)*D13</f>
        <v>8794841488.4559517</v>
      </c>
      <c r="E27" s="601">
        <f>+(E$24/1000)*E13</f>
        <v>9788658576.6514759</v>
      </c>
      <c r="F27" s="601">
        <f t="shared" ref="F27:H27" si="9">+(F$24/1000)*F13</f>
        <v>10750628245.903942</v>
      </c>
      <c r="G27" s="601">
        <f t="shared" si="9"/>
        <v>11821244627.297796</v>
      </c>
      <c r="H27" s="601">
        <f t="shared" si="9"/>
        <v>13013995225.12673</v>
      </c>
      <c r="I27" s="601">
        <f t="shared" ref="I27:M27" si="10">+(I$24/1000)*I13</f>
        <v>13144135177.377998</v>
      </c>
      <c r="J27" s="601">
        <f t="shared" si="10"/>
        <v>13275576529.151779</v>
      </c>
      <c r="K27" s="601">
        <f t="shared" si="10"/>
        <v>13408332294.443296</v>
      </c>
      <c r="L27" s="601">
        <f t="shared" si="10"/>
        <v>13542415617.38773</v>
      </c>
      <c r="M27" s="601">
        <f t="shared" si="10"/>
        <v>13677839773.561607</v>
      </c>
      <c r="O27" s="596"/>
    </row>
    <row r="28" spans="2:18" ht="15">
      <c r="B28" s="902" t="s">
        <v>45</v>
      </c>
      <c r="C28" s="903" t="s">
        <v>45</v>
      </c>
      <c r="D28" s="601">
        <f t="shared" ref="D28:H31" si="11">+(D$24/1000)*D14</f>
        <v>2502338859.1175442</v>
      </c>
      <c r="E28" s="601">
        <f t="shared" si="11"/>
        <v>2785103150.1978264</v>
      </c>
      <c r="F28" s="601">
        <f t="shared" si="11"/>
        <v>3058806102.9824266</v>
      </c>
      <c r="G28" s="601">
        <f t="shared" si="11"/>
        <v>3363421595.8126431</v>
      </c>
      <c r="H28" s="601">
        <f t="shared" si="11"/>
        <v>3702787140.274209</v>
      </c>
      <c r="I28" s="601">
        <f t="shared" ref="I28:M28" si="12">+(I$24/1000)*I14</f>
        <v>3739815011.6769505</v>
      </c>
      <c r="J28" s="601">
        <f t="shared" si="12"/>
        <v>3777213161.7937202</v>
      </c>
      <c r="K28" s="601">
        <f t="shared" si="12"/>
        <v>3814985293.4116578</v>
      </c>
      <c r="L28" s="601">
        <f t="shared" si="12"/>
        <v>3853135146.3457742</v>
      </c>
      <c r="M28" s="601">
        <f t="shared" si="12"/>
        <v>3891666497.8092318</v>
      </c>
      <c r="O28" s="596"/>
      <c r="Q28" s="108"/>
    </row>
    <row r="29" spans="2:18" ht="15">
      <c r="B29" s="902" t="s">
        <v>2873</v>
      </c>
      <c r="C29" s="903" t="s">
        <v>2873</v>
      </c>
      <c r="D29" s="601">
        <f t="shared" si="11"/>
        <v>3962438022.7375169</v>
      </c>
      <c r="E29" s="601">
        <f t="shared" si="11"/>
        <v>4410193519.3068571</v>
      </c>
      <c r="F29" s="601">
        <f t="shared" si="11"/>
        <v>4843600443.0324841</v>
      </c>
      <c r="G29" s="601">
        <f t="shared" si="11"/>
        <v>5325957181.6921864</v>
      </c>
      <c r="H29" s="601">
        <f t="shared" si="11"/>
        <v>5863340411.0185871</v>
      </c>
      <c r="I29" s="601">
        <f t="shared" ref="I29:M29" si="13">+(I$24/1000)*I15</f>
        <v>5921973815.1287727</v>
      </c>
      <c r="J29" s="601">
        <f t="shared" si="13"/>
        <v>5981193553.2800608</v>
      </c>
      <c r="K29" s="601">
        <f t="shared" si="13"/>
        <v>6041005488.8128605</v>
      </c>
      <c r="L29" s="601">
        <f t="shared" si="13"/>
        <v>6101415543.7009897</v>
      </c>
      <c r="M29" s="601">
        <f t="shared" si="13"/>
        <v>6162429699.1379995</v>
      </c>
      <c r="O29" s="596"/>
    </row>
    <row r="30" spans="2:18" ht="15">
      <c r="B30" s="902" t="s">
        <v>152</v>
      </c>
      <c r="C30" s="903" t="s">
        <v>152</v>
      </c>
      <c r="D30" s="601">
        <f t="shared" si="11"/>
        <v>2163389592.8281665</v>
      </c>
      <c r="E30" s="601">
        <f t="shared" si="11"/>
        <v>2407852616.8177495</v>
      </c>
      <c r="F30" s="601">
        <f t="shared" si="11"/>
        <v>2644481687.8258853</v>
      </c>
      <c r="G30" s="601">
        <f t="shared" si="11"/>
        <v>2907836103.0770288</v>
      </c>
      <c r="H30" s="601">
        <f t="shared" si="11"/>
        <v>3201233571.7601972</v>
      </c>
      <c r="I30" s="601">
        <f t="shared" ref="I30:M30" si="14">+(I$24/1000)*I16</f>
        <v>3233245907.4777989</v>
      </c>
      <c r="J30" s="601">
        <f t="shared" si="14"/>
        <v>3265578366.552577</v>
      </c>
      <c r="K30" s="601">
        <f t="shared" si="14"/>
        <v>3298234150.2181029</v>
      </c>
      <c r="L30" s="601">
        <f t="shared" si="14"/>
        <v>3331216491.720284</v>
      </c>
      <c r="M30" s="601">
        <f t="shared" si="14"/>
        <v>3364528656.6374869</v>
      </c>
      <c r="O30" s="596"/>
    </row>
    <row r="31" spans="2:18" ht="15">
      <c r="B31" s="902" t="s">
        <v>48</v>
      </c>
      <c r="C31" s="903" t="s">
        <v>48</v>
      </c>
      <c r="D31" s="601">
        <f t="shared" si="11"/>
        <v>776992036.86082029</v>
      </c>
      <c r="E31" s="601">
        <f t="shared" si="11"/>
        <v>864792137.02609313</v>
      </c>
      <c r="F31" s="601">
        <f t="shared" si="11"/>
        <v>949778634.36000097</v>
      </c>
      <c r="G31" s="601">
        <f t="shared" si="11"/>
        <v>1044363670.8234397</v>
      </c>
      <c r="H31" s="601">
        <f t="shared" si="11"/>
        <v>1149738818.0265498</v>
      </c>
      <c r="I31" s="601">
        <f t="shared" ref="I31:M31" si="15">+(I$24/1000)*I17</f>
        <v>1161236206.2068152</v>
      </c>
      <c r="J31" s="601">
        <f t="shared" si="15"/>
        <v>1172848568.2688835</v>
      </c>
      <c r="K31" s="601">
        <f t="shared" si="15"/>
        <v>1184577053.9515722</v>
      </c>
      <c r="L31" s="601">
        <f t="shared" si="15"/>
        <v>1196422824.4910879</v>
      </c>
      <c r="M31" s="601">
        <f t="shared" si="15"/>
        <v>1208387052.7359989</v>
      </c>
      <c r="O31" s="596"/>
    </row>
    <row r="32" spans="2:18" ht="15">
      <c r="B32" s="891" t="s">
        <v>88</v>
      </c>
      <c r="C32" s="892"/>
      <c r="D32" s="611">
        <f>SUM(D27:D31)</f>
        <v>18200000000</v>
      </c>
      <c r="E32" s="611">
        <f t="shared" ref="E32:H32" si="16">SUM(E27:E31)</f>
        <v>20256600000</v>
      </c>
      <c r="F32" s="611">
        <f t="shared" si="16"/>
        <v>22247295114.10474</v>
      </c>
      <c r="G32" s="611">
        <f t="shared" si="16"/>
        <v>24462823178.703098</v>
      </c>
      <c r="H32" s="611">
        <f t="shared" si="16"/>
        <v>26931095166.206272</v>
      </c>
      <c r="I32" s="611">
        <f t="shared" ref="I32:M32" si="17">SUM(I27:I31)</f>
        <v>27200406117.868336</v>
      </c>
      <c r="J32" s="611">
        <f t="shared" si="17"/>
        <v>27472410179.04702</v>
      </c>
      <c r="K32" s="611">
        <f t="shared" si="17"/>
        <v>27747134280.83749</v>
      </c>
      <c r="L32" s="611">
        <f t="shared" si="17"/>
        <v>28024605623.645866</v>
      </c>
      <c r="M32" s="611">
        <f t="shared" si="17"/>
        <v>28304851679.882324</v>
      </c>
      <c r="O32" s="596"/>
    </row>
    <row r="33" spans="2:15" ht="15">
      <c r="O33" s="596"/>
    </row>
    <row r="34" spans="2:15" ht="15">
      <c r="O34" s="596"/>
    </row>
    <row r="35" spans="2:15" ht="15">
      <c r="B35" s="895" t="s">
        <v>2867</v>
      </c>
      <c r="C35" s="896"/>
      <c r="D35" s="896"/>
      <c r="E35" s="896"/>
      <c r="F35" s="896"/>
      <c r="G35" s="896"/>
      <c r="H35" s="896"/>
      <c r="I35" s="896"/>
      <c r="J35" s="896"/>
      <c r="K35" s="896"/>
      <c r="L35" s="896"/>
      <c r="M35" s="896"/>
      <c r="O35" s="596"/>
    </row>
    <row r="36" spans="2:15" ht="15">
      <c r="O36" s="596"/>
    </row>
    <row r="37" spans="2:15" ht="15">
      <c r="B37" s="893" t="s">
        <v>28</v>
      </c>
      <c r="C37" s="894"/>
      <c r="D37" s="56" t="s">
        <v>226</v>
      </c>
      <c r="E37" s="56" t="s">
        <v>227</v>
      </c>
      <c r="F37" s="56" t="s">
        <v>228</v>
      </c>
      <c r="G37" s="596" t="s">
        <v>229</v>
      </c>
      <c r="H37" s="596" t="s">
        <v>230</v>
      </c>
      <c r="I37" s="596" t="s">
        <v>231</v>
      </c>
      <c r="J37" s="596" t="s">
        <v>232</v>
      </c>
      <c r="K37" s="596" t="s">
        <v>233</v>
      </c>
      <c r="L37" s="596" t="s">
        <v>3010</v>
      </c>
      <c r="M37" s="596" t="s">
        <v>3011</v>
      </c>
      <c r="O37" s="596"/>
    </row>
    <row r="38" spans="2:15" ht="15">
      <c r="B38" s="902" t="s">
        <v>29</v>
      </c>
      <c r="C38" s="903"/>
      <c r="D38" s="601">
        <f>+D27*0.92</f>
        <v>8091254169.3794756</v>
      </c>
      <c r="E38" s="601">
        <f t="shared" ref="E38:H38" si="18">+E27*0.92</f>
        <v>9005565890.5193577</v>
      </c>
      <c r="F38" s="601">
        <f t="shared" si="18"/>
        <v>9890577986.2316265</v>
      </c>
      <c r="G38" s="601">
        <f t="shared" si="18"/>
        <v>10875545057.113974</v>
      </c>
      <c r="H38" s="601">
        <f t="shared" si="18"/>
        <v>11972875607.116592</v>
      </c>
      <c r="I38" s="601">
        <f t="shared" ref="I38:M38" si="19">+I27*0.92</f>
        <v>12092604363.187759</v>
      </c>
      <c r="J38" s="601">
        <f t="shared" si="19"/>
        <v>12213530406.819637</v>
      </c>
      <c r="K38" s="601">
        <f t="shared" si="19"/>
        <v>12335665710.887833</v>
      </c>
      <c r="L38" s="601">
        <f t="shared" si="19"/>
        <v>12459022367.996712</v>
      </c>
      <c r="M38" s="601">
        <f t="shared" si="19"/>
        <v>12583612591.67668</v>
      </c>
      <c r="O38" s="596"/>
    </row>
    <row r="39" spans="2:15" ht="15">
      <c r="B39" s="902" t="s">
        <v>45</v>
      </c>
      <c r="C39" s="903" t="s">
        <v>45</v>
      </c>
      <c r="D39" s="601">
        <f t="shared" ref="D39:H42" si="20">+D28*0.92</f>
        <v>2302151750.3881407</v>
      </c>
      <c r="E39" s="601">
        <f t="shared" si="20"/>
        <v>2562294898.1820002</v>
      </c>
      <c r="F39" s="601">
        <f t="shared" si="20"/>
        <v>2814101614.7438326</v>
      </c>
      <c r="G39" s="601">
        <f t="shared" si="20"/>
        <v>3094347868.1476316</v>
      </c>
      <c r="H39" s="601">
        <f t="shared" si="20"/>
        <v>3406564169.0522723</v>
      </c>
      <c r="I39" s="601">
        <f t="shared" ref="I39:M39" si="21">+I28*0.92</f>
        <v>3440629810.7427945</v>
      </c>
      <c r="J39" s="601">
        <f t="shared" si="21"/>
        <v>3475036108.8502226</v>
      </c>
      <c r="K39" s="601">
        <f t="shared" si="21"/>
        <v>3509786469.9387255</v>
      </c>
      <c r="L39" s="601">
        <f t="shared" si="21"/>
        <v>3544884334.6381125</v>
      </c>
      <c r="M39" s="601">
        <f t="shared" si="21"/>
        <v>3580333177.9844933</v>
      </c>
      <c r="O39" s="596"/>
    </row>
    <row r="40" spans="2:15" ht="15">
      <c r="B40" s="902" t="s">
        <v>2873</v>
      </c>
      <c r="C40" s="903" t="s">
        <v>2873</v>
      </c>
      <c r="D40" s="601">
        <f t="shared" si="20"/>
        <v>3645442980.9185157</v>
      </c>
      <c r="E40" s="601">
        <f t="shared" si="20"/>
        <v>4057378037.7623086</v>
      </c>
      <c r="F40" s="601">
        <f t="shared" si="20"/>
        <v>4456112407.5898857</v>
      </c>
      <c r="G40" s="601">
        <f t="shared" si="20"/>
        <v>4899880607.1568117</v>
      </c>
      <c r="H40" s="601">
        <f t="shared" si="20"/>
        <v>5394273178.1371002</v>
      </c>
      <c r="I40" s="601">
        <f t="shared" ref="I40:M40" si="22">+I29*0.92</f>
        <v>5448215909.9184713</v>
      </c>
      <c r="J40" s="601">
        <f t="shared" si="22"/>
        <v>5502698069.0176563</v>
      </c>
      <c r="K40" s="601">
        <f t="shared" si="22"/>
        <v>5557725049.7078323</v>
      </c>
      <c r="L40" s="601">
        <f t="shared" si="22"/>
        <v>5613302300.2049112</v>
      </c>
      <c r="M40" s="601">
        <f t="shared" si="22"/>
        <v>5669435323.2069597</v>
      </c>
      <c r="O40" s="596"/>
    </row>
    <row r="41" spans="2:15" ht="15">
      <c r="B41" s="902" t="s">
        <v>152</v>
      </c>
      <c r="C41" s="903" t="s">
        <v>152</v>
      </c>
      <c r="D41" s="601">
        <f t="shared" si="20"/>
        <v>1990318425.4019132</v>
      </c>
      <c r="E41" s="601">
        <f t="shared" si="20"/>
        <v>2215224407.4723296</v>
      </c>
      <c r="F41" s="601">
        <f t="shared" si="20"/>
        <v>2432923152.7998147</v>
      </c>
      <c r="G41" s="601">
        <f t="shared" si="20"/>
        <v>2675209214.8308663</v>
      </c>
      <c r="H41" s="601">
        <f t="shared" si="20"/>
        <v>2945134886.0193815</v>
      </c>
      <c r="I41" s="601">
        <f t="shared" ref="I41:M41" si="23">+I30*0.92</f>
        <v>2974586234.8795753</v>
      </c>
      <c r="J41" s="601">
        <f t="shared" si="23"/>
        <v>3004332097.2283711</v>
      </c>
      <c r="K41" s="601">
        <f t="shared" si="23"/>
        <v>3034375418.200655</v>
      </c>
      <c r="L41" s="601">
        <f t="shared" si="23"/>
        <v>3064719172.3826613</v>
      </c>
      <c r="M41" s="601">
        <f t="shared" si="23"/>
        <v>3095366364.1064882</v>
      </c>
      <c r="O41" s="596"/>
    </row>
    <row r="42" spans="2:15" ht="15">
      <c r="B42" s="902" t="s">
        <v>48</v>
      </c>
      <c r="C42" s="903" t="s">
        <v>48</v>
      </c>
      <c r="D42" s="601">
        <f t="shared" si="20"/>
        <v>714832673.91195476</v>
      </c>
      <c r="E42" s="601">
        <f t="shared" si="20"/>
        <v>795608766.06400573</v>
      </c>
      <c r="F42" s="601">
        <f t="shared" si="20"/>
        <v>873796343.61120093</v>
      </c>
      <c r="G42" s="601">
        <f t="shared" si="20"/>
        <v>960814577.15756464</v>
      </c>
      <c r="H42" s="601">
        <f t="shared" si="20"/>
        <v>1057759712.5844259</v>
      </c>
      <c r="I42" s="601">
        <f t="shared" ref="I42:M42" si="24">+I31*0.92</f>
        <v>1068337309.71027</v>
      </c>
      <c r="J42" s="601">
        <f t="shared" si="24"/>
        <v>1079020682.8073728</v>
      </c>
      <c r="K42" s="601">
        <f t="shared" si="24"/>
        <v>1089810889.6354465</v>
      </c>
      <c r="L42" s="601">
        <f t="shared" si="24"/>
        <v>1100708998.531801</v>
      </c>
      <c r="M42" s="601">
        <f t="shared" si="24"/>
        <v>1111716088.5171189</v>
      </c>
      <c r="O42" s="596"/>
    </row>
    <row r="43" spans="2:15" ht="15">
      <c r="B43" s="891" t="s">
        <v>88</v>
      </c>
      <c r="C43" s="892"/>
      <c r="D43" s="611">
        <f>SUM(D38:D42)</f>
        <v>16744000000</v>
      </c>
      <c r="E43" s="611">
        <f t="shared" ref="E43:H43" si="25">SUM(E38:E42)</f>
        <v>18636072000.000004</v>
      </c>
      <c r="F43" s="611">
        <f t="shared" si="25"/>
        <v>20467511504.976364</v>
      </c>
      <c r="G43" s="611">
        <f t="shared" si="25"/>
        <v>22505797324.406849</v>
      </c>
      <c r="H43" s="611">
        <f t="shared" si="25"/>
        <v>24776607552.909775</v>
      </c>
      <c r="I43" s="611">
        <f t="shared" ref="I43:M43" si="26">SUM(I38:I42)</f>
        <v>25024373628.438869</v>
      </c>
      <c r="J43" s="611">
        <f t="shared" si="26"/>
        <v>25274617364.723259</v>
      </c>
      <c r="K43" s="611">
        <f t="shared" si="26"/>
        <v>25527363538.370491</v>
      </c>
      <c r="L43" s="611">
        <f t="shared" si="26"/>
        <v>25782637173.754196</v>
      </c>
      <c r="M43" s="611">
        <f t="shared" si="26"/>
        <v>26040463545.491741</v>
      </c>
      <c r="O43" s="596"/>
    </row>
    <row r="44" spans="2:15" ht="15">
      <c r="O44" s="596"/>
    </row>
    <row r="45" spans="2:15" ht="15">
      <c r="O45" s="596"/>
    </row>
    <row r="46" spans="2:15" ht="15">
      <c r="B46" s="895" t="s">
        <v>2868</v>
      </c>
      <c r="C46" s="896"/>
      <c r="D46" s="896"/>
      <c r="E46" s="896"/>
      <c r="F46" s="896"/>
      <c r="G46" s="896"/>
      <c r="H46" s="896"/>
      <c r="I46" s="896"/>
      <c r="J46" s="896"/>
      <c r="K46" s="896"/>
      <c r="L46" s="896"/>
      <c r="M46" s="896"/>
      <c r="O46" s="596"/>
    </row>
    <row r="47" spans="2:15" ht="15">
      <c r="O47" s="596"/>
    </row>
    <row r="48" spans="2:15" ht="15">
      <c r="B48" s="893" t="s">
        <v>28</v>
      </c>
      <c r="C48" s="894"/>
      <c r="D48" s="56" t="s">
        <v>226</v>
      </c>
      <c r="E48" s="56" t="s">
        <v>227</v>
      </c>
      <c r="F48" s="56" t="s">
        <v>228</v>
      </c>
      <c r="G48" s="596" t="s">
        <v>229</v>
      </c>
      <c r="H48" s="596" t="s">
        <v>230</v>
      </c>
      <c r="I48" s="596" t="s">
        <v>231</v>
      </c>
      <c r="J48" s="596" t="s">
        <v>232</v>
      </c>
      <c r="K48" s="596" t="s">
        <v>233</v>
      </c>
      <c r="L48" s="596" t="s">
        <v>3010</v>
      </c>
      <c r="M48" s="596" t="s">
        <v>3011</v>
      </c>
      <c r="O48" s="596"/>
    </row>
    <row r="49" spans="2:15" ht="15">
      <c r="B49" s="902" t="s">
        <v>29</v>
      </c>
      <c r="C49" s="903"/>
      <c r="D49" s="601">
        <f>+D27-D38</f>
        <v>703587319.0764761</v>
      </c>
      <c r="E49" s="601">
        <f t="shared" ref="E49:H49" si="27">+E27-E38</f>
        <v>783092686.13211823</v>
      </c>
      <c r="F49" s="601">
        <f t="shared" si="27"/>
        <v>860050259.6723156</v>
      </c>
      <c r="G49" s="601">
        <f t="shared" si="27"/>
        <v>945699570.18382263</v>
      </c>
      <c r="H49" s="601">
        <f t="shared" si="27"/>
        <v>1041119618.0101376</v>
      </c>
      <c r="I49" s="601">
        <f t="shared" ref="I49:M49" si="28">+I27-I38</f>
        <v>1051530814.190239</v>
      </c>
      <c r="J49" s="601">
        <f t="shared" si="28"/>
        <v>1062046122.3321419</v>
      </c>
      <c r="K49" s="601">
        <f t="shared" si="28"/>
        <v>1072666583.5554638</v>
      </c>
      <c r="L49" s="601">
        <f t="shared" si="28"/>
        <v>1083393249.3910179</v>
      </c>
      <c r="M49" s="601">
        <f t="shared" si="28"/>
        <v>1094227181.8849277</v>
      </c>
      <c r="O49" s="596"/>
    </row>
    <row r="50" spans="2:15" ht="15">
      <c r="B50" s="902" t="s">
        <v>45</v>
      </c>
      <c r="C50" s="903" t="s">
        <v>45</v>
      </c>
      <c r="D50" s="601">
        <f t="shared" ref="D50:H53" si="29">+D28-D39</f>
        <v>200187108.7294035</v>
      </c>
      <c r="E50" s="601">
        <f t="shared" si="29"/>
        <v>222808252.01582623</v>
      </c>
      <c r="F50" s="601">
        <f t="shared" si="29"/>
        <v>244704488.23859406</v>
      </c>
      <c r="G50" s="601">
        <f t="shared" si="29"/>
        <v>269073727.66501141</v>
      </c>
      <c r="H50" s="601">
        <f t="shared" si="29"/>
        <v>296222971.2219367</v>
      </c>
      <c r="I50" s="601">
        <f t="shared" ref="I50:M50" si="30">+I28-I39</f>
        <v>299185200.93415594</v>
      </c>
      <c r="J50" s="601">
        <f t="shared" si="30"/>
        <v>302177052.94349766</v>
      </c>
      <c r="K50" s="601">
        <f t="shared" si="30"/>
        <v>305198823.47293234</v>
      </c>
      <c r="L50" s="601">
        <f t="shared" si="30"/>
        <v>308250811.70766163</v>
      </c>
      <c r="M50" s="601">
        <f t="shared" si="30"/>
        <v>311333319.8247385</v>
      </c>
      <c r="O50" s="596"/>
    </row>
    <row r="51" spans="2:15" ht="15">
      <c r="B51" s="902" t="s">
        <v>2873</v>
      </c>
      <c r="C51" s="903" t="s">
        <v>2873</v>
      </c>
      <c r="D51" s="601">
        <f t="shared" si="29"/>
        <v>316995041.8190012</v>
      </c>
      <c r="E51" s="601">
        <f t="shared" si="29"/>
        <v>352815481.54454851</v>
      </c>
      <c r="F51" s="601">
        <f t="shared" si="29"/>
        <v>387488035.44259834</v>
      </c>
      <c r="G51" s="601">
        <f t="shared" si="29"/>
        <v>426076574.53537464</v>
      </c>
      <c r="H51" s="601">
        <f t="shared" si="29"/>
        <v>469067232.88148689</v>
      </c>
      <c r="I51" s="601">
        <f t="shared" ref="I51:M51" si="31">+I29-I40</f>
        <v>473757905.2103014</v>
      </c>
      <c r="J51" s="601">
        <f t="shared" si="31"/>
        <v>478495484.26240444</v>
      </c>
      <c r="K51" s="601">
        <f t="shared" si="31"/>
        <v>483280439.10502815</v>
      </c>
      <c r="L51" s="601">
        <f t="shared" si="31"/>
        <v>488113243.49607849</v>
      </c>
      <c r="M51" s="601">
        <f t="shared" si="31"/>
        <v>492994375.93103981</v>
      </c>
      <c r="O51" s="596"/>
    </row>
    <row r="52" spans="2:15" ht="15">
      <c r="B52" s="902" t="s">
        <v>152</v>
      </c>
      <c r="C52" s="903" t="s">
        <v>152</v>
      </c>
      <c r="D52" s="601">
        <f t="shared" si="29"/>
        <v>173071167.42625332</v>
      </c>
      <c r="E52" s="601">
        <f t="shared" si="29"/>
        <v>192628209.34541988</v>
      </c>
      <c r="F52" s="601">
        <f t="shared" si="29"/>
        <v>211558535.02607059</v>
      </c>
      <c r="G52" s="601">
        <f t="shared" si="29"/>
        <v>232626888.24616241</v>
      </c>
      <c r="H52" s="601">
        <f t="shared" si="29"/>
        <v>256098685.74081564</v>
      </c>
      <c r="I52" s="601">
        <f t="shared" ref="I52:M52" si="32">+I30-I41</f>
        <v>258659672.59822369</v>
      </c>
      <c r="J52" s="601">
        <f t="shared" si="32"/>
        <v>261246269.32420588</v>
      </c>
      <c r="K52" s="601">
        <f t="shared" si="32"/>
        <v>263858732.01744795</v>
      </c>
      <c r="L52" s="601">
        <f t="shared" si="32"/>
        <v>266497319.33762264</v>
      </c>
      <c r="M52" s="601">
        <f t="shared" si="32"/>
        <v>269162292.53099871</v>
      </c>
      <c r="O52" s="596"/>
    </row>
    <row r="53" spans="2:15" ht="15">
      <c r="B53" s="902" t="s">
        <v>48</v>
      </c>
      <c r="C53" s="903" t="s">
        <v>48</v>
      </c>
      <c r="D53" s="601">
        <f t="shared" si="29"/>
        <v>62159362.948865533</v>
      </c>
      <c r="E53" s="601">
        <f t="shared" si="29"/>
        <v>69183370.962087393</v>
      </c>
      <c r="F53" s="601">
        <f t="shared" si="29"/>
        <v>75982290.748800039</v>
      </c>
      <c r="G53" s="601">
        <f t="shared" si="29"/>
        <v>83549093.665875077</v>
      </c>
      <c r="H53" s="601">
        <f t="shared" si="29"/>
        <v>91979105.44212389</v>
      </c>
      <c r="I53" s="601">
        <f t="shared" ref="I53:M53" si="33">+I31-I42</f>
        <v>92898896.496545196</v>
      </c>
      <c r="J53" s="601">
        <f t="shared" si="33"/>
        <v>93827885.461510658</v>
      </c>
      <c r="K53" s="601">
        <f t="shared" si="33"/>
        <v>94766164.316125631</v>
      </c>
      <c r="L53" s="601">
        <f t="shared" si="33"/>
        <v>95713825.959286928</v>
      </c>
      <c r="M53" s="601">
        <f t="shared" si="33"/>
        <v>96670964.218879938</v>
      </c>
      <c r="O53" s="596"/>
    </row>
    <row r="54" spans="2:15" ht="15">
      <c r="B54" s="891" t="s">
        <v>88</v>
      </c>
      <c r="C54" s="892"/>
      <c r="D54" s="611">
        <f>SUM(D49:D53)</f>
        <v>1455999999.9999995</v>
      </c>
      <c r="E54" s="611">
        <f t="shared" ref="E54:H54" si="34">SUM(E49:E53)</f>
        <v>1620528000.0000002</v>
      </c>
      <c r="F54" s="611">
        <f t="shared" si="34"/>
        <v>1779783609.1283786</v>
      </c>
      <c r="G54" s="611">
        <f t="shared" si="34"/>
        <v>1957025854.2962461</v>
      </c>
      <c r="H54" s="611">
        <f t="shared" si="34"/>
        <v>2154487613.2965007</v>
      </c>
      <c r="I54" s="611">
        <f t="shared" ref="I54:M54" si="35">SUM(I49:I53)</f>
        <v>2176032489.4294653</v>
      </c>
      <c r="J54" s="611">
        <f t="shared" si="35"/>
        <v>2197792814.3237605</v>
      </c>
      <c r="K54" s="611">
        <f t="shared" si="35"/>
        <v>2219770742.4669981</v>
      </c>
      <c r="L54" s="611">
        <f t="shared" si="35"/>
        <v>2241968449.8916674</v>
      </c>
      <c r="M54" s="611">
        <f t="shared" si="35"/>
        <v>2264388134.3905849</v>
      </c>
      <c r="O54" s="596"/>
    </row>
    <row r="55" spans="2:15" ht="15">
      <c r="O55" s="596"/>
    </row>
    <row r="56" spans="2:15" ht="15">
      <c r="O56" s="596"/>
    </row>
    <row r="57" spans="2:15" ht="15">
      <c r="O57" s="596"/>
    </row>
    <row r="58" spans="2:15" ht="15">
      <c r="O58" s="596"/>
    </row>
    <row r="59" spans="2:15" ht="15">
      <c r="O59" s="596"/>
    </row>
    <row r="60" spans="2:15" ht="15">
      <c r="O60" s="596"/>
    </row>
    <row r="61" spans="2:15" ht="15">
      <c r="O61" s="596"/>
    </row>
    <row r="62" spans="2:15" ht="15">
      <c r="O62" s="596"/>
    </row>
    <row r="63" spans="2:15" ht="15">
      <c r="O63" s="596"/>
    </row>
    <row r="64" spans="2:15" ht="15">
      <c r="O64" s="596"/>
    </row>
    <row r="65" spans="15:15" ht="15">
      <c r="O65" s="596"/>
    </row>
    <row r="66" spans="15:15" ht="15">
      <c r="O66" s="596"/>
    </row>
    <row r="67" spans="15:15" ht="15">
      <c r="O67" s="596"/>
    </row>
    <row r="68" spans="15:15" ht="15">
      <c r="O68" s="596"/>
    </row>
    <row r="69" spans="15:15" ht="15">
      <c r="O69" s="596"/>
    </row>
    <row r="70" spans="15:15" ht="15">
      <c r="O70" s="596"/>
    </row>
    <row r="71" spans="15:15" ht="15">
      <c r="O71" s="596"/>
    </row>
    <row r="72" spans="15:15" ht="15">
      <c r="O72" s="596"/>
    </row>
    <row r="73" spans="15:15" ht="15">
      <c r="O73" s="596"/>
    </row>
    <row r="74" spans="15:15" ht="15">
      <c r="O74" s="596"/>
    </row>
    <row r="75" spans="15:15" ht="15">
      <c r="O75" s="596"/>
    </row>
    <row r="76" spans="15:15" ht="15">
      <c r="O76" s="596"/>
    </row>
    <row r="77" spans="15:15" ht="15">
      <c r="O77" s="596"/>
    </row>
    <row r="78" spans="15:15" ht="15">
      <c r="O78" s="596"/>
    </row>
    <row r="79" spans="15:15" ht="15">
      <c r="O79" s="596"/>
    </row>
    <row r="80" spans="15:15" ht="15">
      <c r="O80" s="596"/>
    </row>
    <row r="81" spans="15:15" ht="15">
      <c r="O81" s="596"/>
    </row>
    <row r="82" spans="15:15" ht="15">
      <c r="O82" s="596"/>
    </row>
    <row r="83" spans="15:15" ht="15">
      <c r="O83" s="596"/>
    </row>
    <row r="84" spans="15:15" ht="15">
      <c r="O84" s="596"/>
    </row>
    <row r="85" spans="15:15" ht="15">
      <c r="O85" s="596"/>
    </row>
    <row r="86" spans="15:15" ht="15">
      <c r="O86" s="596"/>
    </row>
    <row r="87" spans="15:15" ht="15">
      <c r="O87" s="596"/>
    </row>
    <row r="88" spans="15:15" ht="15">
      <c r="O88" s="596"/>
    </row>
    <row r="89" spans="15:15" ht="15">
      <c r="O89" s="596"/>
    </row>
    <row r="90" spans="15:15" ht="15">
      <c r="O90" s="596"/>
    </row>
    <row r="91" spans="15:15" ht="15">
      <c r="O91" s="596"/>
    </row>
    <row r="92" spans="15:15" ht="15">
      <c r="O92" s="596"/>
    </row>
    <row r="93" spans="15:15" ht="15">
      <c r="O93" s="596"/>
    </row>
    <row r="94" spans="15:15" ht="15">
      <c r="O94" s="596"/>
    </row>
    <row r="95" spans="15:15" ht="15">
      <c r="O95" s="596"/>
    </row>
    <row r="96" spans="15:15" ht="15">
      <c r="O96" s="596"/>
    </row>
    <row r="97" spans="15:15" ht="15">
      <c r="O97" s="596"/>
    </row>
    <row r="98" spans="15:15" ht="15">
      <c r="O98" s="596"/>
    </row>
    <row r="99" spans="15:15" ht="15">
      <c r="O99" s="596"/>
    </row>
    <row r="100" spans="15:15" ht="15">
      <c r="O100" s="596"/>
    </row>
    <row r="101" spans="15:15" ht="15">
      <c r="O101" s="596"/>
    </row>
    <row r="102" spans="15:15" ht="15">
      <c r="O102" s="596"/>
    </row>
    <row r="103" spans="15:15" ht="15">
      <c r="O103" s="596"/>
    </row>
    <row r="104" spans="15:15" ht="15">
      <c r="O104" s="596"/>
    </row>
    <row r="105" spans="15:15" ht="15">
      <c r="O105" s="596"/>
    </row>
    <row r="106" spans="15:15" ht="15">
      <c r="O106" s="596"/>
    </row>
    <row r="107" spans="15:15" ht="15">
      <c r="O107" s="596"/>
    </row>
    <row r="108" spans="15:15" ht="15">
      <c r="O108" s="596"/>
    </row>
    <row r="109" spans="15:15" ht="15">
      <c r="O109" s="596"/>
    </row>
    <row r="110" spans="15:15" ht="15">
      <c r="O110" s="596"/>
    </row>
    <row r="111" spans="15:15" ht="15">
      <c r="O111" s="596"/>
    </row>
    <row r="112" spans="15:15" ht="15">
      <c r="O112" s="596"/>
    </row>
    <row r="113" spans="15:15" ht="15">
      <c r="O113" s="596"/>
    </row>
    <row r="114" spans="15:15" ht="15">
      <c r="O114" s="596"/>
    </row>
    <row r="115" spans="15:15" ht="15">
      <c r="O115" s="596"/>
    </row>
    <row r="116" spans="15:15" ht="15">
      <c r="O116" s="596"/>
    </row>
    <row r="117" spans="15:15" ht="15">
      <c r="O117" s="596"/>
    </row>
    <row r="118" spans="15:15" ht="15">
      <c r="O118" s="596"/>
    </row>
    <row r="119" spans="15:15" ht="15">
      <c r="O119" s="596"/>
    </row>
    <row r="120" spans="15:15" ht="15">
      <c r="O120" s="596"/>
    </row>
    <row r="121" spans="15:15" ht="15">
      <c r="O121" s="596"/>
    </row>
    <row r="122" spans="15:15" ht="15">
      <c r="O122" s="596"/>
    </row>
    <row r="123" spans="15:15" ht="15">
      <c r="O123" s="596"/>
    </row>
    <row r="124" spans="15:15" ht="15">
      <c r="O124" s="596"/>
    </row>
    <row r="125" spans="15:15" ht="15">
      <c r="O125" s="596"/>
    </row>
    <row r="126" spans="15:15" ht="15">
      <c r="O126" s="596"/>
    </row>
    <row r="127" spans="15:15" ht="15">
      <c r="O127" s="596"/>
    </row>
    <row r="128" spans="15:15" ht="15">
      <c r="O128" s="596"/>
    </row>
    <row r="129" spans="15:15" ht="15">
      <c r="O129" s="596"/>
    </row>
    <row r="130" spans="15:15" ht="15">
      <c r="O130" s="596"/>
    </row>
    <row r="131" spans="15:15" ht="15">
      <c r="O131" s="596"/>
    </row>
    <row r="132" spans="15:15" ht="15">
      <c r="O132" s="596"/>
    </row>
    <row r="133" spans="15:15" ht="15">
      <c r="O133" s="596"/>
    </row>
    <row r="134" spans="15:15" ht="15">
      <c r="O134" s="596"/>
    </row>
    <row r="135" spans="15:15" ht="15">
      <c r="O135" s="596"/>
    </row>
    <row r="136" spans="15:15" ht="15">
      <c r="O136" s="596"/>
    </row>
    <row r="137" spans="15:15" ht="15">
      <c r="O137" s="596"/>
    </row>
    <row r="138" spans="15:15" ht="15">
      <c r="O138" s="596"/>
    </row>
    <row r="139" spans="15:15" ht="15">
      <c r="O139" s="596"/>
    </row>
    <row r="140" spans="15:15" ht="15">
      <c r="O140" s="596"/>
    </row>
    <row r="141" spans="15:15" ht="15">
      <c r="O141" s="596"/>
    </row>
    <row r="142" spans="15:15" ht="15">
      <c r="O142" s="596"/>
    </row>
    <row r="143" spans="15:15" ht="15">
      <c r="O143" s="596"/>
    </row>
    <row r="144" spans="15:15" ht="15">
      <c r="O144" s="596"/>
    </row>
    <row r="145" spans="15:15" ht="15">
      <c r="O145" s="596"/>
    </row>
    <row r="146" spans="15:15" ht="15">
      <c r="O146" s="596"/>
    </row>
    <row r="147" spans="15:15" ht="15">
      <c r="O147" s="596"/>
    </row>
    <row r="148" spans="15:15" ht="15">
      <c r="O148" s="596"/>
    </row>
    <row r="149" spans="15:15" ht="15">
      <c r="O149" s="596"/>
    </row>
    <row r="150" spans="15:15" ht="15">
      <c r="O150" s="596"/>
    </row>
    <row r="151" spans="15:15" ht="15">
      <c r="O151" s="596"/>
    </row>
    <row r="152" spans="15:15" ht="15">
      <c r="O152" s="596"/>
    </row>
    <row r="153" spans="15:15" ht="15">
      <c r="O153" s="596"/>
    </row>
    <row r="154" spans="15:15" ht="15">
      <c r="O154" s="596"/>
    </row>
    <row r="155" spans="15:15" ht="15">
      <c r="O155" s="596"/>
    </row>
    <row r="156" spans="15:15" ht="15">
      <c r="O156" s="596"/>
    </row>
    <row r="157" spans="15:15" ht="15">
      <c r="O157" s="596"/>
    </row>
    <row r="158" spans="15:15" ht="15">
      <c r="O158" s="596"/>
    </row>
    <row r="159" spans="15:15" ht="15">
      <c r="O159" s="596"/>
    </row>
    <row r="160" spans="15:15" ht="15">
      <c r="O160" s="596"/>
    </row>
    <row r="161" spans="15:15" ht="15">
      <c r="O161" s="596"/>
    </row>
    <row r="162" spans="15:15" ht="15">
      <c r="O162" s="596"/>
    </row>
    <row r="163" spans="15:15" ht="15">
      <c r="O163" s="596"/>
    </row>
    <row r="164" spans="15:15" ht="15">
      <c r="O164" s="596"/>
    </row>
    <row r="165" spans="15:15" ht="15">
      <c r="O165" s="596"/>
    </row>
    <row r="166" spans="15:15" ht="15">
      <c r="O166" s="596"/>
    </row>
    <row r="167" spans="15:15" ht="15">
      <c r="O167" s="596"/>
    </row>
    <row r="168" spans="15:15" ht="15">
      <c r="O168" s="596"/>
    </row>
    <row r="169" spans="15:15" ht="15">
      <c r="O169" s="596"/>
    </row>
    <row r="170" spans="15:15" ht="15">
      <c r="O170" s="596"/>
    </row>
    <row r="171" spans="15:15" ht="15">
      <c r="O171" s="596"/>
    </row>
    <row r="172" spans="15:15" ht="15">
      <c r="O172" s="596"/>
    </row>
    <row r="173" spans="15:15" ht="15">
      <c r="O173" s="596"/>
    </row>
    <row r="174" spans="15:15" ht="15">
      <c r="O174" s="596"/>
    </row>
    <row r="175" spans="15:15" ht="15">
      <c r="O175" s="596"/>
    </row>
    <row r="176" spans="15:15" ht="15">
      <c r="O176" s="596"/>
    </row>
    <row r="177" spans="15:15" ht="15">
      <c r="O177" s="596"/>
    </row>
    <row r="178" spans="15:15" ht="15">
      <c r="O178" s="596"/>
    </row>
    <row r="179" spans="15:15" ht="15">
      <c r="O179" s="596"/>
    </row>
    <row r="180" spans="15:15" ht="15">
      <c r="O180" s="596"/>
    </row>
    <row r="181" spans="15:15" ht="15">
      <c r="O181" s="596"/>
    </row>
    <row r="182" spans="15:15" ht="15">
      <c r="O182" s="596"/>
    </row>
    <row r="183" spans="15:15" ht="15">
      <c r="O183" s="596"/>
    </row>
    <row r="184" spans="15:15" ht="15">
      <c r="O184" s="596"/>
    </row>
    <row r="185" spans="15:15" ht="15">
      <c r="O185" s="596"/>
    </row>
    <row r="186" spans="15:15" ht="15">
      <c r="O186" s="596"/>
    </row>
    <row r="187" spans="15:15" ht="15">
      <c r="O187" s="596"/>
    </row>
    <row r="188" spans="15:15" ht="15">
      <c r="O188" s="596"/>
    </row>
    <row r="189" spans="15:15" ht="15">
      <c r="O189" s="596"/>
    </row>
    <row r="190" spans="15:15" ht="15">
      <c r="O190" s="596"/>
    </row>
    <row r="191" spans="15:15" ht="15">
      <c r="O191" s="596"/>
    </row>
    <row r="192" spans="15:15" ht="15">
      <c r="O192" s="596"/>
    </row>
    <row r="193" spans="15:15" ht="15">
      <c r="O193" s="596"/>
    </row>
    <row r="194" spans="15:15" ht="15">
      <c r="O194" s="596"/>
    </row>
    <row r="195" spans="15:15" ht="15">
      <c r="O195" s="596"/>
    </row>
    <row r="196" spans="15:15" ht="15">
      <c r="O196" s="596"/>
    </row>
    <row r="197" spans="15:15" ht="15">
      <c r="O197" s="596"/>
    </row>
    <row r="198" spans="15:15" ht="15">
      <c r="O198" s="596"/>
    </row>
    <row r="199" spans="15:15" ht="15">
      <c r="O199" s="596"/>
    </row>
    <row r="200" spans="15:15" ht="15">
      <c r="O200" s="596"/>
    </row>
    <row r="201" spans="15:15" ht="15">
      <c r="O201" s="596"/>
    </row>
    <row r="202" spans="15:15" ht="15">
      <c r="O202" s="596"/>
    </row>
    <row r="203" spans="15:15" ht="15">
      <c r="O203" s="596"/>
    </row>
    <row r="204" spans="15:15" ht="15">
      <c r="O204" s="596"/>
    </row>
    <row r="205" spans="15:15" ht="15">
      <c r="O205" s="596"/>
    </row>
    <row r="206" spans="15:15" ht="15">
      <c r="O206" s="596"/>
    </row>
    <row r="207" spans="15:15" ht="15">
      <c r="O207" s="596"/>
    </row>
    <row r="208" spans="15:15" ht="15">
      <c r="O208" s="596"/>
    </row>
    <row r="209" spans="15:15" ht="15">
      <c r="O209" s="596"/>
    </row>
    <row r="210" spans="15:15" ht="15">
      <c r="O210" s="596"/>
    </row>
    <row r="211" spans="15:15" ht="15">
      <c r="O211" s="596"/>
    </row>
    <row r="212" spans="15:15" ht="15">
      <c r="O212" s="596"/>
    </row>
    <row r="213" spans="15:15" ht="15">
      <c r="O213" s="596"/>
    </row>
    <row r="214" spans="15:15" ht="15">
      <c r="O214" s="596"/>
    </row>
    <row r="215" spans="15:15" ht="15">
      <c r="O215" s="596"/>
    </row>
    <row r="216" spans="15:15" ht="15">
      <c r="O216" s="596"/>
    </row>
    <row r="217" spans="15:15" ht="15">
      <c r="O217" s="596"/>
    </row>
    <row r="218" spans="15:15" ht="15">
      <c r="O218" s="596"/>
    </row>
    <row r="219" spans="15:15" ht="15">
      <c r="O219" s="596"/>
    </row>
    <row r="220" spans="15:15" ht="15">
      <c r="O220" s="596"/>
    </row>
    <row r="221" spans="15:15" ht="15">
      <c r="O221" s="596"/>
    </row>
    <row r="222" spans="15:15" ht="15">
      <c r="O222" s="596"/>
    </row>
    <row r="223" spans="15:15" ht="15">
      <c r="O223" s="596"/>
    </row>
    <row r="224" spans="15:15" ht="15">
      <c r="O224" s="596"/>
    </row>
    <row r="225" spans="15:15" ht="15">
      <c r="O225" s="596"/>
    </row>
    <row r="226" spans="15:15" ht="15">
      <c r="O226" s="596"/>
    </row>
    <row r="227" spans="15:15" ht="15">
      <c r="O227" s="596"/>
    </row>
    <row r="228" spans="15:15" ht="15">
      <c r="O228" s="596"/>
    </row>
    <row r="229" spans="15:15" ht="15">
      <c r="O229" s="596"/>
    </row>
    <row r="230" spans="15:15" ht="15">
      <c r="O230" s="596"/>
    </row>
    <row r="231" spans="15:15" ht="15">
      <c r="O231" s="596"/>
    </row>
    <row r="232" spans="15:15" ht="15">
      <c r="O232" s="596"/>
    </row>
    <row r="233" spans="15:15" ht="15">
      <c r="O233" s="596"/>
    </row>
    <row r="234" spans="15:15" ht="15">
      <c r="O234" s="596"/>
    </row>
    <row r="235" spans="15:15" ht="15">
      <c r="O235" s="596"/>
    </row>
    <row r="236" spans="15:15" ht="15">
      <c r="O236" s="596"/>
    </row>
    <row r="237" spans="15:15" ht="15">
      <c r="O237" s="596"/>
    </row>
    <row r="238" spans="15:15" ht="15">
      <c r="O238" s="596"/>
    </row>
    <row r="239" spans="15:15" ht="15">
      <c r="O239" s="596"/>
    </row>
    <row r="240" spans="15:15" ht="15">
      <c r="O240" s="596"/>
    </row>
    <row r="241" spans="15:15" ht="15">
      <c r="O241" s="596"/>
    </row>
    <row r="242" spans="15:15" ht="15">
      <c r="O242" s="596"/>
    </row>
    <row r="243" spans="15:15" ht="15">
      <c r="O243" s="596"/>
    </row>
    <row r="244" spans="15:15" ht="15">
      <c r="O244" s="596"/>
    </row>
    <row r="245" spans="15:15" ht="15">
      <c r="O245" s="596"/>
    </row>
    <row r="246" spans="15:15" ht="15">
      <c r="O246" s="596"/>
    </row>
    <row r="247" spans="15:15" ht="15">
      <c r="O247" s="596"/>
    </row>
    <row r="248" spans="15:15" ht="15">
      <c r="O248" s="596"/>
    </row>
    <row r="249" spans="15:15" ht="15">
      <c r="O249" s="596"/>
    </row>
    <row r="250" spans="15:15" ht="15">
      <c r="O250" s="596"/>
    </row>
    <row r="251" spans="15:15" ht="15">
      <c r="O251" s="596"/>
    </row>
    <row r="252" spans="15:15" ht="15">
      <c r="O252" s="596"/>
    </row>
    <row r="253" spans="15:15" ht="15">
      <c r="O253" s="596"/>
    </row>
    <row r="254" spans="15:15" ht="15">
      <c r="O254" s="596"/>
    </row>
    <row r="255" spans="15:15" ht="15">
      <c r="O255" s="596"/>
    </row>
    <row r="256" spans="15:15" ht="15">
      <c r="O256" s="596"/>
    </row>
    <row r="257" spans="15:15" ht="15">
      <c r="O257" s="596"/>
    </row>
    <row r="258" spans="15:15" ht="15">
      <c r="O258" s="596"/>
    </row>
    <row r="259" spans="15:15" ht="15">
      <c r="O259" s="596"/>
    </row>
    <row r="260" spans="15:15" ht="15">
      <c r="O260" s="596"/>
    </row>
    <row r="261" spans="15:15" ht="15">
      <c r="O261" s="596"/>
    </row>
    <row r="262" spans="15:15" ht="15">
      <c r="O262" s="596"/>
    </row>
    <row r="263" spans="15:15" ht="15">
      <c r="O263" s="596"/>
    </row>
    <row r="264" spans="15:15" ht="15">
      <c r="O264" s="596"/>
    </row>
    <row r="265" spans="15:15" ht="15">
      <c r="O265" s="596"/>
    </row>
    <row r="266" spans="15:15" ht="15">
      <c r="O266" s="596"/>
    </row>
    <row r="267" spans="15:15" ht="15">
      <c r="O267" s="596"/>
    </row>
    <row r="268" spans="15:15" ht="15">
      <c r="O268" s="596"/>
    </row>
    <row r="269" spans="15:15" ht="15">
      <c r="O269" s="596"/>
    </row>
    <row r="270" spans="15:15" ht="15">
      <c r="O270" s="596"/>
    </row>
    <row r="271" spans="15:15" ht="15">
      <c r="O271" s="596"/>
    </row>
    <row r="272" spans="15:15" ht="15">
      <c r="O272" s="596"/>
    </row>
    <row r="273" spans="15:15" ht="15">
      <c r="O273" s="596"/>
    </row>
    <row r="274" spans="15:15" ht="15">
      <c r="O274" s="596"/>
    </row>
    <row r="275" spans="15:15" ht="15">
      <c r="O275" s="596"/>
    </row>
    <row r="276" spans="15:15" ht="15">
      <c r="O276" s="596"/>
    </row>
    <row r="277" spans="15:15" ht="15">
      <c r="O277" s="596"/>
    </row>
    <row r="278" spans="15:15" ht="15">
      <c r="O278" s="596"/>
    </row>
    <row r="279" spans="15:15" ht="15">
      <c r="O279" s="596"/>
    </row>
    <row r="280" spans="15:15" ht="15">
      <c r="O280" s="596"/>
    </row>
    <row r="281" spans="15:15" ht="15">
      <c r="O281" s="596"/>
    </row>
    <row r="282" spans="15:15" ht="15">
      <c r="O282" s="596"/>
    </row>
    <row r="283" spans="15:15" ht="15">
      <c r="O283" s="596"/>
    </row>
    <row r="284" spans="15:15" ht="15">
      <c r="O284" s="596"/>
    </row>
    <row r="285" spans="15:15" ht="15">
      <c r="O285" s="596"/>
    </row>
    <row r="286" spans="15:15" ht="15">
      <c r="O286" s="596"/>
    </row>
    <row r="287" spans="15:15" ht="15">
      <c r="O287" s="596"/>
    </row>
    <row r="288" spans="15:15" ht="15">
      <c r="O288" s="596"/>
    </row>
    <row r="289" spans="15:15" ht="15">
      <c r="O289" s="596"/>
    </row>
    <row r="290" spans="15:15" ht="15">
      <c r="O290" s="596"/>
    </row>
    <row r="291" spans="15:15" ht="15">
      <c r="O291" s="596"/>
    </row>
    <row r="292" spans="15:15" ht="15">
      <c r="O292" s="596"/>
    </row>
    <row r="293" spans="15:15" ht="15">
      <c r="O293" s="596"/>
    </row>
    <row r="294" spans="15:15" ht="15">
      <c r="O294" s="596"/>
    </row>
    <row r="295" spans="15:15" ht="15">
      <c r="O295" s="596"/>
    </row>
    <row r="296" spans="15:15" ht="15">
      <c r="O296" s="596"/>
    </row>
    <row r="297" spans="15:15" ht="15">
      <c r="O297" s="596"/>
    </row>
    <row r="298" spans="15:15" ht="15">
      <c r="O298" s="596"/>
    </row>
    <row r="299" spans="15:15" ht="15">
      <c r="O299" s="596"/>
    </row>
    <row r="300" spans="15:15" ht="15">
      <c r="O300" s="596"/>
    </row>
    <row r="301" spans="15:15" ht="15">
      <c r="O301" s="596"/>
    </row>
    <row r="302" spans="15:15" ht="15">
      <c r="O302" s="596"/>
    </row>
    <row r="303" spans="15:15" ht="15">
      <c r="O303" s="596"/>
    </row>
    <row r="304" spans="15:15" ht="15">
      <c r="O304" s="596"/>
    </row>
    <row r="305" spans="15:15" ht="15">
      <c r="O305" s="596"/>
    </row>
    <row r="306" spans="15:15" ht="15">
      <c r="O306" s="596"/>
    </row>
    <row r="307" spans="15:15" ht="15">
      <c r="O307" s="596"/>
    </row>
    <row r="308" spans="15:15" ht="15">
      <c r="O308" s="596"/>
    </row>
    <row r="309" spans="15:15" ht="15">
      <c r="O309" s="596"/>
    </row>
    <row r="310" spans="15:15" ht="15">
      <c r="O310" s="596"/>
    </row>
    <row r="311" spans="15:15" ht="15">
      <c r="O311" s="596"/>
    </row>
    <row r="312" spans="15:15" ht="15">
      <c r="O312" s="596"/>
    </row>
    <row r="313" spans="15:15" ht="15">
      <c r="O313" s="596"/>
    </row>
    <row r="314" spans="15:15" ht="15">
      <c r="O314" s="596"/>
    </row>
    <row r="315" spans="15:15" ht="15">
      <c r="O315" s="596"/>
    </row>
    <row r="316" spans="15:15" ht="15">
      <c r="O316" s="596"/>
    </row>
    <row r="317" spans="15:15" ht="15">
      <c r="O317" s="596"/>
    </row>
    <row r="318" spans="15:15" ht="15">
      <c r="O318" s="596"/>
    </row>
    <row r="319" spans="15:15" ht="15">
      <c r="O319" s="596"/>
    </row>
    <row r="320" spans="15:15" ht="15">
      <c r="O320" s="596"/>
    </row>
    <row r="321" spans="15:15" ht="15">
      <c r="O321" s="596"/>
    </row>
  </sheetData>
  <mergeCells count="32">
    <mergeCell ref="B28:C28"/>
    <mergeCell ref="Q4:S4"/>
    <mergeCell ref="B5:C5"/>
    <mergeCell ref="F5:G5"/>
    <mergeCell ref="B7:C7"/>
    <mergeCell ref="Q14:R14"/>
    <mergeCell ref="B23:C23"/>
    <mergeCell ref="B24:C24"/>
    <mergeCell ref="B26:C26"/>
    <mergeCell ref="B27:C27"/>
    <mergeCell ref="B10:M10"/>
    <mergeCell ref="B21:M21"/>
    <mergeCell ref="B46:M46"/>
    <mergeCell ref="B43:C43"/>
    <mergeCell ref="B29:C29"/>
    <mergeCell ref="B30:C30"/>
    <mergeCell ref="B31:C31"/>
    <mergeCell ref="B32:C32"/>
    <mergeCell ref="B37:C37"/>
    <mergeCell ref="B38:C38"/>
    <mergeCell ref="B39:C39"/>
    <mergeCell ref="B40:C40"/>
    <mergeCell ref="B41:C41"/>
    <mergeCell ref="B42:C42"/>
    <mergeCell ref="B35:M35"/>
    <mergeCell ref="B53:C53"/>
    <mergeCell ref="B54:C54"/>
    <mergeCell ref="B48:C48"/>
    <mergeCell ref="B49:C49"/>
    <mergeCell ref="B50:C50"/>
    <mergeCell ref="B51:C51"/>
    <mergeCell ref="B52:C52"/>
  </mergeCells>
  <phoneticPr fontId="30"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M43"/>
  <sheetViews>
    <sheetView showGridLines="0" workbookViewId="0">
      <selection activeCell="E25" sqref="E25"/>
    </sheetView>
  </sheetViews>
  <sheetFormatPr baseColWidth="10" defaultRowHeight="12.75"/>
  <cols>
    <col min="1" max="1" width="5.85546875" customWidth="1"/>
    <col min="2" max="2" width="38" bestFit="1" customWidth="1"/>
    <col min="3" max="3" width="21.28515625" bestFit="1" customWidth="1"/>
    <col min="4" max="10" width="14.85546875" bestFit="1" customWidth="1"/>
    <col min="11" max="11" width="15.140625" bestFit="1" customWidth="1"/>
    <col min="12" max="12" width="14.85546875" bestFit="1" customWidth="1"/>
    <col min="13" max="13" width="10.28515625" bestFit="1" customWidth="1"/>
    <col min="14" max="14" width="3.28515625" customWidth="1"/>
    <col min="15" max="15" width="6.5703125" customWidth="1"/>
    <col min="16" max="16" width="25.140625" bestFit="1" customWidth="1"/>
    <col min="17" max="20" width="10.28515625" bestFit="1" customWidth="1"/>
    <col min="21" max="21" width="11.28515625" bestFit="1" customWidth="1"/>
    <col min="22" max="22" width="6.5703125" bestFit="1" customWidth="1"/>
  </cols>
  <sheetData>
    <row r="3" spans="2:13">
      <c r="I3" s="14"/>
      <c r="J3" s="14"/>
    </row>
    <row r="4" spans="2:13">
      <c r="I4" s="14"/>
      <c r="J4" s="14"/>
      <c r="K4" s="14"/>
    </row>
    <row r="5" spans="2:13" ht="15">
      <c r="B5" s="597" t="s">
        <v>2858</v>
      </c>
      <c r="C5" s="598">
        <v>15000000</v>
      </c>
      <c r="E5" s="897" t="s">
        <v>2859</v>
      </c>
      <c r="F5" s="898"/>
      <c r="G5" s="598">
        <v>1600000</v>
      </c>
      <c r="H5" s="721"/>
      <c r="I5" s="15"/>
      <c r="J5" s="15"/>
      <c r="K5" s="721"/>
      <c r="L5" s="721"/>
    </row>
    <row r="6" spans="2:13">
      <c r="B6" s="51"/>
    </row>
    <row r="7" spans="2:13" ht="15">
      <c r="B7" s="597" t="s">
        <v>2861</v>
      </c>
      <c r="C7" s="599">
        <v>0</v>
      </c>
      <c r="D7" s="599">
        <v>0.06</v>
      </c>
      <c r="E7" s="599">
        <v>0.05</v>
      </c>
      <c r="F7" s="599">
        <v>0.05</v>
      </c>
      <c r="G7" s="599">
        <v>0.05</v>
      </c>
      <c r="H7" s="599">
        <v>0.05</v>
      </c>
      <c r="I7" s="599">
        <v>0.05</v>
      </c>
      <c r="J7" s="599">
        <v>0.05</v>
      </c>
      <c r="K7" s="599">
        <v>0.05</v>
      </c>
      <c r="L7" s="599">
        <v>0.05</v>
      </c>
    </row>
    <row r="8" spans="2:13">
      <c r="B8" s="51"/>
    </row>
    <row r="9" spans="2:13" ht="15">
      <c r="B9" s="597" t="s">
        <v>2862</v>
      </c>
      <c r="C9" s="16">
        <v>50000</v>
      </c>
      <c r="D9" s="16">
        <f>+C9*(1+D7)</f>
        <v>53000</v>
      </c>
      <c r="E9" s="16">
        <f>+D9*(1+E7)</f>
        <v>55650</v>
      </c>
      <c r="F9" s="16">
        <f t="shared" ref="F9:G9" si="0">+E9*(1+F7)</f>
        <v>58432.5</v>
      </c>
      <c r="G9" s="16">
        <f t="shared" si="0"/>
        <v>61354.125</v>
      </c>
      <c r="H9" s="16">
        <f t="shared" ref="H9" si="1">+G9*(1+H7)</f>
        <v>64421.831250000003</v>
      </c>
      <c r="I9" s="16">
        <f t="shared" ref="I9" si="2">+H9*(1+I7)</f>
        <v>67642.922812500008</v>
      </c>
      <c r="J9" s="16">
        <f t="shared" ref="J9" si="3">+I9*(1+J7)</f>
        <v>71025.06895312501</v>
      </c>
      <c r="K9" s="16">
        <f t="shared" ref="K9" si="4">+J9*(1+K7)</f>
        <v>74576.322400781268</v>
      </c>
      <c r="L9" s="16">
        <f t="shared" ref="L9" si="5">+K9*(1+L7)</f>
        <v>78305.138520820328</v>
      </c>
    </row>
    <row r="11" spans="2:13">
      <c r="C11" s="14"/>
      <c r="D11" s="14"/>
      <c r="E11" s="14"/>
      <c r="F11" s="14"/>
      <c r="G11" s="14"/>
      <c r="H11" s="14"/>
      <c r="I11" s="14"/>
      <c r="J11" s="14"/>
      <c r="K11" s="14"/>
      <c r="L11" s="14"/>
    </row>
    <row r="12" spans="2:13" ht="15">
      <c r="B12" s="895" t="s">
        <v>3017</v>
      </c>
      <c r="C12" s="896"/>
      <c r="D12" s="896"/>
      <c r="E12" s="896"/>
      <c r="F12" s="896"/>
      <c r="G12" s="896"/>
      <c r="H12" s="896"/>
      <c r="I12" s="896"/>
      <c r="J12" s="896"/>
      <c r="K12" s="896"/>
      <c r="L12" s="896"/>
    </row>
    <row r="14" spans="2:13" ht="15">
      <c r="B14" s="56" t="s">
        <v>3014</v>
      </c>
      <c r="C14" s="56" t="s">
        <v>226</v>
      </c>
      <c r="D14" s="56" t="s">
        <v>227</v>
      </c>
      <c r="E14" s="56" t="s">
        <v>228</v>
      </c>
      <c r="F14" s="56" t="s">
        <v>229</v>
      </c>
      <c r="G14" s="56" t="s">
        <v>230</v>
      </c>
      <c r="H14" s="56" t="s">
        <v>231</v>
      </c>
      <c r="I14" s="56" t="s">
        <v>232</v>
      </c>
      <c r="J14" s="56" t="s">
        <v>233</v>
      </c>
      <c r="K14" s="56" t="s">
        <v>3010</v>
      </c>
      <c r="L14" s="56" t="s">
        <v>3011</v>
      </c>
    </row>
    <row r="15" spans="2:13">
      <c r="B15" s="600" t="s">
        <v>3012</v>
      </c>
      <c r="C15" s="601">
        <v>333767.40000000002</v>
      </c>
      <c r="D15" s="601">
        <v>333767.40000000002</v>
      </c>
      <c r="E15" s="601">
        <v>333767.40000000002</v>
      </c>
      <c r="F15" s="601">
        <v>333767.40000000002</v>
      </c>
      <c r="G15" s="601">
        <v>333767.40000000002</v>
      </c>
      <c r="H15" s="601">
        <v>333767.40000000002</v>
      </c>
      <c r="I15" s="601">
        <v>333767.40000000002</v>
      </c>
      <c r="J15" s="601">
        <v>333767.40000000002</v>
      </c>
      <c r="K15" s="601">
        <v>333767.40000000002</v>
      </c>
      <c r="L15" s="601">
        <v>333767.40000000002</v>
      </c>
      <c r="M15" s="15"/>
    </row>
    <row r="16" spans="2:13">
      <c r="B16" s="600" t="s">
        <v>3013</v>
      </c>
      <c r="C16" s="601">
        <v>608349</v>
      </c>
      <c r="D16" s="601">
        <v>608349</v>
      </c>
      <c r="E16" s="601">
        <v>608349</v>
      </c>
      <c r="F16" s="601">
        <v>608349</v>
      </c>
      <c r="G16" s="601">
        <v>608349</v>
      </c>
      <c r="H16" s="601">
        <v>608349</v>
      </c>
      <c r="I16" s="601">
        <v>608349</v>
      </c>
      <c r="J16" s="601">
        <v>608349</v>
      </c>
      <c r="K16" s="601">
        <v>608349</v>
      </c>
      <c r="L16" s="601">
        <v>608349</v>
      </c>
      <c r="M16" s="15"/>
    </row>
    <row r="17" spans="2:12">
      <c r="B17" s="725" t="s">
        <v>3018</v>
      </c>
      <c r="C17" s="726">
        <v>1150693.1999999983</v>
      </c>
      <c r="D17" s="726">
        <v>1150693.1999999983</v>
      </c>
      <c r="E17" s="726">
        <v>1150693.1999999983</v>
      </c>
      <c r="F17" s="726">
        <v>1150693.1999999983</v>
      </c>
      <c r="G17" s="726">
        <v>1150693.1999999983</v>
      </c>
      <c r="H17" s="726">
        <v>1150693.1999999983</v>
      </c>
      <c r="I17" s="726">
        <v>1150693.1999999983</v>
      </c>
      <c r="J17" s="726">
        <v>1150693.1999999983</v>
      </c>
      <c r="K17" s="726">
        <v>1150693.1999999983</v>
      </c>
      <c r="L17" s="726">
        <v>1150693.1999999983</v>
      </c>
    </row>
    <row r="19" spans="2:12" ht="15">
      <c r="B19" s="895" t="s">
        <v>3015</v>
      </c>
      <c r="C19" s="896"/>
      <c r="D19" s="896"/>
      <c r="E19" s="896"/>
      <c r="F19" s="896"/>
      <c r="G19" s="896"/>
      <c r="H19" s="896"/>
      <c r="I19" s="896"/>
      <c r="J19" s="896"/>
      <c r="K19" s="896"/>
      <c r="L19" s="896"/>
    </row>
    <row r="21" spans="2:12" ht="15">
      <c r="B21" s="56" t="s">
        <v>3016</v>
      </c>
      <c r="C21" s="56" t="s">
        <v>226</v>
      </c>
      <c r="D21" s="56" t="s">
        <v>227</v>
      </c>
      <c r="E21" s="56" t="s">
        <v>228</v>
      </c>
      <c r="F21" s="56" t="s">
        <v>229</v>
      </c>
      <c r="G21" s="56" t="s">
        <v>230</v>
      </c>
      <c r="H21" s="56" t="s">
        <v>231</v>
      </c>
      <c r="I21" s="56" t="s">
        <v>232</v>
      </c>
      <c r="J21" s="56" t="s">
        <v>233</v>
      </c>
      <c r="K21" s="56" t="s">
        <v>3010</v>
      </c>
      <c r="L21" s="56" t="s">
        <v>3011</v>
      </c>
    </row>
    <row r="22" spans="2:12">
      <c r="B22" s="600" t="s">
        <v>3012</v>
      </c>
      <c r="C22" s="16">
        <v>1330227.7232240599</v>
      </c>
      <c r="D22" s="16">
        <v>1330227.7232240606</v>
      </c>
      <c r="E22" s="16">
        <v>1330227.7232240606</v>
      </c>
      <c r="F22" s="16">
        <v>1330227.7232240606</v>
      </c>
      <c r="G22" s="16">
        <v>1330227.7232240606</v>
      </c>
      <c r="H22" s="16">
        <v>1330227.7232240606</v>
      </c>
      <c r="I22" s="16">
        <v>1330227.7232240606</v>
      </c>
      <c r="J22" s="16">
        <v>1330227.7232240606</v>
      </c>
      <c r="K22" s="16">
        <v>1330227.7232240606</v>
      </c>
      <c r="L22" s="16">
        <v>1330227.7232240606</v>
      </c>
    </row>
    <row r="23" spans="2:12">
      <c r="B23" s="728"/>
      <c r="C23" s="648"/>
      <c r="D23" s="648"/>
      <c r="E23" s="648"/>
      <c r="F23" s="648"/>
      <c r="G23" s="648"/>
      <c r="H23" s="648"/>
      <c r="I23" s="648"/>
      <c r="J23" s="648"/>
      <c r="K23" s="648"/>
      <c r="L23" s="648"/>
    </row>
    <row r="24" spans="2:12" ht="15">
      <c r="B24" s="56" t="s">
        <v>505</v>
      </c>
      <c r="C24" s="56" t="s">
        <v>226</v>
      </c>
      <c r="D24" s="56" t="s">
        <v>227</v>
      </c>
      <c r="E24" s="56" t="s">
        <v>228</v>
      </c>
      <c r="F24" s="56" t="s">
        <v>229</v>
      </c>
      <c r="G24" s="56" t="s">
        <v>230</v>
      </c>
      <c r="H24" s="56" t="s">
        <v>231</v>
      </c>
      <c r="I24" s="56" t="s">
        <v>232</v>
      </c>
      <c r="J24" s="56" t="s">
        <v>233</v>
      </c>
      <c r="K24" s="56" t="s">
        <v>3010</v>
      </c>
      <c r="L24" s="56" t="s">
        <v>3011</v>
      </c>
    </row>
    <row r="25" spans="2:12" ht="15">
      <c r="B25" s="613" t="s">
        <v>2866</v>
      </c>
      <c r="C25" s="16">
        <v>1600000</v>
      </c>
      <c r="D25" s="614">
        <f t="shared" ref="D25:L25" si="6">+C25*(1+D7)</f>
        <v>1696000</v>
      </c>
      <c r="E25" s="614">
        <f t="shared" si="6"/>
        <v>1780800</v>
      </c>
      <c r="F25" s="614">
        <f t="shared" si="6"/>
        <v>1869840</v>
      </c>
      <c r="G25" s="614">
        <f t="shared" si="6"/>
        <v>1963332</v>
      </c>
      <c r="H25" s="614">
        <f t="shared" si="6"/>
        <v>2061498.6</v>
      </c>
      <c r="I25" s="614">
        <f t="shared" si="6"/>
        <v>2164573.5300000003</v>
      </c>
      <c r="J25" s="614">
        <f t="shared" si="6"/>
        <v>2272802.2065000003</v>
      </c>
      <c r="K25" s="614">
        <f t="shared" si="6"/>
        <v>2386442.3168250006</v>
      </c>
      <c r="L25" s="614">
        <f t="shared" si="6"/>
        <v>2505764.4326662505</v>
      </c>
    </row>
    <row r="26" spans="2:12" ht="15">
      <c r="B26" s="724"/>
      <c r="C26" s="648"/>
      <c r="D26" s="723"/>
      <c r="E26" s="723"/>
      <c r="F26" s="723"/>
      <c r="G26" s="723"/>
      <c r="H26" s="723"/>
      <c r="I26" s="723"/>
      <c r="J26" s="723"/>
      <c r="K26" s="723"/>
      <c r="L26" s="723"/>
    </row>
    <row r="27" spans="2:12" ht="15">
      <c r="B27" s="724"/>
      <c r="C27" s="648"/>
      <c r="D27" s="723"/>
      <c r="E27" s="723"/>
      <c r="F27" s="723"/>
      <c r="G27" s="723"/>
      <c r="H27" s="723"/>
      <c r="I27" s="723"/>
      <c r="J27" s="723"/>
      <c r="K27" s="723"/>
      <c r="L27" s="723"/>
    </row>
    <row r="28" spans="2:12" ht="15">
      <c r="B28" s="895" t="s">
        <v>2865</v>
      </c>
      <c r="C28" s="896"/>
      <c r="D28" s="896"/>
      <c r="E28" s="896"/>
      <c r="F28" s="896"/>
      <c r="G28" s="896"/>
      <c r="H28" s="896"/>
      <c r="I28" s="896"/>
      <c r="J28" s="896"/>
      <c r="K28" s="896"/>
      <c r="L28" s="896"/>
    </row>
    <row r="29" spans="2:12" ht="15">
      <c r="B29" s="724"/>
      <c r="C29" s="648"/>
      <c r="D29" s="723"/>
      <c r="E29" s="723"/>
      <c r="F29" s="723"/>
      <c r="G29" s="723"/>
      <c r="H29" s="723"/>
      <c r="I29" s="723"/>
      <c r="J29" s="723"/>
      <c r="K29" s="723"/>
      <c r="L29" s="723"/>
    </row>
    <row r="30" spans="2:12" ht="15">
      <c r="B30" s="56" t="s">
        <v>118</v>
      </c>
      <c r="C30" s="56" t="s">
        <v>226</v>
      </c>
      <c r="D30" s="56" t="s">
        <v>227</v>
      </c>
      <c r="E30" s="56" t="s">
        <v>228</v>
      </c>
      <c r="F30" s="56" t="s">
        <v>229</v>
      </c>
      <c r="G30" s="56" t="s">
        <v>230</v>
      </c>
      <c r="H30" s="56" t="s">
        <v>231</v>
      </c>
      <c r="I30" s="56" t="s">
        <v>232</v>
      </c>
      <c r="J30" s="56" t="s">
        <v>233</v>
      </c>
      <c r="K30" s="56" t="s">
        <v>3010</v>
      </c>
      <c r="L30" s="56" t="s">
        <v>3011</v>
      </c>
    </row>
    <row r="31" spans="2:12">
      <c r="B31" s="729" t="s">
        <v>88</v>
      </c>
      <c r="C31" s="601">
        <f>+(C17/125)*(C$25-387833)+((C22-C17)/125*C25)</f>
        <v>13456700490.583172</v>
      </c>
      <c r="D31" s="601">
        <f t="shared" ref="D31:L31" si="7">+(D17/125)*(D$25-387833)+((D22-D17)/125*D25)</f>
        <v>14478315382.01926</v>
      </c>
      <c r="E31" s="601">
        <f t="shared" si="7"/>
        <v>15380741869.454462</v>
      </c>
      <c r="F31" s="601">
        <f t="shared" si="7"/>
        <v>16328289681.261425</v>
      </c>
      <c r="G31" s="601">
        <f t="shared" si="7"/>
        <v>17323214883.658737</v>
      </c>
      <c r="H31" s="601">
        <f t="shared" si="7"/>
        <v>18367886346.175915</v>
      </c>
      <c r="I31" s="601">
        <f t="shared" si="7"/>
        <v>19464791381.818951</v>
      </c>
      <c r="J31" s="601">
        <f t="shared" si="7"/>
        <v>20616541669.244137</v>
      </c>
      <c r="K31" s="601">
        <f t="shared" si="7"/>
        <v>21825879471.040588</v>
      </c>
      <c r="L31" s="601">
        <f t="shared" si="7"/>
        <v>23095684162.926857</v>
      </c>
    </row>
    <row r="32" spans="2:12">
      <c r="B32" s="727"/>
      <c r="C32" s="722"/>
      <c r="D32" s="722"/>
      <c r="E32" s="722"/>
      <c r="F32" s="722"/>
      <c r="G32" s="722"/>
      <c r="H32" s="722"/>
      <c r="I32" s="722"/>
      <c r="J32" s="722"/>
      <c r="K32" s="722"/>
      <c r="L32" s="722"/>
    </row>
    <row r="34" spans="2:12" ht="15">
      <c r="B34" s="895" t="s">
        <v>2867</v>
      </c>
      <c r="C34" s="896"/>
      <c r="D34" s="896"/>
      <c r="E34" s="896"/>
      <c r="F34" s="896"/>
      <c r="G34" s="896"/>
      <c r="H34" s="896"/>
      <c r="I34" s="896"/>
      <c r="J34" s="896"/>
      <c r="K34" s="896"/>
      <c r="L34" s="896"/>
    </row>
    <row r="36" spans="2:12" ht="15">
      <c r="B36" s="56" t="s">
        <v>505</v>
      </c>
      <c r="C36" s="56" t="s">
        <v>226</v>
      </c>
      <c r="D36" s="56" t="s">
        <v>227</v>
      </c>
      <c r="E36" s="56" t="s">
        <v>228</v>
      </c>
      <c r="F36" s="56" t="s">
        <v>229</v>
      </c>
      <c r="G36" s="56" t="s">
        <v>230</v>
      </c>
      <c r="H36" s="56" t="s">
        <v>231</v>
      </c>
      <c r="I36" s="56" t="s">
        <v>232</v>
      </c>
      <c r="J36" s="56" t="s">
        <v>233</v>
      </c>
      <c r="K36" s="56" t="s">
        <v>3010</v>
      </c>
      <c r="L36" s="56" t="s">
        <v>3011</v>
      </c>
    </row>
    <row r="37" spans="2:12">
      <c r="B37" s="729" t="s">
        <v>88</v>
      </c>
      <c r="C37" s="601">
        <f t="shared" ref="C37:L37" si="8">+(C22/125)*(C$25-250000)</f>
        <v>14366459410.819847</v>
      </c>
      <c r="D37" s="601">
        <f t="shared" si="8"/>
        <v>15388074302.255934</v>
      </c>
      <c r="E37" s="601">
        <f t="shared" si="8"/>
        <v>16290500789.691135</v>
      </c>
      <c r="F37" s="601">
        <f t="shared" si="8"/>
        <v>17238048601.498096</v>
      </c>
      <c r="G37" s="601">
        <f t="shared" si="8"/>
        <v>18232973803.895409</v>
      </c>
      <c r="H37" s="601">
        <f t="shared" si="8"/>
        <v>19277645266.412586</v>
      </c>
      <c r="I37" s="601">
        <f t="shared" si="8"/>
        <v>20374550302.055622</v>
      </c>
      <c r="J37" s="601">
        <f t="shared" si="8"/>
        <v>21526300589.480812</v>
      </c>
      <c r="K37" s="601">
        <f t="shared" si="8"/>
        <v>22735638391.27726</v>
      </c>
      <c r="L37" s="601">
        <f t="shared" si="8"/>
        <v>24005443083.163528</v>
      </c>
    </row>
    <row r="40" spans="2:12" ht="15">
      <c r="B40" s="895" t="s">
        <v>3023</v>
      </c>
      <c r="C40" s="896"/>
      <c r="D40" s="896"/>
      <c r="E40" s="896"/>
      <c r="F40" s="896"/>
      <c r="G40" s="896"/>
      <c r="H40" s="896"/>
      <c r="I40" s="896"/>
      <c r="J40" s="896"/>
      <c r="K40" s="896"/>
      <c r="L40" s="896"/>
    </row>
    <row r="42" spans="2:12" ht="15">
      <c r="B42" s="615" t="s">
        <v>118</v>
      </c>
      <c r="C42" s="56" t="s">
        <v>226</v>
      </c>
      <c r="D42" s="56" t="s">
        <v>227</v>
      </c>
      <c r="E42" s="56" t="s">
        <v>228</v>
      </c>
      <c r="F42" s="596" t="s">
        <v>229</v>
      </c>
      <c r="G42" s="596" t="s">
        <v>230</v>
      </c>
      <c r="H42" s="56" t="s">
        <v>231</v>
      </c>
      <c r="I42" s="56" t="s">
        <v>232</v>
      </c>
      <c r="J42" s="56" t="s">
        <v>233</v>
      </c>
      <c r="K42" s="596" t="s">
        <v>3010</v>
      </c>
      <c r="L42" s="596" t="s">
        <v>3011</v>
      </c>
    </row>
    <row r="43" spans="2:12">
      <c r="B43" s="729" t="s">
        <v>88</v>
      </c>
      <c r="C43" s="601">
        <f>+C31-C37</f>
        <v>-909758920.23667526</v>
      </c>
      <c r="D43" s="601">
        <f t="shared" ref="D43:L43" si="9">+D31-D37</f>
        <v>-909758920.23667336</v>
      </c>
      <c r="E43" s="601">
        <f t="shared" si="9"/>
        <v>-909758920.23667336</v>
      </c>
      <c r="F43" s="601">
        <f t="shared" si="9"/>
        <v>-909758920.23667145</v>
      </c>
      <c r="G43" s="601">
        <f t="shared" si="9"/>
        <v>-909758920.23667145</v>
      </c>
      <c r="H43" s="601">
        <f t="shared" si="9"/>
        <v>-909758920.23667145</v>
      </c>
      <c r="I43" s="601">
        <f t="shared" si="9"/>
        <v>-909758920.23667145</v>
      </c>
      <c r="J43" s="601">
        <f t="shared" si="9"/>
        <v>-909758920.23667526</v>
      </c>
      <c r="K43" s="601">
        <f t="shared" si="9"/>
        <v>-909758920.23667145</v>
      </c>
      <c r="L43" s="601">
        <f t="shared" si="9"/>
        <v>-909758920.23667145</v>
      </c>
    </row>
  </sheetData>
  <mergeCells count="6">
    <mergeCell ref="B40:L40"/>
    <mergeCell ref="E5:F5"/>
    <mergeCell ref="B12:L12"/>
    <mergeCell ref="B19:L19"/>
    <mergeCell ref="B28:L28"/>
    <mergeCell ref="B34:L34"/>
  </mergeCells>
  <phoneticPr fontId="30"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Q64"/>
  <sheetViews>
    <sheetView showGridLines="0" topLeftCell="C1" zoomScaleNormal="100" workbookViewId="0">
      <pane xSplit="7" ySplit="4" topLeftCell="K55" activePane="bottomRight" state="frozen"/>
      <selection activeCell="K32" sqref="K32"/>
      <selection pane="topRight" activeCell="K32" sqref="K32"/>
      <selection pane="bottomLeft" activeCell="K32" sqref="K32"/>
      <selection pane="bottomRight" activeCell="M42" sqref="M42"/>
    </sheetView>
  </sheetViews>
  <sheetFormatPr baseColWidth="10" defaultRowHeight="12.75"/>
  <cols>
    <col min="1" max="1" width="4.140625" style="148" customWidth="1"/>
    <col min="2" max="2" width="13.28515625" style="165" customWidth="1"/>
    <col min="3" max="3" width="13.28515625" style="165" hidden="1" customWidth="1"/>
    <col min="4" max="4" width="40.140625" style="165" bestFit="1" customWidth="1"/>
    <col min="5" max="5" width="17.7109375" style="165" customWidth="1"/>
    <col min="6" max="6" width="1.85546875" style="165" customWidth="1"/>
    <col min="7" max="7" width="10.85546875" style="165" customWidth="1"/>
    <col min="8" max="8" width="15.85546875" style="165" bestFit="1" customWidth="1"/>
    <col min="9" max="9" width="20.85546875" style="165" customWidth="1"/>
    <col min="10" max="10" width="81.85546875" style="165" customWidth="1"/>
    <col min="11" max="11" width="13.28515625" style="165" customWidth="1"/>
    <col min="12" max="12" width="13.5703125" style="167" customWidth="1"/>
    <col min="13" max="14" width="14.42578125" style="172" bestFit="1" customWidth="1"/>
    <col min="15" max="15" width="14" style="148" customWidth="1"/>
    <col min="16" max="16384" width="11.42578125" style="148"/>
  </cols>
  <sheetData>
    <row r="2" spans="2:17" ht="15">
      <c r="D2" s="649" t="s">
        <v>2960</v>
      </c>
    </row>
    <row r="3" spans="2:17" ht="15.75">
      <c r="C3" s="166">
        <v>1</v>
      </c>
      <c r="M3" s="905" t="s">
        <v>442</v>
      </c>
      <c r="N3" s="905"/>
      <c r="O3" s="905"/>
      <c r="P3" s="905"/>
      <c r="Q3" s="905"/>
    </row>
    <row r="4" spans="2:17" s="169" customFormat="1" ht="25.5" customHeight="1" thickBot="1">
      <c r="B4" s="181" t="s">
        <v>234</v>
      </c>
      <c r="C4" s="181">
        <v>2</v>
      </c>
      <c r="D4" s="182" t="s">
        <v>0</v>
      </c>
      <c r="E4" s="182" t="s">
        <v>235</v>
      </c>
      <c r="F4" s="164"/>
      <c r="G4" s="182" t="s">
        <v>236</v>
      </c>
      <c r="H4" s="182" t="s">
        <v>237</v>
      </c>
      <c r="I4" s="182" t="s">
        <v>238</v>
      </c>
      <c r="J4" s="182" t="s">
        <v>239</v>
      </c>
      <c r="K4" s="183" t="s">
        <v>437</v>
      </c>
      <c r="L4" s="183" t="s">
        <v>438</v>
      </c>
      <c r="M4" s="180" t="s">
        <v>328</v>
      </c>
      <c r="N4" s="180" t="s">
        <v>329</v>
      </c>
      <c r="O4" s="164" t="s">
        <v>330</v>
      </c>
      <c r="P4" s="164" t="s">
        <v>331</v>
      </c>
      <c r="Q4" s="164" t="s">
        <v>332</v>
      </c>
    </row>
    <row r="5" spans="2:17">
      <c r="B5" s="170" t="s">
        <v>240</v>
      </c>
      <c r="C5" s="170">
        <v>3</v>
      </c>
      <c r="D5" s="170" t="s">
        <v>241</v>
      </c>
      <c r="E5" s="170" t="s">
        <v>33</v>
      </c>
      <c r="F5" s="189"/>
      <c r="G5" s="171">
        <v>44834</v>
      </c>
      <c r="H5" s="179">
        <v>1583750000</v>
      </c>
      <c r="I5" s="171" t="s">
        <v>242</v>
      </c>
      <c r="J5" s="171" t="s">
        <v>243</v>
      </c>
      <c r="K5" s="171"/>
      <c r="L5" s="175"/>
      <c r="M5" s="186">
        <v>1670000000</v>
      </c>
      <c r="N5" s="186"/>
      <c r="O5" s="171"/>
      <c r="P5" s="171"/>
      <c r="Q5" s="171"/>
    </row>
    <row r="6" spans="2:17">
      <c r="B6" s="170" t="s">
        <v>240</v>
      </c>
      <c r="C6" s="166">
        <v>4</v>
      </c>
      <c r="D6" s="170" t="s">
        <v>244</v>
      </c>
      <c r="E6" s="170" t="s">
        <v>33</v>
      </c>
      <c r="F6" s="189"/>
      <c r="G6" s="171">
        <v>44834</v>
      </c>
      <c r="H6" s="179">
        <v>24310000</v>
      </c>
      <c r="I6" s="171" t="s">
        <v>242</v>
      </c>
      <c r="J6" s="171" t="s">
        <v>243</v>
      </c>
      <c r="K6" s="171"/>
      <c r="L6" s="175"/>
      <c r="M6" s="186"/>
      <c r="N6" s="186"/>
      <c r="O6" s="171"/>
      <c r="P6" s="171"/>
      <c r="Q6" s="171"/>
    </row>
    <row r="7" spans="2:17" ht="13.5" thickBot="1">
      <c r="B7" s="170" t="s">
        <v>245</v>
      </c>
      <c r="C7" s="168">
        <v>5</v>
      </c>
      <c r="D7" s="170" t="s">
        <v>246</v>
      </c>
      <c r="E7" s="170" t="s">
        <v>247</v>
      </c>
      <c r="F7" s="189"/>
      <c r="G7" s="171">
        <v>44834</v>
      </c>
      <c r="H7" s="179">
        <v>571007984</v>
      </c>
      <c r="I7" s="171" t="s">
        <v>242</v>
      </c>
      <c r="J7" s="171" t="s">
        <v>243</v>
      </c>
      <c r="K7" s="171"/>
      <c r="L7" s="175"/>
      <c r="M7" s="186">
        <v>462500000</v>
      </c>
      <c r="N7" s="186"/>
      <c r="O7" s="171"/>
      <c r="P7" s="171"/>
      <c r="Q7" s="171"/>
    </row>
    <row r="8" spans="2:17" ht="13.5" thickBot="1">
      <c r="B8" s="173"/>
      <c r="C8" s="170">
        <v>6</v>
      </c>
      <c r="D8" s="173"/>
      <c r="E8" s="173"/>
      <c r="F8" s="189"/>
      <c r="G8" s="173"/>
      <c r="H8" s="174">
        <f>SUBTOTAL(9,H5:H7)</f>
        <v>2179067984</v>
      </c>
      <c r="I8" s="173" t="s">
        <v>248</v>
      </c>
      <c r="J8" s="173"/>
      <c r="K8" s="173"/>
      <c r="L8" s="185"/>
      <c r="M8" s="187"/>
      <c r="N8" s="187"/>
      <c r="O8" s="173"/>
      <c r="P8" s="173"/>
      <c r="Q8" s="173"/>
    </row>
    <row r="9" spans="2:17" ht="13.5" thickTop="1">
      <c r="B9" s="170" t="s">
        <v>240</v>
      </c>
      <c r="C9" s="166">
        <v>7</v>
      </c>
      <c r="D9" s="170" t="s">
        <v>249</v>
      </c>
      <c r="E9" s="170" t="s">
        <v>34</v>
      </c>
      <c r="F9" s="189"/>
      <c r="G9" s="171">
        <v>45107</v>
      </c>
      <c r="H9" s="179">
        <v>3213200000</v>
      </c>
      <c r="I9" s="171" t="s">
        <v>250</v>
      </c>
      <c r="J9" s="171" t="s">
        <v>251</v>
      </c>
      <c r="K9" s="171"/>
      <c r="L9" s="175"/>
      <c r="M9" s="186"/>
      <c r="N9" s="186"/>
      <c r="O9" s="171"/>
      <c r="P9" s="171"/>
      <c r="Q9" s="171"/>
    </row>
    <row r="10" spans="2:17" ht="13.5" thickBot="1">
      <c r="B10" s="170" t="s">
        <v>240</v>
      </c>
      <c r="C10" s="168">
        <v>8</v>
      </c>
      <c r="D10" s="170" t="s">
        <v>252</v>
      </c>
      <c r="E10" s="170" t="s">
        <v>34</v>
      </c>
      <c r="F10" s="189"/>
      <c r="G10" s="171">
        <v>45107</v>
      </c>
      <c r="H10" s="179">
        <v>2109749178.9999998</v>
      </c>
      <c r="I10" s="171" t="s">
        <v>250</v>
      </c>
      <c r="J10" s="171" t="s">
        <v>251</v>
      </c>
      <c r="K10" s="171"/>
      <c r="L10" s="175"/>
      <c r="M10" s="186"/>
      <c r="N10" s="186"/>
      <c r="O10" s="171"/>
      <c r="P10" s="171"/>
      <c r="Q10" s="171"/>
    </row>
    <row r="11" spans="2:17">
      <c r="B11" s="170" t="s">
        <v>240</v>
      </c>
      <c r="C11" s="170">
        <v>9</v>
      </c>
      <c r="D11" s="170" t="s">
        <v>253</v>
      </c>
      <c r="E11" s="170" t="s">
        <v>35</v>
      </c>
      <c r="F11" s="189"/>
      <c r="G11" s="171">
        <v>45107</v>
      </c>
      <c r="H11" s="179">
        <v>672750000</v>
      </c>
      <c r="I11" s="171" t="s">
        <v>250</v>
      </c>
      <c r="J11" s="171" t="s">
        <v>251</v>
      </c>
      <c r="K11" s="171"/>
      <c r="L11" s="175"/>
      <c r="M11" s="186"/>
      <c r="N11" s="186"/>
      <c r="O11" s="171"/>
      <c r="P11" s="171"/>
      <c r="Q11" s="171"/>
    </row>
    <row r="12" spans="2:17">
      <c r="B12" s="170" t="s">
        <v>240</v>
      </c>
      <c r="C12" s="166">
        <v>10</v>
      </c>
      <c r="D12" s="170" t="s">
        <v>254</v>
      </c>
      <c r="E12" s="170" t="s">
        <v>35</v>
      </c>
      <c r="F12" s="189"/>
      <c r="G12" s="171">
        <v>45107</v>
      </c>
      <c r="H12" s="179">
        <v>1286545311</v>
      </c>
      <c r="I12" s="171" t="s">
        <v>250</v>
      </c>
      <c r="J12" s="171" t="s">
        <v>251</v>
      </c>
      <c r="K12" s="171"/>
      <c r="L12" s="175" t="s">
        <v>398</v>
      </c>
      <c r="M12" s="186"/>
      <c r="N12" s="186"/>
      <c r="O12" s="171"/>
      <c r="P12" s="171"/>
      <c r="Q12" s="171"/>
    </row>
    <row r="13" spans="2:17" ht="13.5" thickBot="1">
      <c r="B13" s="170" t="s">
        <v>240</v>
      </c>
      <c r="C13" s="168">
        <v>11</v>
      </c>
      <c r="D13" s="170" t="s">
        <v>255</v>
      </c>
      <c r="E13" s="170" t="s">
        <v>37</v>
      </c>
      <c r="F13" s="189"/>
      <c r="G13" s="171">
        <v>45107</v>
      </c>
      <c r="H13" s="179">
        <v>302400000</v>
      </c>
      <c r="I13" s="171" t="s">
        <v>250</v>
      </c>
      <c r="J13" s="171" t="s">
        <v>251</v>
      </c>
      <c r="K13" s="171"/>
      <c r="L13" s="175"/>
      <c r="M13" s="186"/>
      <c r="N13" s="186"/>
      <c r="O13" s="171"/>
      <c r="P13" s="171"/>
      <c r="Q13" s="171"/>
    </row>
    <row r="14" spans="2:17">
      <c r="B14" s="170" t="s">
        <v>240</v>
      </c>
      <c r="C14" s="170">
        <v>12</v>
      </c>
      <c r="D14" s="170" t="s">
        <v>256</v>
      </c>
      <c r="E14" s="170" t="s">
        <v>37</v>
      </c>
      <c r="F14" s="189"/>
      <c r="G14" s="171">
        <v>45107</v>
      </c>
      <c r="H14" s="179">
        <v>744448000</v>
      </c>
      <c r="I14" s="171" t="s">
        <v>250</v>
      </c>
      <c r="J14" s="171" t="s">
        <v>251</v>
      </c>
      <c r="K14" s="171"/>
      <c r="L14" s="175"/>
      <c r="M14" s="186"/>
      <c r="N14" s="186"/>
      <c r="O14" s="171"/>
      <c r="P14" s="171"/>
      <c r="Q14" s="171"/>
    </row>
    <row r="15" spans="2:17">
      <c r="B15" s="170" t="s">
        <v>240</v>
      </c>
      <c r="C15" s="166">
        <v>13</v>
      </c>
      <c r="D15" s="170" t="s">
        <v>257</v>
      </c>
      <c r="E15" s="170" t="s">
        <v>39</v>
      </c>
      <c r="F15" s="189"/>
      <c r="G15" s="171">
        <v>45107</v>
      </c>
      <c r="H15" s="179">
        <v>188010000</v>
      </c>
      <c r="I15" s="171" t="s">
        <v>250</v>
      </c>
      <c r="J15" s="171" t="s">
        <v>251</v>
      </c>
      <c r="K15" s="171"/>
      <c r="L15" s="175"/>
      <c r="M15" s="186"/>
      <c r="N15" s="186"/>
      <c r="O15" s="171"/>
      <c r="P15" s="171"/>
      <c r="Q15" s="171"/>
    </row>
    <row r="16" spans="2:17" ht="13.5" thickBot="1">
      <c r="B16" s="170" t="s">
        <v>240</v>
      </c>
      <c r="C16" s="168">
        <v>14</v>
      </c>
      <c r="D16" s="170" t="s">
        <v>258</v>
      </c>
      <c r="E16" s="170" t="s">
        <v>39</v>
      </c>
      <c r="F16" s="189"/>
      <c r="G16" s="171">
        <v>45107</v>
      </c>
      <c r="H16" s="179">
        <v>1030224726</v>
      </c>
      <c r="I16" s="171" t="s">
        <v>250</v>
      </c>
      <c r="J16" s="171" t="s">
        <v>251</v>
      </c>
      <c r="K16" s="171"/>
      <c r="L16" s="175"/>
      <c r="M16" s="186"/>
      <c r="N16" s="186"/>
      <c r="O16" s="171"/>
      <c r="P16" s="171"/>
      <c r="Q16" s="171"/>
    </row>
    <row r="17" spans="2:17">
      <c r="B17" s="170" t="s">
        <v>190</v>
      </c>
      <c r="C17" s="170">
        <v>15</v>
      </c>
      <c r="D17" s="170" t="s">
        <v>259</v>
      </c>
      <c r="E17" s="170" t="s">
        <v>260</v>
      </c>
      <c r="F17" s="189"/>
      <c r="G17" s="171">
        <v>44834</v>
      </c>
      <c r="H17" s="179">
        <v>1145600000</v>
      </c>
      <c r="I17" s="171" t="s">
        <v>250</v>
      </c>
      <c r="J17" s="171" t="s">
        <v>251</v>
      </c>
      <c r="K17" s="171"/>
      <c r="L17" s="175"/>
      <c r="M17" s="186"/>
      <c r="N17" s="186"/>
      <c r="O17" s="171"/>
      <c r="P17" s="171"/>
      <c r="Q17" s="171"/>
    </row>
    <row r="18" spans="2:17" ht="25.5">
      <c r="B18" s="170" t="s">
        <v>190</v>
      </c>
      <c r="C18" s="166">
        <v>16</v>
      </c>
      <c r="D18" s="170" t="s">
        <v>261</v>
      </c>
      <c r="E18" s="170" t="s">
        <v>260</v>
      </c>
      <c r="F18" s="189"/>
      <c r="G18" s="171">
        <v>44834</v>
      </c>
      <c r="H18" s="179">
        <v>1860584220</v>
      </c>
      <c r="I18" s="171" t="s">
        <v>250</v>
      </c>
      <c r="J18" s="171" t="s">
        <v>251</v>
      </c>
      <c r="K18" s="171"/>
      <c r="L18" s="175" t="s">
        <v>401</v>
      </c>
      <c r="M18" s="186"/>
      <c r="N18" s="186"/>
      <c r="O18" s="171"/>
      <c r="P18" s="171"/>
      <c r="Q18" s="171"/>
    </row>
    <row r="19" spans="2:17" ht="13.5" thickBot="1">
      <c r="B19" s="170" t="s">
        <v>262</v>
      </c>
      <c r="C19" s="168">
        <v>17</v>
      </c>
      <c r="D19" s="170" t="s">
        <v>263</v>
      </c>
      <c r="E19" s="170" t="s">
        <v>56</v>
      </c>
      <c r="F19" s="189"/>
      <c r="G19" s="171">
        <v>44834</v>
      </c>
      <c r="H19" s="179">
        <v>187648000</v>
      </c>
      <c r="I19" s="171" t="s">
        <v>250</v>
      </c>
      <c r="J19" s="171" t="s">
        <v>251</v>
      </c>
      <c r="K19" s="171"/>
      <c r="L19" s="175"/>
      <c r="M19" s="186"/>
      <c r="N19" s="186"/>
      <c r="O19" s="171"/>
      <c r="P19" s="171"/>
      <c r="Q19" s="171"/>
    </row>
    <row r="20" spans="2:17">
      <c r="B20" s="170" t="s">
        <v>262</v>
      </c>
      <c r="C20" s="170">
        <v>18</v>
      </c>
      <c r="D20" s="170" t="s">
        <v>264</v>
      </c>
      <c r="E20" s="170" t="s">
        <v>56</v>
      </c>
      <c r="F20" s="189"/>
      <c r="G20" s="171">
        <v>44834</v>
      </c>
      <c r="H20" s="179">
        <v>611379638</v>
      </c>
      <c r="I20" s="171" t="s">
        <v>250</v>
      </c>
      <c r="J20" s="171" t="s">
        <v>251</v>
      </c>
      <c r="K20" s="171"/>
      <c r="L20" s="175"/>
      <c r="M20" s="186"/>
      <c r="N20" s="186"/>
      <c r="O20" s="171"/>
      <c r="P20" s="171"/>
      <c r="Q20" s="171"/>
    </row>
    <row r="21" spans="2:17" ht="38.25">
      <c r="B21" s="170" t="s">
        <v>262</v>
      </c>
      <c r="C21" s="166">
        <v>19</v>
      </c>
      <c r="D21" s="170" t="s">
        <v>265</v>
      </c>
      <c r="E21" s="170" t="s">
        <v>266</v>
      </c>
      <c r="F21" s="190"/>
      <c r="G21" s="171">
        <v>44834</v>
      </c>
      <c r="H21" s="179">
        <v>4554496817</v>
      </c>
      <c r="I21" s="171" t="s">
        <v>250</v>
      </c>
      <c r="J21" s="175" t="s">
        <v>267</v>
      </c>
      <c r="K21" s="188">
        <v>0.31</v>
      </c>
      <c r="L21" s="175" t="s">
        <v>401</v>
      </c>
      <c r="M21" s="186"/>
      <c r="N21" s="186">
        <f>(H21*70%)*K21</f>
        <v>988325809.28899992</v>
      </c>
      <c r="O21" s="171"/>
      <c r="P21" s="171"/>
      <c r="Q21" s="171"/>
    </row>
    <row r="22" spans="2:17" ht="39" thickBot="1">
      <c r="B22" s="170" t="s">
        <v>262</v>
      </c>
      <c r="C22" s="168">
        <v>20</v>
      </c>
      <c r="D22" s="170" t="s">
        <v>268</v>
      </c>
      <c r="E22" s="170" t="s">
        <v>266</v>
      </c>
      <c r="F22" s="190"/>
      <c r="G22" s="171">
        <v>44834</v>
      </c>
      <c r="H22" s="179">
        <v>2571720000</v>
      </c>
      <c r="I22" s="171" t="s">
        <v>250</v>
      </c>
      <c r="J22" s="175" t="s">
        <v>269</v>
      </c>
      <c r="K22" s="188">
        <v>0.31</v>
      </c>
      <c r="L22" s="175"/>
      <c r="M22" s="186"/>
      <c r="N22" s="186">
        <f t="shared" ref="N22:N24" si="0">(H22*70%)*K22</f>
        <v>558063240</v>
      </c>
      <c r="O22" s="171"/>
      <c r="P22" s="171"/>
      <c r="Q22" s="171"/>
    </row>
    <row r="23" spans="2:17" ht="38.25">
      <c r="B23" s="170" t="s">
        <v>240</v>
      </c>
      <c r="C23" s="170">
        <v>21</v>
      </c>
      <c r="D23" s="170" t="s">
        <v>270</v>
      </c>
      <c r="E23" s="170" t="s">
        <v>271</v>
      </c>
      <c r="F23" s="189"/>
      <c r="G23" s="171">
        <v>45107</v>
      </c>
      <c r="H23" s="179">
        <v>6214410940</v>
      </c>
      <c r="I23" s="171" t="s">
        <v>272</v>
      </c>
      <c r="J23" s="175" t="s">
        <v>267</v>
      </c>
      <c r="K23" s="188">
        <v>0.66</v>
      </c>
      <c r="L23" s="175"/>
      <c r="M23" s="186"/>
      <c r="N23" s="186">
        <f t="shared" si="0"/>
        <v>2871057854.2800002</v>
      </c>
      <c r="O23" s="171"/>
      <c r="P23" s="171"/>
      <c r="Q23" s="171"/>
    </row>
    <row r="24" spans="2:17" ht="38.25">
      <c r="B24" s="170" t="s">
        <v>240</v>
      </c>
      <c r="C24" s="166">
        <v>22</v>
      </c>
      <c r="D24" s="170" t="s">
        <v>273</v>
      </c>
      <c r="E24" s="170" t="s">
        <v>271</v>
      </c>
      <c r="F24" s="189"/>
      <c r="G24" s="171">
        <v>45107</v>
      </c>
      <c r="H24" s="179">
        <v>2665396000</v>
      </c>
      <c r="I24" s="171" t="s">
        <v>272</v>
      </c>
      <c r="J24" s="175" t="s">
        <v>267</v>
      </c>
      <c r="K24" s="188">
        <v>0.66</v>
      </c>
      <c r="L24" s="175"/>
      <c r="M24" s="186"/>
      <c r="N24" s="186">
        <f t="shared" si="0"/>
        <v>1231412952</v>
      </c>
      <c r="O24" s="171"/>
      <c r="P24" s="171"/>
      <c r="Q24" s="171"/>
    </row>
    <row r="25" spans="2:17" ht="13.5" thickBot="1">
      <c r="B25" s="170" t="s">
        <v>193</v>
      </c>
      <c r="C25" s="168">
        <v>23</v>
      </c>
      <c r="D25" s="170" t="s">
        <v>274</v>
      </c>
      <c r="E25" s="170" t="s">
        <v>49</v>
      </c>
      <c r="F25" s="189"/>
      <c r="G25" s="171">
        <v>44834</v>
      </c>
      <c r="H25" s="179">
        <v>442500000</v>
      </c>
      <c r="I25" s="171" t="s">
        <v>250</v>
      </c>
      <c r="J25" s="171" t="s">
        <v>251</v>
      </c>
      <c r="K25" s="171"/>
      <c r="L25" s="175"/>
      <c r="M25" s="186"/>
      <c r="N25" s="186"/>
      <c r="O25" s="171"/>
      <c r="P25" s="171"/>
      <c r="Q25" s="171"/>
    </row>
    <row r="26" spans="2:17" ht="25.5">
      <c r="B26" s="170" t="s">
        <v>193</v>
      </c>
      <c r="C26" s="170">
        <v>24</v>
      </c>
      <c r="D26" s="170" t="s">
        <v>275</v>
      </c>
      <c r="E26" s="170" t="s">
        <v>49</v>
      </c>
      <c r="F26" s="189"/>
      <c r="G26" s="171">
        <v>44834</v>
      </c>
      <c r="H26" s="179">
        <v>426370293</v>
      </c>
      <c r="I26" s="171" t="s">
        <v>250</v>
      </c>
      <c r="J26" s="171" t="s">
        <v>251</v>
      </c>
      <c r="K26" s="171"/>
      <c r="L26" s="175" t="s">
        <v>401</v>
      </c>
      <c r="M26" s="186"/>
      <c r="N26" s="186"/>
      <c r="O26" s="171"/>
      <c r="P26" s="171"/>
      <c r="Q26" s="171"/>
    </row>
    <row r="27" spans="2:17" ht="25.5">
      <c r="B27" s="170" t="s">
        <v>240</v>
      </c>
      <c r="C27" s="166">
        <v>25</v>
      </c>
      <c r="D27" s="170" t="s">
        <v>276</v>
      </c>
      <c r="E27" s="170" t="s">
        <v>277</v>
      </c>
      <c r="F27" s="189"/>
      <c r="G27" s="171">
        <v>44876</v>
      </c>
      <c r="H27" s="179">
        <v>795002381</v>
      </c>
      <c r="I27" s="171" t="s">
        <v>250</v>
      </c>
      <c r="J27" s="175" t="s">
        <v>278</v>
      </c>
      <c r="K27" s="171"/>
      <c r="L27" s="175"/>
      <c r="M27" s="186">
        <v>10000000</v>
      </c>
      <c r="N27" s="186"/>
      <c r="O27" s="171"/>
      <c r="P27" s="171"/>
      <c r="Q27" s="171"/>
    </row>
    <row r="28" spans="2:17" ht="13.5" thickBot="1">
      <c r="B28" s="170" t="s">
        <v>240</v>
      </c>
      <c r="C28" s="168">
        <v>26</v>
      </c>
      <c r="D28" s="170" t="s">
        <v>279</v>
      </c>
      <c r="E28" s="170" t="s">
        <v>280</v>
      </c>
      <c r="F28" s="189"/>
      <c r="G28" s="171">
        <v>44876</v>
      </c>
      <c r="H28" s="179">
        <v>98000000</v>
      </c>
      <c r="I28" s="171" t="s">
        <v>250</v>
      </c>
      <c r="J28" s="171" t="s">
        <v>251</v>
      </c>
      <c r="K28" s="171"/>
      <c r="L28" s="175"/>
      <c r="M28" s="186"/>
      <c r="N28" s="186"/>
      <c r="O28" s="171"/>
      <c r="P28" s="171"/>
      <c r="Q28" s="171"/>
    </row>
    <row r="29" spans="2:17" ht="13.5" thickBot="1">
      <c r="B29" s="173"/>
      <c r="C29" s="170">
        <v>27</v>
      </c>
      <c r="D29" s="173"/>
      <c r="E29" s="173"/>
      <c r="F29" s="189"/>
      <c r="G29" s="173"/>
      <c r="H29" s="174">
        <f>SUM(H9:H28)</f>
        <v>31120435505</v>
      </c>
      <c r="I29" s="173" t="s">
        <v>281</v>
      </c>
      <c r="J29" s="173"/>
      <c r="K29" s="173"/>
      <c r="L29" s="185"/>
      <c r="M29" s="187"/>
      <c r="N29" s="187"/>
      <c r="O29" s="173"/>
      <c r="P29" s="173"/>
      <c r="Q29" s="173"/>
    </row>
    <row r="30" spans="2:17" ht="13.5" thickTop="1">
      <c r="B30" s="170" t="s">
        <v>240</v>
      </c>
      <c r="C30" s="166">
        <v>28</v>
      </c>
      <c r="D30" s="170" t="s">
        <v>282</v>
      </c>
      <c r="E30" s="170" t="s">
        <v>283</v>
      </c>
      <c r="F30" s="189"/>
      <c r="G30" s="171">
        <v>45107</v>
      </c>
      <c r="H30" s="179">
        <v>179680000</v>
      </c>
      <c r="I30" s="171" t="s">
        <v>272</v>
      </c>
      <c r="J30" s="171" t="s">
        <v>284</v>
      </c>
      <c r="K30" s="171"/>
      <c r="L30" s="175" t="s">
        <v>398</v>
      </c>
      <c r="M30" s="186"/>
      <c r="N30" s="186"/>
      <c r="O30" s="171"/>
      <c r="P30" s="171"/>
      <c r="Q30" s="171"/>
    </row>
    <row r="31" spans="2:17" ht="13.5" thickBot="1">
      <c r="B31" s="170" t="s">
        <v>240</v>
      </c>
      <c r="C31" s="168">
        <v>29</v>
      </c>
      <c r="D31" s="170" t="s">
        <v>285</v>
      </c>
      <c r="E31" s="170" t="s">
        <v>286</v>
      </c>
      <c r="F31" s="189"/>
      <c r="G31" s="171">
        <v>45107</v>
      </c>
      <c r="H31" s="179">
        <v>166336000</v>
      </c>
      <c r="I31" s="171" t="s">
        <v>272</v>
      </c>
      <c r="J31" s="171" t="s">
        <v>284</v>
      </c>
      <c r="K31" s="171"/>
      <c r="L31" s="175" t="s">
        <v>398</v>
      </c>
      <c r="M31" s="186"/>
      <c r="N31" s="186"/>
      <c r="O31" s="171"/>
      <c r="P31" s="171"/>
      <c r="Q31" s="171"/>
    </row>
    <row r="32" spans="2:17">
      <c r="B32" s="170" t="s">
        <v>240</v>
      </c>
      <c r="C32" s="170">
        <v>30</v>
      </c>
      <c r="D32" s="170" t="s">
        <v>285</v>
      </c>
      <c r="E32" s="170" t="s">
        <v>287</v>
      </c>
      <c r="F32" s="189"/>
      <c r="G32" s="171">
        <v>45107</v>
      </c>
      <c r="H32" s="179">
        <v>8456250</v>
      </c>
      <c r="I32" s="171" t="s">
        <v>272</v>
      </c>
      <c r="J32" s="171" t="s">
        <v>284</v>
      </c>
      <c r="K32" s="171"/>
      <c r="L32" s="175" t="s">
        <v>398</v>
      </c>
      <c r="M32" s="186"/>
      <c r="N32" s="186"/>
      <c r="O32" s="171"/>
      <c r="P32" s="171"/>
      <c r="Q32" s="171"/>
    </row>
    <row r="33" spans="2:17">
      <c r="B33" s="170" t="s">
        <v>240</v>
      </c>
      <c r="C33" s="166">
        <v>31</v>
      </c>
      <c r="D33" s="170" t="s">
        <v>285</v>
      </c>
      <c r="E33" s="170" t="s">
        <v>288</v>
      </c>
      <c r="F33" s="189"/>
      <c r="G33" s="171">
        <v>45107</v>
      </c>
      <c r="H33" s="179">
        <v>260384000</v>
      </c>
      <c r="I33" s="171" t="s">
        <v>272</v>
      </c>
      <c r="J33" s="171" t="s">
        <v>284</v>
      </c>
      <c r="K33" s="171"/>
      <c r="L33" s="175" t="s">
        <v>398</v>
      </c>
      <c r="M33" s="186"/>
      <c r="N33" s="186"/>
      <c r="O33" s="171"/>
      <c r="P33" s="171"/>
      <c r="Q33" s="171"/>
    </row>
    <row r="34" spans="2:17" ht="13.5" thickBot="1">
      <c r="B34" s="170" t="s">
        <v>240</v>
      </c>
      <c r="C34" s="168">
        <v>32</v>
      </c>
      <c r="D34" s="170" t="s">
        <v>289</v>
      </c>
      <c r="E34" s="170" t="s">
        <v>40</v>
      </c>
      <c r="F34" s="189"/>
      <c r="G34" s="171">
        <v>45107</v>
      </c>
      <c r="H34" s="179">
        <v>194570000</v>
      </c>
      <c r="I34" s="171" t="s">
        <v>272</v>
      </c>
      <c r="J34" s="171" t="s">
        <v>284</v>
      </c>
      <c r="K34" s="171"/>
      <c r="L34" s="175"/>
      <c r="M34" s="186"/>
      <c r="N34" s="186"/>
      <c r="O34" s="171"/>
      <c r="P34" s="171"/>
      <c r="Q34" s="171"/>
    </row>
    <row r="35" spans="2:17">
      <c r="B35" s="170" t="s">
        <v>240</v>
      </c>
      <c r="C35" s="170">
        <v>33</v>
      </c>
      <c r="D35" s="170" t="s">
        <v>290</v>
      </c>
      <c r="E35" s="170" t="s">
        <v>40</v>
      </c>
      <c r="F35" s="189"/>
      <c r="G35" s="171">
        <v>45107</v>
      </c>
      <c r="H35" s="179">
        <v>6457891464</v>
      </c>
      <c r="I35" s="171" t="s">
        <v>272</v>
      </c>
      <c r="J35" s="171" t="s">
        <v>284</v>
      </c>
      <c r="K35" s="171"/>
      <c r="L35" s="175"/>
      <c r="M35" s="186"/>
      <c r="N35" s="186"/>
      <c r="O35" s="171"/>
      <c r="P35" s="171"/>
      <c r="Q35" s="171"/>
    </row>
    <row r="36" spans="2:17">
      <c r="B36" s="170" t="s">
        <v>190</v>
      </c>
      <c r="C36" s="166">
        <v>34</v>
      </c>
      <c r="D36" s="170" t="s">
        <v>291</v>
      </c>
      <c r="E36" s="170" t="s">
        <v>47</v>
      </c>
      <c r="F36" s="189"/>
      <c r="G36" s="171">
        <v>44834</v>
      </c>
      <c r="H36" s="179">
        <v>1745600000</v>
      </c>
      <c r="I36" s="171" t="s">
        <v>272</v>
      </c>
      <c r="J36" s="171" t="s">
        <v>284</v>
      </c>
      <c r="K36" s="171"/>
      <c r="L36" s="175" t="s">
        <v>399</v>
      </c>
      <c r="M36" s="186"/>
      <c r="N36" s="186"/>
      <c r="O36" s="171"/>
      <c r="P36" s="171"/>
      <c r="Q36" s="171"/>
    </row>
    <row r="37" spans="2:17" ht="13.5" thickBot="1">
      <c r="B37" s="170" t="s">
        <v>190</v>
      </c>
      <c r="C37" s="168">
        <v>35</v>
      </c>
      <c r="D37" s="170" t="s">
        <v>292</v>
      </c>
      <c r="E37" s="170" t="s">
        <v>47</v>
      </c>
      <c r="F37" s="189"/>
      <c r="G37" s="171">
        <v>44834</v>
      </c>
      <c r="H37" s="179">
        <v>1572870000</v>
      </c>
      <c r="I37" s="171" t="s">
        <v>272</v>
      </c>
      <c r="J37" s="171" t="s">
        <v>284</v>
      </c>
      <c r="K37" s="171"/>
      <c r="L37" s="175" t="s">
        <v>399</v>
      </c>
      <c r="M37" s="186"/>
      <c r="N37" s="186"/>
      <c r="O37" s="731">
        <f>+H37*0.7</f>
        <v>1101009000</v>
      </c>
      <c r="P37" s="171"/>
      <c r="Q37" s="171"/>
    </row>
    <row r="38" spans="2:17">
      <c r="B38" s="170" t="s">
        <v>262</v>
      </c>
      <c r="C38" s="170">
        <v>36</v>
      </c>
      <c r="D38" s="170" t="s">
        <v>293</v>
      </c>
      <c r="E38" s="170" t="s">
        <v>50</v>
      </c>
      <c r="F38" s="189"/>
      <c r="G38" s="171">
        <v>44834</v>
      </c>
      <c r="H38" s="179">
        <v>276123000</v>
      </c>
      <c r="I38" s="171" t="s">
        <v>272</v>
      </c>
      <c r="J38" s="171" t="s">
        <v>284</v>
      </c>
      <c r="K38" s="171"/>
      <c r="L38" s="175" t="s">
        <v>399</v>
      </c>
      <c r="M38" s="186"/>
      <c r="N38" s="186"/>
      <c r="O38" s="171"/>
      <c r="P38" s="171"/>
      <c r="Q38" s="171"/>
    </row>
    <row r="39" spans="2:17">
      <c r="B39" s="170" t="s">
        <v>262</v>
      </c>
      <c r="C39" s="166">
        <v>37</v>
      </c>
      <c r="D39" s="170" t="s">
        <v>294</v>
      </c>
      <c r="E39" s="170" t="s">
        <v>50</v>
      </c>
      <c r="F39" s="189"/>
      <c r="G39" s="171">
        <v>44834</v>
      </c>
      <c r="H39" s="179">
        <v>5310087863</v>
      </c>
      <c r="I39" s="171" t="s">
        <v>272</v>
      </c>
      <c r="J39" s="171" t="s">
        <v>284</v>
      </c>
      <c r="K39" s="171"/>
      <c r="L39" s="175" t="s">
        <v>399</v>
      </c>
      <c r="M39" s="186"/>
      <c r="N39" s="186"/>
      <c r="O39" s="171"/>
      <c r="P39" s="171"/>
      <c r="Q39" s="171"/>
    </row>
    <row r="40" spans="2:17" ht="13.5" thickBot="1">
      <c r="B40" s="170" t="s">
        <v>262</v>
      </c>
      <c r="C40" s="168">
        <v>38</v>
      </c>
      <c r="D40" s="170" t="s">
        <v>295</v>
      </c>
      <c r="E40" s="170" t="s">
        <v>51</v>
      </c>
      <c r="F40" s="189"/>
      <c r="G40" s="171">
        <v>44834</v>
      </c>
      <c r="H40" s="179">
        <v>5716000000</v>
      </c>
      <c r="I40" s="171" t="s">
        <v>272</v>
      </c>
      <c r="J40" s="171" t="s">
        <v>284</v>
      </c>
      <c r="K40" s="171"/>
      <c r="L40" s="175"/>
      <c r="M40" s="186">
        <f>H40*70%</f>
        <v>4001199999.9999995</v>
      </c>
      <c r="N40" s="186"/>
      <c r="O40" s="171"/>
      <c r="P40" s="171"/>
      <c r="Q40" s="171"/>
    </row>
    <row r="41" spans="2:17" ht="38.25">
      <c r="B41" s="170" t="s">
        <v>262</v>
      </c>
      <c r="C41" s="170">
        <v>39</v>
      </c>
      <c r="D41" s="170" t="s">
        <v>296</v>
      </c>
      <c r="E41" s="170" t="s">
        <v>51</v>
      </c>
      <c r="F41" s="189"/>
      <c r="G41" s="171">
        <v>44834</v>
      </c>
      <c r="H41" s="179">
        <v>3715050914</v>
      </c>
      <c r="I41" s="171" t="s">
        <v>272</v>
      </c>
      <c r="J41" s="171" t="s">
        <v>284</v>
      </c>
      <c r="K41" s="171"/>
      <c r="L41" s="175" t="s">
        <v>400</v>
      </c>
      <c r="M41" s="186">
        <f t="shared" ref="M41:M43" si="1">H41*70%</f>
        <v>2600535639.7999997</v>
      </c>
      <c r="N41" s="186"/>
      <c r="O41" s="171"/>
      <c r="P41" s="171"/>
      <c r="Q41" s="171"/>
    </row>
    <row r="42" spans="2:17" ht="38.25">
      <c r="B42" s="170" t="s">
        <v>297</v>
      </c>
      <c r="C42" s="166">
        <v>40</v>
      </c>
      <c r="D42" s="170" t="s">
        <v>298</v>
      </c>
      <c r="E42" s="170" t="s">
        <v>42</v>
      </c>
      <c r="F42" s="189"/>
      <c r="G42" s="171">
        <v>44834</v>
      </c>
      <c r="H42" s="179">
        <v>4670000000</v>
      </c>
      <c r="I42" s="171" t="s">
        <v>272</v>
      </c>
      <c r="J42" s="171" t="s">
        <v>284</v>
      </c>
      <c r="K42" s="171"/>
      <c r="L42" s="175" t="s">
        <v>404</v>
      </c>
      <c r="M42" s="186">
        <f t="shared" si="1"/>
        <v>3269000000</v>
      </c>
      <c r="N42" s="186"/>
      <c r="O42" s="171"/>
      <c r="P42" s="171"/>
      <c r="Q42" s="171"/>
    </row>
    <row r="43" spans="2:17" ht="13.5" thickBot="1">
      <c r="B43" s="170" t="s">
        <v>297</v>
      </c>
      <c r="C43" s="168">
        <v>41</v>
      </c>
      <c r="D43" s="170" t="s">
        <v>299</v>
      </c>
      <c r="E43" s="170" t="s">
        <v>42</v>
      </c>
      <c r="F43" s="189"/>
      <c r="G43" s="171">
        <v>44834</v>
      </c>
      <c r="H43" s="179">
        <v>376005799</v>
      </c>
      <c r="I43" s="171" t="s">
        <v>272</v>
      </c>
      <c r="J43" s="171" t="s">
        <v>284</v>
      </c>
      <c r="K43" s="171"/>
      <c r="L43" s="175"/>
      <c r="M43" s="186">
        <f t="shared" si="1"/>
        <v>263204059.29999998</v>
      </c>
      <c r="N43" s="186"/>
      <c r="O43" s="171"/>
      <c r="P43" s="171"/>
      <c r="Q43" s="171"/>
    </row>
    <row r="44" spans="2:17" ht="38.25">
      <c r="B44" s="170" t="s">
        <v>297</v>
      </c>
      <c r="C44" s="170">
        <v>42</v>
      </c>
      <c r="D44" s="170" t="s">
        <v>300</v>
      </c>
      <c r="E44" s="170" t="s">
        <v>44</v>
      </c>
      <c r="F44" s="189"/>
      <c r="G44" s="171">
        <v>44834</v>
      </c>
      <c r="H44" s="179">
        <v>17014000000</v>
      </c>
      <c r="I44" s="171" t="s">
        <v>272</v>
      </c>
      <c r="J44" s="171" t="s">
        <v>284</v>
      </c>
      <c r="K44" s="171"/>
      <c r="L44" s="175" t="s">
        <v>3021</v>
      </c>
      <c r="M44" s="186"/>
      <c r="N44" s="186">
        <f>+(H44*0.85)*0.8</f>
        <v>11569520000</v>
      </c>
      <c r="O44" s="171"/>
      <c r="P44" s="171"/>
      <c r="Q44" s="171"/>
    </row>
    <row r="45" spans="2:17" ht="38.25">
      <c r="B45" s="170" t="s">
        <v>297</v>
      </c>
      <c r="C45" s="166">
        <v>43</v>
      </c>
      <c r="D45" s="170" t="s">
        <v>301</v>
      </c>
      <c r="E45" s="170" t="s">
        <v>44</v>
      </c>
      <c r="F45" s="189"/>
      <c r="G45" s="171">
        <v>44834</v>
      </c>
      <c r="H45" s="179">
        <v>1418439976</v>
      </c>
      <c r="I45" s="171" t="s">
        <v>272</v>
      </c>
      <c r="J45" s="171" t="s">
        <v>284</v>
      </c>
      <c r="K45" s="171"/>
      <c r="L45" s="175" t="s">
        <v>402</v>
      </c>
      <c r="M45" s="186"/>
      <c r="N45" s="186"/>
      <c r="O45" s="171"/>
      <c r="P45" s="171"/>
      <c r="Q45" s="171"/>
    </row>
    <row r="46" spans="2:17" ht="13.5" thickBot="1">
      <c r="B46" s="170" t="s">
        <v>240</v>
      </c>
      <c r="C46" s="168">
        <v>44</v>
      </c>
      <c r="D46" s="170" t="s">
        <v>302</v>
      </c>
      <c r="E46" s="170" t="s">
        <v>40</v>
      </c>
      <c r="F46" s="189"/>
      <c r="G46" s="171">
        <v>45107</v>
      </c>
      <c r="H46" s="179">
        <v>348691316</v>
      </c>
      <c r="I46" s="171" t="s">
        <v>272</v>
      </c>
      <c r="J46" s="171" t="s">
        <v>284</v>
      </c>
      <c r="K46" s="171"/>
      <c r="L46" s="175"/>
      <c r="M46" s="186"/>
      <c r="N46" s="186"/>
      <c r="O46" s="171"/>
      <c r="P46" s="171"/>
      <c r="Q46" s="171"/>
    </row>
    <row r="47" spans="2:17">
      <c r="B47" s="170" t="s">
        <v>240</v>
      </c>
      <c r="C47" s="170">
        <v>45</v>
      </c>
      <c r="D47" s="170" t="s">
        <v>303</v>
      </c>
      <c r="E47" s="170" t="s">
        <v>304</v>
      </c>
      <c r="F47" s="189"/>
      <c r="G47" s="171">
        <v>44876</v>
      </c>
      <c r="H47" s="179">
        <v>86600000</v>
      </c>
      <c r="I47" s="171" t="s">
        <v>272</v>
      </c>
      <c r="J47" s="171" t="s">
        <v>284</v>
      </c>
      <c r="K47" s="171"/>
      <c r="L47" s="175"/>
      <c r="M47" s="186">
        <v>0</v>
      </c>
      <c r="N47" s="186"/>
      <c r="O47" s="171"/>
      <c r="P47" s="171"/>
      <c r="Q47" s="171"/>
    </row>
    <row r="48" spans="2:17">
      <c r="B48" s="170" t="s">
        <v>240</v>
      </c>
      <c r="C48" s="166">
        <v>46</v>
      </c>
      <c r="D48" s="170" t="s">
        <v>305</v>
      </c>
      <c r="E48" s="170" t="s">
        <v>306</v>
      </c>
      <c r="F48" s="189"/>
      <c r="G48" s="171">
        <v>44876</v>
      </c>
      <c r="H48" s="179">
        <v>99400000</v>
      </c>
      <c r="I48" s="171" t="s">
        <v>272</v>
      </c>
      <c r="J48" s="171" t="s">
        <v>284</v>
      </c>
      <c r="K48" s="171"/>
      <c r="L48" s="175"/>
      <c r="M48" s="186">
        <v>0</v>
      </c>
      <c r="N48" s="186"/>
      <c r="O48" s="171"/>
      <c r="P48" s="171"/>
      <c r="Q48" s="171"/>
    </row>
    <row r="49" spans="2:17" ht="13.5" thickBot="1">
      <c r="B49" s="170" t="s">
        <v>240</v>
      </c>
      <c r="C49" s="168">
        <v>47</v>
      </c>
      <c r="D49" s="170" t="s">
        <v>307</v>
      </c>
      <c r="E49" s="170" t="s">
        <v>40</v>
      </c>
      <c r="F49" s="189"/>
      <c r="G49" s="171">
        <v>45107</v>
      </c>
      <c r="H49" s="179">
        <v>12510352356</v>
      </c>
      <c r="I49" s="171" t="s">
        <v>272</v>
      </c>
      <c r="J49" s="171" t="s">
        <v>284</v>
      </c>
      <c r="K49" s="171"/>
      <c r="L49" s="175"/>
      <c r="M49" s="186"/>
      <c r="N49" s="186"/>
      <c r="O49" s="171"/>
      <c r="P49" s="171"/>
      <c r="Q49" s="171"/>
    </row>
    <row r="50" spans="2:17">
      <c r="B50" s="170" t="s">
        <v>262</v>
      </c>
      <c r="C50" s="170">
        <v>48</v>
      </c>
      <c r="D50" s="170" t="s">
        <v>308</v>
      </c>
      <c r="E50" s="170" t="s">
        <v>50</v>
      </c>
      <c r="F50" s="189"/>
      <c r="G50" s="171">
        <v>44876</v>
      </c>
      <c r="H50" s="179">
        <v>6644614278</v>
      </c>
      <c r="I50" s="171" t="s">
        <v>272</v>
      </c>
      <c r="J50" s="171" t="s">
        <v>284</v>
      </c>
      <c r="K50" s="171"/>
      <c r="L50" s="175"/>
      <c r="M50" s="186"/>
      <c r="N50" s="186"/>
      <c r="O50" s="171"/>
      <c r="P50" s="171"/>
      <c r="Q50" s="171"/>
    </row>
    <row r="51" spans="2:17" ht="13.5" thickBot="1">
      <c r="B51" s="173"/>
      <c r="C51" s="166">
        <v>49</v>
      </c>
      <c r="D51" s="173"/>
      <c r="E51" s="173"/>
      <c r="F51" s="189"/>
      <c r="G51" s="173"/>
      <c r="H51" s="174">
        <f>SUM(H30:H50)</f>
        <v>68771153216</v>
      </c>
      <c r="I51" s="173" t="s">
        <v>309</v>
      </c>
      <c r="J51" s="173"/>
      <c r="K51" s="173"/>
      <c r="L51" s="185"/>
      <c r="M51" s="187"/>
      <c r="N51" s="187"/>
      <c r="O51" s="173"/>
      <c r="P51" s="173"/>
      <c r="Q51" s="173"/>
    </row>
    <row r="52" spans="2:17" ht="14.25" thickTop="1" thickBot="1">
      <c r="B52" s="170" t="s">
        <v>240</v>
      </c>
      <c r="C52" s="168">
        <v>50</v>
      </c>
      <c r="D52" s="170" t="s">
        <v>310</v>
      </c>
      <c r="E52" s="170" t="s">
        <v>31</v>
      </c>
      <c r="F52" s="189"/>
      <c r="G52" s="171">
        <v>45107</v>
      </c>
      <c r="H52" s="179">
        <v>5694270450</v>
      </c>
      <c r="I52" s="171" t="s">
        <v>311</v>
      </c>
      <c r="J52" s="171" t="s">
        <v>312</v>
      </c>
      <c r="K52" s="171"/>
      <c r="L52" s="175"/>
      <c r="M52" s="186"/>
      <c r="N52" s="186"/>
      <c r="O52" s="171"/>
      <c r="P52" s="171"/>
      <c r="Q52" s="171"/>
    </row>
    <row r="53" spans="2:17">
      <c r="B53" s="170" t="s">
        <v>240</v>
      </c>
      <c r="C53" s="170">
        <v>51</v>
      </c>
      <c r="D53" s="170" t="s">
        <v>313</v>
      </c>
      <c r="E53" s="170" t="s">
        <v>31</v>
      </c>
      <c r="F53" s="189"/>
      <c r="G53" s="171">
        <v>45107</v>
      </c>
      <c r="H53" s="179">
        <v>12866510950.000004</v>
      </c>
      <c r="I53" s="171" t="s">
        <v>311</v>
      </c>
      <c r="J53" s="171" t="s">
        <v>312</v>
      </c>
      <c r="K53" s="171"/>
      <c r="L53" s="175"/>
      <c r="M53" s="186"/>
      <c r="N53" s="186"/>
      <c r="O53" s="171"/>
      <c r="P53" s="171"/>
      <c r="Q53" s="171"/>
    </row>
    <row r="54" spans="2:17" ht="25.5">
      <c r="B54" s="170" t="s">
        <v>240</v>
      </c>
      <c r="C54" s="166">
        <v>52</v>
      </c>
      <c r="D54" s="170" t="s">
        <v>314</v>
      </c>
      <c r="E54" s="176" t="s">
        <v>315</v>
      </c>
      <c r="F54" s="189"/>
      <c r="G54" s="171">
        <v>45107</v>
      </c>
      <c r="H54" s="179">
        <v>6250250000</v>
      </c>
      <c r="I54" s="171" t="s">
        <v>311</v>
      </c>
      <c r="J54" s="171" t="s">
        <v>312</v>
      </c>
      <c r="K54" s="171"/>
      <c r="L54" s="175"/>
      <c r="M54" s="186"/>
      <c r="N54" s="186"/>
      <c r="O54" s="171"/>
      <c r="P54" s="171"/>
      <c r="Q54" s="171"/>
    </row>
    <row r="55" spans="2:17" ht="13.5" thickBot="1">
      <c r="B55" s="170" t="s">
        <v>240</v>
      </c>
      <c r="C55" s="168">
        <v>53</v>
      </c>
      <c r="D55" s="170" t="s">
        <v>316</v>
      </c>
      <c r="E55" s="170" t="s">
        <v>317</v>
      </c>
      <c r="F55" s="189"/>
      <c r="G55" s="171">
        <v>45107</v>
      </c>
      <c r="H55" s="179">
        <v>24902430.586028665</v>
      </c>
      <c r="I55" s="171" t="s">
        <v>311</v>
      </c>
      <c r="J55" s="171" t="s">
        <v>312</v>
      </c>
      <c r="K55" s="171"/>
      <c r="L55" s="175"/>
      <c r="M55" s="186"/>
      <c r="N55" s="186"/>
      <c r="O55" s="171"/>
      <c r="P55" s="171"/>
      <c r="Q55" s="171"/>
    </row>
    <row r="56" spans="2:17" ht="38.25">
      <c r="B56" s="170" t="s">
        <v>240</v>
      </c>
      <c r="C56" s="170">
        <v>54</v>
      </c>
      <c r="D56" s="170" t="s">
        <v>318</v>
      </c>
      <c r="E56" s="176" t="s">
        <v>319</v>
      </c>
      <c r="F56" s="189"/>
      <c r="G56" s="171">
        <v>45107</v>
      </c>
      <c r="H56" s="179">
        <v>3827647734</v>
      </c>
      <c r="I56" s="171" t="s">
        <v>311</v>
      </c>
      <c r="J56" s="171" t="s">
        <v>312</v>
      </c>
      <c r="K56" s="171"/>
      <c r="L56" s="175" t="s">
        <v>403</v>
      </c>
      <c r="M56" s="186"/>
      <c r="N56" s="186"/>
      <c r="O56" s="171"/>
      <c r="P56" s="171"/>
      <c r="Q56" s="171"/>
    </row>
    <row r="57" spans="2:17">
      <c r="B57" s="170" t="s">
        <v>240</v>
      </c>
      <c r="C57" s="166">
        <v>55</v>
      </c>
      <c r="D57" s="170" t="s">
        <v>320</v>
      </c>
      <c r="E57" s="170" t="s">
        <v>321</v>
      </c>
      <c r="F57" s="189"/>
      <c r="G57" s="171">
        <v>45107</v>
      </c>
      <c r="H57" s="179">
        <v>444051920</v>
      </c>
      <c r="I57" s="171" t="s">
        <v>311</v>
      </c>
      <c r="J57" s="171" t="s">
        <v>312</v>
      </c>
      <c r="K57" s="171"/>
      <c r="L57" s="175"/>
      <c r="M57" s="186"/>
      <c r="N57" s="186"/>
      <c r="O57" s="171"/>
      <c r="P57" s="171"/>
      <c r="Q57" s="171"/>
    </row>
    <row r="58" spans="2:17" ht="13.5" thickBot="1">
      <c r="B58" s="170" t="s">
        <v>190</v>
      </c>
      <c r="C58" s="168">
        <v>56</v>
      </c>
      <c r="D58" s="170" t="s">
        <v>322</v>
      </c>
      <c r="E58" s="170" t="s">
        <v>323</v>
      </c>
      <c r="F58" s="189"/>
      <c r="G58" s="171">
        <v>44834</v>
      </c>
      <c r="H58" s="179">
        <v>1337400000</v>
      </c>
      <c r="I58" s="171" t="s">
        <v>311</v>
      </c>
      <c r="J58" s="171" t="s">
        <v>312</v>
      </c>
      <c r="K58" s="171"/>
      <c r="L58" s="175"/>
      <c r="M58" s="186">
        <f t="shared" ref="M58:M59" si="2">H58*70%</f>
        <v>936180000</v>
      </c>
      <c r="N58" s="186"/>
      <c r="O58" s="171"/>
      <c r="P58" s="171"/>
      <c r="Q58" s="171"/>
    </row>
    <row r="59" spans="2:17">
      <c r="B59" s="170" t="s">
        <v>190</v>
      </c>
      <c r="C59" s="170">
        <v>57</v>
      </c>
      <c r="D59" s="170" t="s">
        <v>324</v>
      </c>
      <c r="E59" s="170" t="s">
        <v>323</v>
      </c>
      <c r="F59" s="189"/>
      <c r="G59" s="171">
        <v>44834</v>
      </c>
      <c r="H59" s="179">
        <v>1560287940</v>
      </c>
      <c r="I59" s="171" t="s">
        <v>311</v>
      </c>
      <c r="J59" s="171" t="s">
        <v>312</v>
      </c>
      <c r="K59" s="171"/>
      <c r="L59" s="175"/>
      <c r="M59" s="186">
        <f t="shared" si="2"/>
        <v>1092201558</v>
      </c>
      <c r="N59" s="186"/>
      <c r="O59" s="171"/>
      <c r="P59" s="171"/>
      <c r="Q59" s="171"/>
    </row>
    <row r="60" spans="2:17">
      <c r="B60" s="170" t="s">
        <v>240</v>
      </c>
      <c r="C60" s="166">
        <v>58</v>
      </c>
      <c r="D60" s="170" t="s">
        <v>325</v>
      </c>
      <c r="E60" s="170" t="s">
        <v>31</v>
      </c>
      <c r="F60" s="189"/>
      <c r="G60" s="171">
        <v>45107</v>
      </c>
      <c r="H60" s="179">
        <v>32244240</v>
      </c>
      <c r="I60" s="171" t="s">
        <v>311</v>
      </c>
      <c r="J60" s="171" t="s">
        <v>312</v>
      </c>
      <c r="K60" s="171"/>
      <c r="L60" s="175" t="s">
        <v>398</v>
      </c>
      <c r="M60" s="186"/>
      <c r="N60" s="186"/>
      <c r="O60" s="171"/>
      <c r="P60" s="171"/>
      <c r="Q60" s="171"/>
    </row>
    <row r="61" spans="2:17" ht="13.5" thickBot="1">
      <c r="B61" s="170" t="s">
        <v>240</v>
      </c>
      <c r="C61" s="168">
        <v>59</v>
      </c>
      <c r="D61" s="170" t="s">
        <v>326</v>
      </c>
      <c r="E61" s="170" t="s">
        <v>31</v>
      </c>
      <c r="F61" s="189"/>
      <c r="G61" s="171">
        <v>45107</v>
      </c>
      <c r="H61" s="179">
        <v>5071698669</v>
      </c>
      <c r="I61" s="171" t="s">
        <v>311</v>
      </c>
      <c r="J61" s="171" t="s">
        <v>312</v>
      </c>
      <c r="K61" s="171"/>
      <c r="L61" s="175"/>
      <c r="M61" s="186"/>
      <c r="N61" s="186"/>
      <c r="O61" s="171"/>
      <c r="P61" s="171"/>
      <c r="Q61" s="171"/>
    </row>
    <row r="62" spans="2:17" ht="13.5" thickBot="1">
      <c r="B62" s="173"/>
      <c r="C62" s="170">
        <v>60</v>
      </c>
      <c r="D62" s="173"/>
      <c r="E62" s="173"/>
      <c r="F62" s="189"/>
      <c r="G62" s="173"/>
      <c r="H62" s="174">
        <f>SUM(H52:H61)</f>
        <v>37109264333.586029</v>
      </c>
      <c r="I62" s="173" t="s">
        <v>327</v>
      </c>
      <c r="J62" s="173"/>
      <c r="K62" s="173"/>
      <c r="L62" s="185"/>
      <c r="M62" s="187"/>
      <c r="N62" s="187"/>
      <c r="O62" s="173"/>
      <c r="P62" s="173"/>
      <c r="Q62" s="173"/>
    </row>
    <row r="63" spans="2:17" ht="14.25" thickTop="1" thickBot="1">
      <c r="B63" s="173"/>
      <c r="C63" s="166">
        <v>61</v>
      </c>
      <c r="D63" s="173"/>
      <c r="E63" s="173"/>
      <c r="F63" s="189"/>
      <c r="G63" s="173"/>
      <c r="H63" s="174">
        <f>+H62+H51+H29+H8</f>
        <v>139179921038.58603</v>
      </c>
      <c r="I63" s="173" t="s">
        <v>108</v>
      </c>
      <c r="J63" s="173"/>
      <c r="K63" s="173"/>
      <c r="L63" s="185"/>
      <c r="M63" s="187"/>
      <c r="N63" s="187"/>
      <c r="O63" s="173"/>
      <c r="P63" s="173"/>
      <c r="Q63" s="173"/>
    </row>
    <row r="64" spans="2:17" ht="13.5" thickTop="1">
      <c r="M64" s="191">
        <f>SUBTOTAL(9,M4:M59)</f>
        <v>14304821257.099998</v>
      </c>
      <c r="N64" s="191">
        <f>SUBTOTAL(9,N4:N59)</f>
        <v>17218379855.569</v>
      </c>
      <c r="O64" s="191">
        <f t="shared" ref="O64:Q64" si="3">SUBTOTAL(9,O4:O59)</f>
        <v>1101009000</v>
      </c>
      <c r="P64" s="191">
        <f t="shared" si="3"/>
        <v>0</v>
      </c>
      <c r="Q64" s="191">
        <f t="shared" si="3"/>
        <v>0</v>
      </c>
    </row>
  </sheetData>
  <autoFilter ref="B4:R63" xr:uid="{00000000-0009-0000-0000-000008000000}"/>
  <mergeCells count="1">
    <mergeCell ref="M3:Q3"/>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46</vt:i4>
      </vt:variant>
    </vt:vector>
  </HeadingPairs>
  <TitlesOfParts>
    <vt:vector size="46" baseType="lpstr">
      <vt:lpstr>Balance Proyec Quinta Clase</vt:lpstr>
      <vt:lpstr>Flujo de caja detallado</vt:lpstr>
      <vt:lpstr>Propuesta de pago</vt:lpstr>
      <vt:lpstr>Estudio de mercado Café</vt:lpstr>
      <vt:lpstr>IPC - CAFÉ</vt:lpstr>
      <vt:lpstr>I-C Café</vt:lpstr>
      <vt:lpstr>I-C Almacenes</vt:lpstr>
      <vt:lpstr>I-C Café Futuros</vt:lpstr>
      <vt:lpstr>I. Activos</vt:lpstr>
      <vt:lpstr>I. Arrendamientos</vt:lpstr>
      <vt:lpstr>I. Rend fros</vt:lpstr>
      <vt:lpstr>I. Mcia consig.</vt:lpstr>
      <vt:lpstr>I. Solidaridad</vt:lpstr>
      <vt:lpstr>R Cartera almacenes</vt:lpstr>
      <vt:lpstr>R. Cartera ordinaria</vt:lpstr>
      <vt:lpstr>G. Nómina</vt:lpstr>
      <vt:lpstr>G. Arrume y empacada</vt:lpstr>
      <vt:lpstr>G. Coteo</vt:lpstr>
      <vt:lpstr>G. Fletes</vt:lpstr>
      <vt:lpstr>G. Empaques</vt:lpstr>
      <vt:lpstr>G Hon Interv - rev fisc</vt:lpstr>
      <vt:lpstr>G. Alivios financieros</vt:lpstr>
      <vt:lpstr>G. Honorarios Juridicos</vt:lpstr>
      <vt:lpstr>G. Otros honorarios</vt:lpstr>
      <vt:lpstr>G. Seguros</vt:lpstr>
      <vt:lpstr>G.Arrendamiento</vt:lpstr>
      <vt:lpstr>G. Aseo y cafetería</vt:lpstr>
      <vt:lpstr>G. Combustible</vt:lpstr>
      <vt:lpstr>G.Gasto de viaje</vt:lpstr>
      <vt:lpstr>G. Mantenimiento</vt:lpstr>
      <vt:lpstr>G.Publicidad</vt:lpstr>
      <vt:lpstr>S. Acueducto</vt:lpstr>
      <vt:lpstr>G.Energia</vt:lpstr>
      <vt:lpstr>G.Internet</vt:lpstr>
      <vt:lpstr>G.teléfono</vt:lpstr>
      <vt:lpstr>G. Sistematización</vt:lpstr>
      <vt:lpstr>G. Vigilancia</vt:lpstr>
      <vt:lpstr>G. Papelería</vt:lpstr>
      <vt:lpstr>G. Industria y comercio</vt:lpstr>
      <vt:lpstr>G. Impuesto Predial</vt:lpstr>
      <vt:lpstr>G. Legales</vt:lpstr>
      <vt:lpstr>G. Sostenim veh.</vt:lpstr>
      <vt:lpstr>G. Contribuciones y afiliacione</vt:lpstr>
      <vt:lpstr>G. Solidaridad</vt:lpstr>
      <vt:lpstr>G. Mesada Pensional</vt:lpstr>
      <vt:lpstr>G. Bonos pensionales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DIRSOCIAL</dc:creator>
  <cp:lastModifiedBy>Anderson</cp:lastModifiedBy>
  <dcterms:created xsi:type="dcterms:W3CDTF">2023-01-22T17:12:16Z</dcterms:created>
  <dcterms:modified xsi:type="dcterms:W3CDTF">2024-03-09T16:42:40Z</dcterms:modified>
</cp:coreProperties>
</file>